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9600" tabRatio="602" firstSheet="44" activeTab="45"/>
  </bookViews>
  <sheets>
    <sheet name="Расшифровка" sheetId="18" r:id="rId1"/>
    <sheet name="Сосново янв.-апр.2017г." sheetId="9" r:id="rId2"/>
    <sheet name="Сосново за  6мес." sheetId="29" r:id="rId3"/>
    <sheet name="Сосново за  9мес. " sheetId="39" r:id="rId4"/>
    <sheet name="Сосново за 2017год" sheetId="52" r:id="rId5"/>
    <sheet name="Суходолье  янв.-апр. 2017год" sheetId="12" r:id="rId6"/>
    <sheet name="Суходолье за 6 мес." sheetId="30" r:id="rId7"/>
    <sheet name="Суходолье за 9 мес." sheetId="40" r:id="rId8"/>
    <sheet name="Суходолье янв.-апр.  2017" sheetId="21" r:id="rId9"/>
    <sheet name="Суходолье за 2017год" sheetId="54" r:id="rId10"/>
    <sheet name="Суход.общ. за 2017год" sheetId="31" r:id="rId11"/>
    <sheet name="Понтонное  с янв.-апр.2017г." sheetId="13" r:id="rId12"/>
    <sheet name="Понтонное  за 6 мес." sheetId="32" r:id="rId13"/>
    <sheet name="Понтонное  за 9 мес. " sheetId="42" r:id="rId14"/>
    <sheet name="Понтонное  за 2017год" sheetId="55" r:id="rId15"/>
    <sheet name="Кривко  янв-апр2017г." sheetId="14" r:id="rId16"/>
    <sheet name="Кривко 6 мес." sheetId="33" r:id="rId17"/>
    <sheet name="Кривко 9 мес. " sheetId="43" r:id="rId18"/>
    <sheet name="Кривко 2017год" sheetId="57" r:id="rId19"/>
    <sheet name="Снегиревка янв.-апр, 2017г." sheetId="16" r:id="rId20"/>
    <sheet name="Снегиревка 6 мес." sheetId="34" r:id="rId21"/>
    <sheet name="Снегиревка 9 мес." sheetId="44" r:id="rId22"/>
    <sheet name="Снегиревка 2017год" sheetId="58" r:id="rId23"/>
    <sheet name="Плодовое янв-апр 2017год" sheetId="19" r:id="rId24"/>
    <sheet name="Плодовое 6 мес." sheetId="35" r:id="rId25"/>
    <sheet name="Плодовое 9 мес. " sheetId="45" r:id="rId26"/>
    <sheet name="Плодовое 2017 год" sheetId="59" r:id="rId27"/>
    <sheet name="Ромашки 6 мес." sheetId="37" r:id="rId28"/>
    <sheet name="Ромашки 9 мес. " sheetId="46" r:id="rId29"/>
    <sheet name="Ромашки 2017год" sheetId="60" r:id="rId30"/>
    <sheet name="Петровское  янв-апр2017г." sheetId="23" r:id="rId31"/>
    <sheet name="Петровское 6 мес." sheetId="38" r:id="rId32"/>
    <sheet name="Петровское 9 мес." sheetId="47" r:id="rId33"/>
    <sheet name="Петровское 2017 год" sheetId="61" r:id="rId34"/>
    <sheet name="Зарплата за 2015год" sheetId="24" r:id="rId35"/>
    <sheet name="Разбегаево 2016 ( У Н.П.)" sheetId="25" r:id="rId36"/>
    <sheet name="Разбегаево 2017" sheetId="63" r:id="rId37"/>
    <sheet name="Горбунки 2017 ( у Н.П.)" sheetId="26" r:id="rId38"/>
    <sheet name="Тракторное янв-апр  2017" sheetId="27" r:id="rId39"/>
    <sheet name="Тракторное 6 мес." sheetId="36" r:id="rId40"/>
    <sheet name="Тракторное 9 мес. " sheetId="48" r:id="rId41"/>
    <sheet name="Тракторное 2017год" sheetId="56" r:id="rId42"/>
    <sheet name="Плодовское поселение янв-ап2017" sheetId="28" r:id="rId43"/>
    <sheet name="Плодовское поселение 9мес.17г." sheetId="49" r:id="rId44"/>
    <sheet name="Плодовское поселение 2017год" sheetId="62" r:id="rId45"/>
    <sheet name="Площади(расчет АДС.ОПУ)" sheetId="50" r:id="rId46"/>
  </sheets>
  <definedNames>
    <definedName name="_xlnm.Print_Area" localSheetId="34">'Зарплата за 2015год'!$A$1:$AA$77</definedName>
    <definedName name="_xlnm.Print_Area" localSheetId="22">'Снегиревка 2017год'!$A$1:$BJ$92</definedName>
    <definedName name="_xlnm.Print_Area" localSheetId="20">'Снегиревка 6 мес.'!$A$1:$AE$105</definedName>
    <definedName name="_xlnm.Print_Area" localSheetId="21">'Снегиревка 9 мес.'!$A$1:$BE$105</definedName>
    <definedName name="_xlnm.Print_Area" localSheetId="19">'Снегиревка янв.-апр, 2017г.'!$A$1:$AE$105</definedName>
  </definedNames>
  <calcPr calcId="152511"/>
</workbook>
</file>

<file path=xl/calcChain.xml><?xml version="1.0" encoding="utf-8"?>
<calcChain xmlns="http://schemas.openxmlformats.org/spreadsheetml/2006/main">
  <c r="V77" i="58" l="1"/>
  <c r="V78" i="58"/>
  <c r="V79" i="58"/>
  <c r="V80" i="58"/>
  <c r="V81" i="58"/>
  <c r="V82" i="58"/>
  <c r="V83" i="58"/>
  <c r="V84" i="58"/>
  <c r="V85" i="58"/>
  <c r="V86" i="58"/>
  <c r="V87" i="58"/>
  <c r="V88" i="58"/>
  <c r="V76" i="58"/>
  <c r="V89" i="58" s="1"/>
  <c r="Q41" i="52"/>
  <c r="Q42" i="52"/>
  <c r="Q43" i="52"/>
  <c r="Q44" i="52"/>
  <c r="Q45" i="52"/>
  <c r="Q46" i="52"/>
  <c r="Q40" i="52"/>
  <c r="P41" i="52"/>
  <c r="P42" i="52"/>
  <c r="P43" i="52"/>
  <c r="P44" i="52"/>
  <c r="P45" i="52"/>
  <c r="P46" i="52"/>
  <c r="P40" i="52"/>
  <c r="N41" i="52"/>
  <c r="M41" i="52" s="1"/>
  <c r="O41" i="52" s="1"/>
  <c r="N42" i="52"/>
  <c r="M42" i="52" s="1"/>
  <c r="O42" i="52" s="1"/>
  <c r="N43" i="52"/>
  <c r="M43" i="52" s="1"/>
  <c r="O43" i="52" s="1"/>
  <c r="N44" i="52"/>
  <c r="M44" i="52" s="1"/>
  <c r="O44" i="52" s="1"/>
  <c r="N45" i="52"/>
  <c r="M45" i="52" s="1"/>
  <c r="O45" i="52" s="1"/>
  <c r="N46" i="52"/>
  <c r="M46" i="52" s="1"/>
  <c r="O46" i="52" s="1"/>
  <c r="N40" i="52"/>
  <c r="N47" i="52" s="1"/>
  <c r="AF7" i="63"/>
  <c r="AF8" i="63"/>
  <c r="AF9" i="63"/>
  <c r="AF10" i="63"/>
  <c r="AF6" i="63"/>
  <c r="AF11" i="63" s="1"/>
  <c r="AE7" i="63"/>
  <c r="AE8" i="63"/>
  <c r="AE9" i="63"/>
  <c r="AE10" i="63"/>
  <c r="AE6" i="63"/>
  <c r="AB7" i="63"/>
  <c r="AB8" i="63"/>
  <c r="AB9" i="63"/>
  <c r="AB10" i="63"/>
  <c r="AB6" i="63"/>
  <c r="AA7" i="63"/>
  <c r="AA8" i="63"/>
  <c r="AA9" i="63"/>
  <c r="AA10" i="63"/>
  <c r="AA6" i="63"/>
  <c r="Z7" i="63"/>
  <c r="Z8" i="63"/>
  <c r="Z9" i="63"/>
  <c r="Z10" i="63"/>
  <c r="Z6" i="63"/>
  <c r="W7" i="63"/>
  <c r="W8" i="63"/>
  <c r="W9" i="63"/>
  <c r="W10" i="63"/>
  <c r="W6" i="63"/>
  <c r="W11" i="63" s="1"/>
  <c r="S7" i="63"/>
  <c r="S8" i="63"/>
  <c r="S9" i="63"/>
  <c r="S10" i="63"/>
  <c r="S6" i="63"/>
  <c r="S11" i="63" s="1"/>
  <c r="Q11" i="63"/>
  <c r="R11" i="63"/>
  <c r="T11" i="63"/>
  <c r="P11" i="63"/>
  <c r="AC11" i="63"/>
  <c r="AD11" i="63"/>
  <c r="AG11" i="63"/>
  <c r="K7" i="63"/>
  <c r="K8" i="63"/>
  <c r="K9" i="63"/>
  <c r="K10" i="63"/>
  <c r="K6" i="63"/>
  <c r="K11" i="63" s="1"/>
  <c r="J7" i="63"/>
  <c r="J8" i="63"/>
  <c r="J9" i="63"/>
  <c r="J10" i="63"/>
  <c r="J6" i="63"/>
  <c r="J11" i="63" s="1"/>
  <c r="I7" i="63"/>
  <c r="I8" i="63"/>
  <c r="I9" i="63"/>
  <c r="I10" i="63"/>
  <c r="I6" i="63"/>
  <c r="I11" i="63" s="1"/>
  <c r="E11" i="63"/>
  <c r="F11" i="63"/>
  <c r="T36" i="63"/>
  <c r="H36" i="63"/>
  <c r="G36" i="63"/>
  <c r="B36" i="63"/>
  <c r="N36" i="63" s="1"/>
  <c r="R35" i="63"/>
  <c r="O35" i="63"/>
  <c r="P35" i="63" s="1"/>
  <c r="N35" i="63"/>
  <c r="D35" i="63"/>
  <c r="R34" i="63"/>
  <c r="P34" i="63"/>
  <c r="O34" i="63"/>
  <c r="N34" i="63"/>
  <c r="D34" i="63"/>
  <c r="R33" i="63"/>
  <c r="O33" i="63"/>
  <c r="P33" i="63" s="1"/>
  <c r="N33" i="63"/>
  <c r="D33" i="63"/>
  <c r="R32" i="63"/>
  <c r="O32" i="63"/>
  <c r="P32" i="63" s="1"/>
  <c r="N32" i="63"/>
  <c r="D32" i="63"/>
  <c r="R31" i="63"/>
  <c r="O31" i="63"/>
  <c r="O36" i="63" s="1"/>
  <c r="N31" i="63"/>
  <c r="D31" i="63"/>
  <c r="D36" i="63" s="1"/>
  <c r="H24" i="63"/>
  <c r="G24" i="63"/>
  <c r="B24" i="63"/>
  <c r="D23" i="63"/>
  <c r="D22" i="63"/>
  <c r="D21" i="63"/>
  <c r="D24" i="63" s="1"/>
  <c r="D20" i="63"/>
  <c r="D19" i="63"/>
  <c r="U11" i="63"/>
  <c r="N11" i="63"/>
  <c r="H11" i="63"/>
  <c r="H37" i="63" s="1"/>
  <c r="G11" i="63"/>
  <c r="G37" i="63" s="1"/>
  <c r="B11" i="63"/>
  <c r="D10" i="63"/>
  <c r="D9" i="63"/>
  <c r="D8" i="63"/>
  <c r="M11" i="63"/>
  <c r="D7" i="63"/>
  <c r="Y11" i="63"/>
  <c r="V11" i="63"/>
  <c r="O11" i="63"/>
  <c r="D6" i="63"/>
  <c r="D11" i="63" s="1"/>
  <c r="AE47" i="59"/>
  <c r="AE48" i="59"/>
  <c r="AE49" i="59"/>
  <c r="AE50" i="59"/>
  <c r="AE51" i="59"/>
  <c r="AE52" i="59"/>
  <c r="AE53" i="59"/>
  <c r="AE54" i="59"/>
  <c r="AE55" i="59"/>
  <c r="AE56" i="59"/>
  <c r="AE57" i="59"/>
  <c r="AE58" i="59"/>
  <c r="AE59" i="59"/>
  <c r="AE60" i="59"/>
  <c r="AE61" i="59"/>
  <c r="AE62" i="59"/>
  <c r="AE63" i="59"/>
  <c r="AE64" i="59"/>
  <c r="AE65" i="59"/>
  <c r="AE66" i="59"/>
  <c r="AE46" i="59"/>
  <c r="AE67" i="59" s="1"/>
  <c r="AD47" i="59"/>
  <c r="AD48" i="59"/>
  <c r="AD49" i="59"/>
  <c r="AD50" i="59"/>
  <c r="AD51" i="59"/>
  <c r="AD52" i="59"/>
  <c r="AD53" i="59"/>
  <c r="AD54" i="59"/>
  <c r="AD55" i="59"/>
  <c r="AD56" i="59"/>
  <c r="AD57" i="59"/>
  <c r="AD58" i="59"/>
  <c r="AD59" i="59"/>
  <c r="AD60" i="59"/>
  <c r="AD61" i="59"/>
  <c r="AD62" i="59"/>
  <c r="AD63" i="59"/>
  <c r="AD64" i="59"/>
  <c r="AD65" i="59"/>
  <c r="AD66" i="59"/>
  <c r="AD46" i="59"/>
  <c r="AH67" i="59"/>
  <c r="AI67" i="59"/>
  <c r="AJ67" i="59"/>
  <c r="AK67" i="59"/>
  <c r="N47" i="59"/>
  <c r="AC47" i="59" s="1"/>
  <c r="N48" i="59"/>
  <c r="AC48" i="59" s="1"/>
  <c r="N49" i="59"/>
  <c r="AC49" i="59" s="1"/>
  <c r="N50" i="59"/>
  <c r="AC50" i="59" s="1"/>
  <c r="N51" i="59"/>
  <c r="AC51" i="59" s="1"/>
  <c r="N52" i="59"/>
  <c r="AC52" i="59" s="1"/>
  <c r="N53" i="59"/>
  <c r="AC53" i="59" s="1"/>
  <c r="N54" i="59"/>
  <c r="AC54" i="59" s="1"/>
  <c r="N55" i="59"/>
  <c r="AC55" i="59" s="1"/>
  <c r="N56" i="59"/>
  <c r="AC56" i="59" s="1"/>
  <c r="N57" i="59"/>
  <c r="AC57" i="59" s="1"/>
  <c r="N58" i="59"/>
  <c r="AC58" i="59" s="1"/>
  <c r="N59" i="59"/>
  <c r="AC59" i="59" s="1"/>
  <c r="N60" i="59"/>
  <c r="AC60" i="59" s="1"/>
  <c r="N61" i="59"/>
  <c r="AC61" i="59" s="1"/>
  <c r="N62" i="59"/>
  <c r="AC62" i="59" s="1"/>
  <c r="N63" i="59"/>
  <c r="AC63" i="59" s="1"/>
  <c r="N64" i="59"/>
  <c r="AC64" i="59" s="1"/>
  <c r="N65" i="59"/>
  <c r="AC65" i="59" s="1"/>
  <c r="N66" i="59"/>
  <c r="AC66" i="59" s="1"/>
  <c r="N46" i="59"/>
  <c r="AC46" i="59" s="1"/>
  <c r="X67" i="59"/>
  <c r="Y67" i="59"/>
  <c r="Z67" i="59"/>
  <c r="AA67" i="59"/>
  <c r="AB67" i="59"/>
  <c r="AG67" i="59"/>
  <c r="T67" i="59"/>
  <c r="U67" i="59"/>
  <c r="V67" i="59"/>
  <c r="W67" i="59"/>
  <c r="AD53" i="61"/>
  <c r="AD54" i="61"/>
  <c r="AD55" i="61"/>
  <c r="AD56" i="61"/>
  <c r="AD57" i="61"/>
  <c r="AD58" i="61"/>
  <c r="AD59" i="61"/>
  <c r="AD60" i="61"/>
  <c r="AD61" i="61"/>
  <c r="AD62" i="61"/>
  <c r="AD63" i="61"/>
  <c r="AD64" i="61"/>
  <c r="AD65" i="61"/>
  <c r="AD66" i="61"/>
  <c r="AD67" i="61"/>
  <c r="AD68" i="61"/>
  <c r="AD69" i="61"/>
  <c r="AD70" i="61"/>
  <c r="AD71" i="61"/>
  <c r="AD72" i="61"/>
  <c r="AD73" i="61"/>
  <c r="AD74" i="61"/>
  <c r="AD75" i="61"/>
  <c r="AD76" i="61"/>
  <c r="AD52" i="61"/>
  <c r="AD77" i="61" s="1"/>
  <c r="AC53" i="61"/>
  <c r="AC54" i="61"/>
  <c r="AC55" i="61"/>
  <c r="AC56" i="61"/>
  <c r="AC57" i="61"/>
  <c r="AC58" i="61"/>
  <c r="AC59" i="61"/>
  <c r="AC60" i="61"/>
  <c r="AC61" i="61"/>
  <c r="AC62" i="61"/>
  <c r="AC63" i="61"/>
  <c r="AC64" i="61"/>
  <c r="AC65" i="61"/>
  <c r="AC66" i="61"/>
  <c r="AC67" i="61"/>
  <c r="AC68" i="61"/>
  <c r="AC69" i="61"/>
  <c r="AC70" i="61"/>
  <c r="AC71" i="61"/>
  <c r="AC72" i="61"/>
  <c r="AC73" i="61"/>
  <c r="AC74" i="61"/>
  <c r="AC75" i="61"/>
  <c r="AC52" i="61"/>
  <c r="M53" i="61"/>
  <c r="AB53" i="61" s="1"/>
  <c r="M54" i="61"/>
  <c r="AB54" i="61" s="1"/>
  <c r="M55" i="61"/>
  <c r="AB55" i="61" s="1"/>
  <c r="M56" i="61"/>
  <c r="AB56" i="61" s="1"/>
  <c r="M57" i="61"/>
  <c r="AB57" i="61" s="1"/>
  <c r="M58" i="61"/>
  <c r="AB58" i="61" s="1"/>
  <c r="M59" i="61"/>
  <c r="AB59" i="61" s="1"/>
  <c r="M60" i="61"/>
  <c r="AB60" i="61" s="1"/>
  <c r="M61" i="61"/>
  <c r="AB61" i="61" s="1"/>
  <c r="M62" i="61"/>
  <c r="AB62" i="61" s="1"/>
  <c r="M63" i="61"/>
  <c r="AB63" i="61" s="1"/>
  <c r="M64" i="61"/>
  <c r="AB64" i="61" s="1"/>
  <c r="M65" i="61"/>
  <c r="AB65" i="61" s="1"/>
  <c r="M66" i="61"/>
  <c r="AB66" i="61" s="1"/>
  <c r="M67" i="61"/>
  <c r="AB67" i="61" s="1"/>
  <c r="M68" i="61"/>
  <c r="AB68" i="61" s="1"/>
  <c r="M69" i="61"/>
  <c r="AB69" i="61" s="1"/>
  <c r="M70" i="61"/>
  <c r="AB70" i="61" s="1"/>
  <c r="M71" i="61"/>
  <c r="AB71" i="61" s="1"/>
  <c r="M72" i="61"/>
  <c r="AB72" i="61" s="1"/>
  <c r="M73" i="61"/>
  <c r="AB73" i="61" s="1"/>
  <c r="M74" i="61"/>
  <c r="AB74" i="61" s="1"/>
  <c r="M75" i="61"/>
  <c r="AB75" i="61" s="1"/>
  <c r="M76" i="61"/>
  <c r="AB76" i="61" s="1"/>
  <c r="M52" i="61"/>
  <c r="M77" i="61" s="1"/>
  <c r="U77" i="61"/>
  <c r="V77" i="61"/>
  <c r="W77" i="61"/>
  <c r="X77" i="61"/>
  <c r="Y77" i="61"/>
  <c r="Z77" i="61"/>
  <c r="AA77" i="61"/>
  <c r="P54" i="58"/>
  <c r="P55" i="58"/>
  <c r="P56" i="58"/>
  <c r="P57" i="58"/>
  <c r="P58" i="58"/>
  <c r="P59" i="58"/>
  <c r="P60" i="58"/>
  <c r="P61" i="58"/>
  <c r="P62" i="58"/>
  <c r="P63" i="58"/>
  <c r="P64" i="58"/>
  <c r="P65" i="58"/>
  <c r="P53" i="58"/>
  <c r="Q66" i="58"/>
  <c r="R66" i="58"/>
  <c r="S66" i="58"/>
  <c r="T66" i="58"/>
  <c r="U66" i="58"/>
  <c r="V66" i="58"/>
  <c r="W66" i="58"/>
  <c r="X66" i="58"/>
  <c r="Y66" i="58"/>
  <c r="Z66" i="58"/>
  <c r="AA66" i="58"/>
  <c r="AB66" i="58"/>
  <c r="AC66" i="58"/>
  <c r="W76" i="57"/>
  <c r="W77" i="57"/>
  <c r="W78" i="57"/>
  <c r="W79" i="57"/>
  <c r="W80" i="57"/>
  <c r="W81" i="57"/>
  <c r="W82" i="57"/>
  <c r="W83" i="57"/>
  <c r="W84" i="57"/>
  <c r="W85" i="57"/>
  <c r="W86" i="57"/>
  <c r="W87" i="57"/>
  <c r="W75" i="57"/>
  <c r="V76" i="57"/>
  <c r="U76" i="57" s="1"/>
  <c r="V77" i="57"/>
  <c r="U77" i="57" s="1"/>
  <c r="V78" i="57"/>
  <c r="U78" i="57" s="1"/>
  <c r="V79" i="57"/>
  <c r="V88" i="57" s="1"/>
  <c r="V80" i="57"/>
  <c r="U80" i="57" s="1"/>
  <c r="V81" i="57"/>
  <c r="U81" i="57" s="1"/>
  <c r="V82" i="57"/>
  <c r="U82" i="57" s="1"/>
  <c r="V83" i="57"/>
  <c r="U83" i="57" s="1"/>
  <c r="V84" i="57"/>
  <c r="U84" i="57" s="1"/>
  <c r="V85" i="57"/>
  <c r="U85" i="57" s="1"/>
  <c r="V86" i="57"/>
  <c r="U86" i="57" s="1"/>
  <c r="V87" i="57"/>
  <c r="U87" i="57" s="1"/>
  <c r="V75" i="57"/>
  <c r="U75" i="57" s="1"/>
  <c r="R50" i="57"/>
  <c r="R51" i="57"/>
  <c r="R52" i="57"/>
  <c r="R53" i="57"/>
  <c r="R54" i="57"/>
  <c r="R55" i="57"/>
  <c r="R56" i="57"/>
  <c r="R57" i="57"/>
  <c r="R58" i="57"/>
  <c r="R59" i="57"/>
  <c r="R60" i="57"/>
  <c r="R61" i="57"/>
  <c r="R62" i="57"/>
  <c r="Q57" i="57"/>
  <c r="AA57" i="57" s="1"/>
  <c r="Q58" i="57"/>
  <c r="Q62" i="57"/>
  <c r="O61" i="57"/>
  <c r="Q61" i="57" s="1"/>
  <c r="AA61" i="57" s="1"/>
  <c r="O60" i="57"/>
  <c r="Q60" i="57" s="1"/>
  <c r="O59" i="57"/>
  <c r="Q59" i="57" s="1"/>
  <c r="AA59" i="57" s="1"/>
  <c r="O56" i="57"/>
  <c r="O55" i="57"/>
  <c r="O54" i="57"/>
  <c r="Q54" i="57" s="1"/>
  <c r="AA54" i="57" s="1"/>
  <c r="O53" i="57"/>
  <c r="O52" i="57"/>
  <c r="O51" i="57"/>
  <c r="O50" i="57"/>
  <c r="Q50" i="57" s="1"/>
  <c r="AA50" i="57" s="1"/>
  <c r="O49" i="57"/>
  <c r="U50" i="57"/>
  <c r="U51" i="57"/>
  <c r="U52" i="57"/>
  <c r="U53" i="57"/>
  <c r="U54" i="57"/>
  <c r="U55" i="57"/>
  <c r="U56" i="57"/>
  <c r="U57" i="57"/>
  <c r="Y57" i="57" s="1"/>
  <c r="U58" i="57"/>
  <c r="U59" i="57"/>
  <c r="U60" i="57"/>
  <c r="U61" i="57"/>
  <c r="U62" i="57"/>
  <c r="U49" i="57"/>
  <c r="W63" i="57"/>
  <c r="X63" i="57"/>
  <c r="AA32" i="60"/>
  <c r="AA33" i="60"/>
  <c r="AA34" i="60"/>
  <c r="AA35" i="60"/>
  <c r="AA36" i="60"/>
  <c r="AA37" i="60"/>
  <c r="AA38" i="60"/>
  <c r="AA39" i="60"/>
  <c r="AA40" i="60"/>
  <c r="AA41" i="60"/>
  <c r="AA42" i="60"/>
  <c r="AA43" i="60"/>
  <c r="AA44" i="60"/>
  <c r="AA31" i="60"/>
  <c r="Z32" i="60"/>
  <c r="Z33" i="60"/>
  <c r="Z34" i="60"/>
  <c r="Z35" i="60"/>
  <c r="Z36" i="60"/>
  <c r="Z37" i="60"/>
  <c r="Z38" i="60"/>
  <c r="Z39" i="60"/>
  <c r="Z40" i="60"/>
  <c r="Z41" i="60"/>
  <c r="Z42" i="60"/>
  <c r="Z43" i="60"/>
  <c r="Z44" i="60"/>
  <c r="Z31" i="60"/>
  <c r="Y33" i="60"/>
  <c r="Y37" i="60"/>
  <c r="Y41" i="60"/>
  <c r="M32" i="60"/>
  <c r="Y32" i="60" s="1"/>
  <c r="M33" i="60"/>
  <c r="M34" i="60"/>
  <c r="Y34" i="60" s="1"/>
  <c r="M35" i="60"/>
  <c r="Y35" i="60" s="1"/>
  <c r="M36" i="60"/>
  <c r="Y36" i="60" s="1"/>
  <c r="M37" i="60"/>
  <c r="M38" i="60"/>
  <c r="Y38" i="60" s="1"/>
  <c r="M39" i="60"/>
  <c r="Y39" i="60" s="1"/>
  <c r="M40" i="60"/>
  <c r="Y40" i="60" s="1"/>
  <c r="M41" i="60"/>
  <c r="M42" i="60"/>
  <c r="Y42" i="60" s="1"/>
  <c r="M43" i="60"/>
  <c r="M44" i="60"/>
  <c r="Y44" i="60" s="1"/>
  <c r="M31" i="60"/>
  <c r="Y31" i="60" s="1"/>
  <c r="X45" i="60"/>
  <c r="T45" i="60"/>
  <c r="U45" i="60"/>
  <c r="V45" i="60"/>
  <c r="W45" i="60"/>
  <c r="AN46" i="54"/>
  <c r="AN47" i="54"/>
  <c r="AN48" i="54"/>
  <c r="AN49" i="54"/>
  <c r="AN50" i="54"/>
  <c r="AN51" i="54"/>
  <c r="AN52" i="54"/>
  <c r="AN53" i="54"/>
  <c r="AN54" i="54"/>
  <c r="AN55" i="54"/>
  <c r="AN56" i="54"/>
  <c r="AN57" i="54"/>
  <c r="AN58" i="54"/>
  <c r="AN59" i="54"/>
  <c r="AN60" i="54"/>
  <c r="AN61" i="54"/>
  <c r="AN62" i="54"/>
  <c r="AN63" i="54"/>
  <c r="AN64" i="54"/>
  <c r="AN65" i="54"/>
  <c r="AN66" i="54"/>
  <c r="AN45" i="54"/>
  <c r="AM46" i="54"/>
  <c r="AM47" i="54"/>
  <c r="AM48" i="54"/>
  <c r="AM49" i="54"/>
  <c r="AM50" i="54"/>
  <c r="AM51" i="54"/>
  <c r="AM52" i="54"/>
  <c r="AM53" i="54"/>
  <c r="AM54" i="54"/>
  <c r="AM55" i="54"/>
  <c r="AM56" i="54"/>
  <c r="AM57" i="54"/>
  <c r="AM58" i="54"/>
  <c r="AM59" i="54"/>
  <c r="AM60" i="54"/>
  <c r="AM61" i="54"/>
  <c r="AM62" i="54"/>
  <c r="AM63" i="54"/>
  <c r="AM64" i="54"/>
  <c r="AM65" i="54"/>
  <c r="AM66" i="54"/>
  <c r="AM45" i="54"/>
  <c r="AL55" i="54"/>
  <c r="W46" i="54"/>
  <c r="AL46" i="54" s="1"/>
  <c r="W47" i="54"/>
  <c r="AL47" i="54" s="1"/>
  <c r="W48" i="54"/>
  <c r="AL48" i="54" s="1"/>
  <c r="W49" i="54"/>
  <c r="AL49" i="54" s="1"/>
  <c r="W50" i="54"/>
  <c r="AL50" i="54" s="1"/>
  <c r="W51" i="54"/>
  <c r="AL51" i="54" s="1"/>
  <c r="W52" i="54"/>
  <c r="AL52" i="54" s="1"/>
  <c r="W53" i="54"/>
  <c r="AL53" i="54" s="1"/>
  <c r="W54" i="54"/>
  <c r="AL54" i="54" s="1"/>
  <c r="W55" i="54"/>
  <c r="W56" i="54"/>
  <c r="AL56" i="54" s="1"/>
  <c r="W57" i="54"/>
  <c r="AL57" i="54" s="1"/>
  <c r="W58" i="54"/>
  <c r="AL58" i="54" s="1"/>
  <c r="W59" i="54"/>
  <c r="AL59" i="54" s="1"/>
  <c r="W60" i="54"/>
  <c r="AL60" i="54" s="1"/>
  <c r="W61" i="54"/>
  <c r="AL61" i="54" s="1"/>
  <c r="W62" i="54"/>
  <c r="AL62" i="54" s="1"/>
  <c r="W63" i="54"/>
  <c r="AL63" i="54" s="1"/>
  <c r="W64" i="54"/>
  <c r="AL64" i="54" s="1"/>
  <c r="W65" i="54"/>
  <c r="AL65" i="54" s="1"/>
  <c r="W66" i="54"/>
  <c r="AL66" i="54" s="1"/>
  <c r="W45" i="54"/>
  <c r="AI67" i="54"/>
  <c r="AJ67" i="54"/>
  <c r="AK67" i="54"/>
  <c r="AH67" i="54"/>
  <c r="AF67" i="54"/>
  <c r="AG67" i="54"/>
  <c r="AB67" i="54"/>
  <c r="AC67" i="54"/>
  <c r="AD67" i="54"/>
  <c r="AE67" i="54"/>
  <c r="Q41" i="55"/>
  <c r="Q42" i="55"/>
  <c r="Q43" i="55"/>
  <c r="Q44" i="55"/>
  <c r="Q45" i="55"/>
  <c r="Q46" i="55"/>
  <c r="Q47" i="55"/>
  <c r="Q40" i="55"/>
  <c r="P41" i="55"/>
  <c r="P42" i="55"/>
  <c r="P43" i="55"/>
  <c r="P44" i="55"/>
  <c r="P45" i="55"/>
  <c r="P46" i="55"/>
  <c r="P47" i="55"/>
  <c r="P40" i="55"/>
  <c r="O42" i="55"/>
  <c r="O47" i="55"/>
  <c r="K41" i="55"/>
  <c r="O41" i="55" s="1"/>
  <c r="K42" i="55"/>
  <c r="K43" i="55"/>
  <c r="O43" i="55" s="1"/>
  <c r="K44" i="55"/>
  <c r="O44" i="55" s="1"/>
  <c r="K45" i="55"/>
  <c r="O45" i="55" s="1"/>
  <c r="K46" i="55"/>
  <c r="O46" i="55" s="1"/>
  <c r="K47" i="55"/>
  <c r="K40" i="55"/>
  <c r="O40" i="55" s="1"/>
  <c r="N48" i="55"/>
  <c r="X25" i="52"/>
  <c r="X26" i="52"/>
  <c r="X27" i="52"/>
  <c r="X28" i="52"/>
  <c r="X29" i="52"/>
  <c r="X30" i="52"/>
  <c r="X24" i="52"/>
  <c r="V25" i="52"/>
  <c r="V26" i="52"/>
  <c r="V27" i="52"/>
  <c r="V28" i="52"/>
  <c r="V29" i="52"/>
  <c r="V30" i="52"/>
  <c r="W27" i="52"/>
  <c r="V24" i="52"/>
  <c r="U28" i="52"/>
  <c r="M25" i="52"/>
  <c r="W25" i="52" s="1"/>
  <c r="M26" i="52"/>
  <c r="U26" i="52" s="1"/>
  <c r="M27" i="52"/>
  <c r="U27" i="52" s="1"/>
  <c r="M28" i="52"/>
  <c r="W28" i="52" s="1"/>
  <c r="M29" i="52"/>
  <c r="W29" i="52" s="1"/>
  <c r="M30" i="52"/>
  <c r="U30" i="52" s="1"/>
  <c r="M24" i="52"/>
  <c r="U24" i="52" s="1"/>
  <c r="N31" i="52"/>
  <c r="O31" i="52"/>
  <c r="P31" i="52"/>
  <c r="Q31" i="52"/>
  <c r="R31" i="52"/>
  <c r="S31" i="52"/>
  <c r="T31" i="52"/>
  <c r="J89" i="58"/>
  <c r="K89" i="58"/>
  <c r="O77" i="58"/>
  <c r="X77" i="58" s="1"/>
  <c r="O78" i="58"/>
  <c r="X78" i="58" s="1"/>
  <c r="O79" i="58"/>
  <c r="X79" i="58" s="1"/>
  <c r="O80" i="58"/>
  <c r="O81" i="58"/>
  <c r="X81" i="58" s="1"/>
  <c r="O82" i="58"/>
  <c r="X82" i="58" s="1"/>
  <c r="O83" i="58"/>
  <c r="X83" i="58" s="1"/>
  <c r="O84" i="58"/>
  <c r="O85" i="58"/>
  <c r="X85" i="58" s="1"/>
  <c r="O86" i="58"/>
  <c r="X86" i="58" s="1"/>
  <c r="O87" i="58"/>
  <c r="X87" i="58" s="1"/>
  <c r="O88" i="58"/>
  <c r="O76" i="58"/>
  <c r="X76" i="58" s="1"/>
  <c r="N77" i="58"/>
  <c r="N78" i="58"/>
  <c r="Y78" i="58" s="1"/>
  <c r="N79" i="58"/>
  <c r="Y79" i="58" s="1"/>
  <c r="N80" i="58"/>
  <c r="Y80" i="58" s="1"/>
  <c r="N81" i="58"/>
  <c r="N82" i="58"/>
  <c r="Y82" i="58" s="1"/>
  <c r="N83" i="58"/>
  <c r="Y83" i="58" s="1"/>
  <c r="N84" i="58"/>
  <c r="Y84" i="58" s="1"/>
  <c r="N85" i="58"/>
  <c r="N86" i="58"/>
  <c r="Y86" i="58" s="1"/>
  <c r="N87" i="58"/>
  <c r="Y87" i="58" s="1"/>
  <c r="N88" i="58"/>
  <c r="Y88" i="58" s="1"/>
  <c r="N76" i="58"/>
  <c r="L89" i="58"/>
  <c r="M89" i="58"/>
  <c r="L65" i="58"/>
  <c r="N65" i="58" s="1"/>
  <c r="L64" i="58"/>
  <c r="N64" i="58" s="1"/>
  <c r="L63" i="58"/>
  <c r="N63" i="58" s="1"/>
  <c r="AF63" i="58" s="1"/>
  <c r="L62" i="58"/>
  <c r="L61" i="58"/>
  <c r="N61" i="58" s="1"/>
  <c r="L60" i="58"/>
  <c r="L59" i="58"/>
  <c r="L58" i="58"/>
  <c r="L57" i="58"/>
  <c r="N57" i="58" s="1"/>
  <c r="L56" i="58"/>
  <c r="N56" i="58" s="1"/>
  <c r="L55" i="58"/>
  <c r="N55" i="58" s="1"/>
  <c r="AF55" i="58" s="1"/>
  <c r="L54" i="58"/>
  <c r="J66" i="58"/>
  <c r="K66" i="58"/>
  <c r="O54" i="58"/>
  <c r="O55" i="58"/>
  <c r="AE55" i="58" s="1"/>
  <c r="O56" i="58"/>
  <c r="AE56" i="58" s="1"/>
  <c r="O57" i="58"/>
  <c r="O58" i="58"/>
  <c r="AE58" i="58" s="1"/>
  <c r="O59" i="58"/>
  <c r="O60" i="58"/>
  <c r="AE60" i="58" s="1"/>
  <c r="O61" i="58"/>
  <c r="O62" i="58"/>
  <c r="AE62" i="58" s="1"/>
  <c r="O63" i="58"/>
  <c r="AE63" i="58" s="1"/>
  <c r="O64" i="58"/>
  <c r="AE64" i="58" s="1"/>
  <c r="O65" i="58"/>
  <c r="O53" i="58"/>
  <c r="AE53" i="58" s="1"/>
  <c r="N58" i="58"/>
  <c r="AF58" i="58" s="1"/>
  <c r="N59" i="58"/>
  <c r="N60" i="58"/>
  <c r="N62" i="58"/>
  <c r="AF62" i="58" s="1"/>
  <c r="N53" i="58"/>
  <c r="M66" i="58"/>
  <c r="AI6" i="58"/>
  <c r="Z38" i="58"/>
  <c r="AD38" i="58" s="1"/>
  <c r="Z36" i="58"/>
  <c r="AD36" i="58" s="1"/>
  <c r="Z34" i="58"/>
  <c r="AD34" i="58" s="1"/>
  <c r="Z32" i="58"/>
  <c r="AD32" i="58" s="1"/>
  <c r="Z29" i="58"/>
  <c r="AD29" i="58" s="1"/>
  <c r="Z28" i="58"/>
  <c r="AD28" i="58" s="1"/>
  <c r="Z27" i="58"/>
  <c r="AD27" i="58" s="1"/>
  <c r="Z21" i="58"/>
  <c r="AD21" i="58" s="1"/>
  <c r="Z20" i="58"/>
  <c r="Z19" i="58"/>
  <c r="AD19" i="58" s="1"/>
  <c r="Z18" i="58"/>
  <c r="AD18" i="58" s="1"/>
  <c r="Z17" i="58"/>
  <c r="AD17" i="58" s="1"/>
  <c r="Z16" i="58"/>
  <c r="AD16" i="58" s="1"/>
  <c r="Z14" i="58"/>
  <c r="AD14" i="58" s="1"/>
  <c r="Z7" i="58"/>
  <c r="AD7" i="58" s="1"/>
  <c r="AE7" i="58"/>
  <c r="AE8" i="58"/>
  <c r="AE9" i="58"/>
  <c r="AE10" i="58"/>
  <c r="AE11" i="58"/>
  <c r="AE12" i="58"/>
  <c r="AE13" i="58"/>
  <c r="AE14" i="58"/>
  <c r="AE15" i="58"/>
  <c r="AE16" i="58"/>
  <c r="AE17" i="58"/>
  <c r="AE18" i="58"/>
  <c r="AE19" i="58"/>
  <c r="AE20" i="58"/>
  <c r="AE21" i="58"/>
  <c r="AE22" i="58"/>
  <c r="AE23" i="58"/>
  <c r="AE24" i="58"/>
  <c r="AE25" i="58"/>
  <c r="AE26" i="58"/>
  <c r="AE27" i="58"/>
  <c r="AE28" i="58"/>
  <c r="AE29" i="58"/>
  <c r="AE30" i="58"/>
  <c r="AE31" i="58"/>
  <c r="AE32" i="58"/>
  <c r="AE33" i="58"/>
  <c r="AE34" i="58"/>
  <c r="AE35" i="58"/>
  <c r="AE36" i="58"/>
  <c r="AE37" i="58"/>
  <c r="AE38" i="58"/>
  <c r="AE39" i="58"/>
  <c r="AD8" i="58"/>
  <c r="AD9" i="58"/>
  <c r="AD10" i="58"/>
  <c r="AD11" i="58"/>
  <c r="AD12" i="58"/>
  <c r="AD13" i="58"/>
  <c r="AD15" i="58"/>
  <c r="AD20" i="58"/>
  <c r="AD22" i="58"/>
  <c r="AD23" i="58"/>
  <c r="AD24" i="58"/>
  <c r="AD25" i="58"/>
  <c r="AD26" i="58"/>
  <c r="AD30" i="58"/>
  <c r="AD31" i="58"/>
  <c r="AD33" i="58"/>
  <c r="AD35" i="58"/>
  <c r="AD37" i="58"/>
  <c r="AD39" i="58"/>
  <c r="AB40" i="58"/>
  <c r="AC40" i="58"/>
  <c r="AE6" i="58"/>
  <c r="AD6" i="58"/>
  <c r="T38" i="58"/>
  <c r="X38" i="58" s="1"/>
  <c r="T36" i="58"/>
  <c r="X36" i="58" s="1"/>
  <c r="T34" i="58"/>
  <c r="X34" i="58" s="1"/>
  <c r="T32" i="58"/>
  <c r="X32" i="58" s="1"/>
  <c r="T29" i="58"/>
  <c r="X29" i="58" s="1"/>
  <c r="T28" i="58"/>
  <c r="T27" i="58"/>
  <c r="X27" i="58" s="1"/>
  <c r="T21" i="58"/>
  <c r="T20" i="58"/>
  <c r="X20" i="58" s="1"/>
  <c r="T19" i="58"/>
  <c r="X19" i="58" s="1"/>
  <c r="T18" i="58"/>
  <c r="X18" i="58" s="1"/>
  <c r="T17" i="58"/>
  <c r="X17" i="58" s="1"/>
  <c r="T16" i="58"/>
  <c r="X16" i="58" s="1"/>
  <c r="T14" i="58"/>
  <c r="X14" i="58" s="1"/>
  <c r="T7" i="58"/>
  <c r="X7" i="58" s="1"/>
  <c r="Y7" i="58"/>
  <c r="Y8" i="58"/>
  <c r="Y9" i="58"/>
  <c r="Y10" i="58"/>
  <c r="Y11" i="58"/>
  <c r="Y12" i="58"/>
  <c r="Y13" i="58"/>
  <c r="Y14" i="58"/>
  <c r="Y15" i="58"/>
  <c r="Y16" i="58"/>
  <c r="Y17" i="58"/>
  <c r="Y18" i="58"/>
  <c r="Y19" i="58"/>
  <c r="Y20" i="58"/>
  <c r="Y21" i="58"/>
  <c r="Y22" i="58"/>
  <c r="Y23" i="58"/>
  <c r="Y24" i="58"/>
  <c r="Y25" i="58"/>
  <c r="Y26" i="58"/>
  <c r="Y27" i="58"/>
  <c r="Y28" i="58"/>
  <c r="Y29" i="58"/>
  <c r="Y30" i="58"/>
  <c r="Y31" i="58"/>
  <c r="Y32" i="58"/>
  <c r="Y33" i="58"/>
  <c r="Y34" i="58"/>
  <c r="Y35" i="58"/>
  <c r="Y36" i="58"/>
  <c r="Y37" i="58"/>
  <c r="Y38" i="58"/>
  <c r="Y39" i="58"/>
  <c r="X8" i="58"/>
  <c r="X9" i="58"/>
  <c r="X10" i="58"/>
  <c r="X11" i="58"/>
  <c r="X12" i="58"/>
  <c r="X13" i="58"/>
  <c r="X15" i="58"/>
  <c r="X21" i="58"/>
  <c r="X22" i="58"/>
  <c r="X23" i="58"/>
  <c r="X24" i="58"/>
  <c r="X25" i="58"/>
  <c r="X26" i="58"/>
  <c r="X28" i="58"/>
  <c r="X30" i="58"/>
  <c r="X31" i="58"/>
  <c r="X33" i="58"/>
  <c r="X35" i="58"/>
  <c r="X37" i="58"/>
  <c r="X39" i="58"/>
  <c r="V40" i="58"/>
  <c r="W40" i="58"/>
  <c r="Y6" i="58"/>
  <c r="X6" i="58"/>
  <c r="S7" i="58"/>
  <c r="S8" i="58"/>
  <c r="S9" i="58"/>
  <c r="S10" i="58"/>
  <c r="S11" i="58"/>
  <c r="S12" i="58"/>
  <c r="S13" i="58"/>
  <c r="S14" i="58"/>
  <c r="S15" i="58"/>
  <c r="S16" i="58"/>
  <c r="S17" i="58"/>
  <c r="S18" i="58"/>
  <c r="S19" i="58"/>
  <c r="S20" i="58"/>
  <c r="S21" i="58"/>
  <c r="S22" i="58"/>
  <c r="S23" i="58"/>
  <c r="S24" i="58"/>
  <c r="S25" i="58"/>
  <c r="S26" i="58"/>
  <c r="S27" i="58"/>
  <c r="S28" i="58"/>
  <c r="S29" i="58"/>
  <c r="S30" i="58"/>
  <c r="S31" i="58"/>
  <c r="S32" i="58"/>
  <c r="S33" i="58"/>
  <c r="S34" i="58"/>
  <c r="S35" i="58"/>
  <c r="S36" i="58"/>
  <c r="S37" i="58"/>
  <c r="S38" i="58"/>
  <c r="S39" i="58"/>
  <c r="R8" i="58"/>
  <c r="R9" i="58"/>
  <c r="R10" i="58"/>
  <c r="AH10" i="58" s="1"/>
  <c r="R11" i="58"/>
  <c r="R12" i="58"/>
  <c r="R13" i="58"/>
  <c r="R14" i="58"/>
  <c r="R15" i="58"/>
  <c r="R18" i="58"/>
  <c r="AH18" i="58" s="1"/>
  <c r="R19" i="58"/>
  <c r="R20" i="58"/>
  <c r="R22" i="58"/>
  <c r="AH22" i="58" s="1"/>
  <c r="R23" i="58"/>
  <c r="R24" i="58"/>
  <c r="R25" i="58"/>
  <c r="R26" i="58"/>
  <c r="AH26" i="58" s="1"/>
  <c r="R29" i="58"/>
  <c r="R30" i="58"/>
  <c r="AH30" i="58" s="1"/>
  <c r="R31" i="58"/>
  <c r="R33" i="58"/>
  <c r="R34" i="58"/>
  <c r="AH34" i="58" s="1"/>
  <c r="R35" i="58"/>
  <c r="R37" i="58"/>
  <c r="R38" i="58"/>
  <c r="R39" i="58"/>
  <c r="S6" i="58"/>
  <c r="R6" i="58"/>
  <c r="P40" i="58"/>
  <c r="Q40" i="58"/>
  <c r="I40" i="58"/>
  <c r="J40" i="58"/>
  <c r="K40" i="58"/>
  <c r="N38" i="58"/>
  <c r="N36" i="58"/>
  <c r="R36" i="58" s="1"/>
  <c r="N34" i="58"/>
  <c r="N32" i="58"/>
  <c r="R32" i="58" s="1"/>
  <c r="N29" i="58"/>
  <c r="N28" i="58"/>
  <c r="R28" i="58" s="1"/>
  <c r="N27" i="58"/>
  <c r="R27" i="58" s="1"/>
  <c r="N21" i="58"/>
  <c r="R21" i="58" s="1"/>
  <c r="N20" i="58"/>
  <c r="N18" i="58"/>
  <c r="N17" i="58"/>
  <c r="R17" i="58" s="1"/>
  <c r="N16" i="58"/>
  <c r="N40" i="58" s="1"/>
  <c r="N14" i="58"/>
  <c r="N7" i="58"/>
  <c r="R7" i="58" s="1"/>
  <c r="M7" i="58"/>
  <c r="M8" i="58"/>
  <c r="AI8" i="58" s="1"/>
  <c r="M9" i="58"/>
  <c r="AI9" i="58" s="1"/>
  <c r="M10" i="58"/>
  <c r="AI10" i="58" s="1"/>
  <c r="M11" i="58"/>
  <c r="AI11" i="58" s="1"/>
  <c r="M12" i="58"/>
  <c r="AI12" i="58" s="1"/>
  <c r="M13" i="58"/>
  <c r="AI13" i="58" s="1"/>
  <c r="M14" i="58"/>
  <c r="AI14" i="58" s="1"/>
  <c r="M15" i="58"/>
  <c r="AI15" i="58" s="1"/>
  <c r="M16" i="58"/>
  <c r="AI16" i="58" s="1"/>
  <c r="M17" i="58"/>
  <c r="AI17" i="58" s="1"/>
  <c r="M18" i="58"/>
  <c r="AI18" i="58" s="1"/>
  <c r="M19" i="58"/>
  <c r="AI19" i="58" s="1"/>
  <c r="M20" i="58"/>
  <c r="AI20" i="58" s="1"/>
  <c r="M21" i="58"/>
  <c r="AI21" i="58" s="1"/>
  <c r="M22" i="58"/>
  <c r="AI22" i="58" s="1"/>
  <c r="M23" i="58"/>
  <c r="AI23" i="58" s="1"/>
  <c r="M24" i="58"/>
  <c r="AI24" i="58" s="1"/>
  <c r="M25" i="58"/>
  <c r="AI25" i="58" s="1"/>
  <c r="M26" i="58"/>
  <c r="AI26" i="58" s="1"/>
  <c r="M27" i="58"/>
  <c r="AI27" i="58" s="1"/>
  <c r="M28" i="58"/>
  <c r="AI28" i="58" s="1"/>
  <c r="M29" i="58"/>
  <c r="AI29" i="58" s="1"/>
  <c r="M30" i="58"/>
  <c r="AI30" i="58" s="1"/>
  <c r="M31" i="58"/>
  <c r="AI31" i="58" s="1"/>
  <c r="M32" i="58"/>
  <c r="AI32" i="58" s="1"/>
  <c r="M33" i="58"/>
  <c r="AI33" i="58" s="1"/>
  <c r="M34" i="58"/>
  <c r="AI34" i="58" s="1"/>
  <c r="M35" i="58"/>
  <c r="AI35" i="58" s="1"/>
  <c r="M36" i="58"/>
  <c r="AI36" i="58" s="1"/>
  <c r="M37" i="58"/>
  <c r="AI37" i="58" s="1"/>
  <c r="M38" i="58"/>
  <c r="AI38" i="58" s="1"/>
  <c r="M39" i="58"/>
  <c r="AI39" i="58" s="1"/>
  <c r="L7" i="58"/>
  <c r="L8" i="58"/>
  <c r="AH8" i="58" s="1"/>
  <c r="L9" i="58"/>
  <c r="AH9" i="58" s="1"/>
  <c r="L10" i="58"/>
  <c r="L11" i="58"/>
  <c r="AH11" i="58" s="1"/>
  <c r="L12" i="58"/>
  <c r="AH12" i="58" s="1"/>
  <c r="L13" i="58"/>
  <c r="AH13" i="58" s="1"/>
  <c r="L14" i="58"/>
  <c r="L15" i="58"/>
  <c r="AH15" i="58" s="1"/>
  <c r="L18" i="58"/>
  <c r="L20" i="58"/>
  <c r="AH20" i="58" s="1"/>
  <c r="L21" i="58"/>
  <c r="AH21" i="58" s="1"/>
  <c r="L22" i="58"/>
  <c r="L23" i="58"/>
  <c r="AH23" i="58" s="1"/>
  <c r="L24" i="58"/>
  <c r="AH24" i="58" s="1"/>
  <c r="L25" i="58"/>
  <c r="AH25" i="58" s="1"/>
  <c r="L26" i="58"/>
  <c r="L27" i="58"/>
  <c r="L28" i="58"/>
  <c r="AH28" i="58" s="1"/>
  <c r="L29" i="58"/>
  <c r="AH29" i="58" s="1"/>
  <c r="L30" i="58"/>
  <c r="L31" i="58"/>
  <c r="AH31" i="58" s="1"/>
  <c r="L32" i="58"/>
  <c r="AH32" i="58" s="1"/>
  <c r="L33" i="58"/>
  <c r="AH33" i="58" s="1"/>
  <c r="L34" i="58"/>
  <c r="L35" i="58"/>
  <c r="AH35" i="58" s="1"/>
  <c r="L36" i="58"/>
  <c r="AH36" i="58" s="1"/>
  <c r="L37" i="58"/>
  <c r="AH37" i="58" s="1"/>
  <c r="L39" i="58"/>
  <c r="AH39" i="58" s="1"/>
  <c r="M6" i="58"/>
  <c r="M40" i="58" s="1"/>
  <c r="L6" i="58"/>
  <c r="AH6" i="58" s="1"/>
  <c r="H38" i="58"/>
  <c r="L38" i="58" s="1"/>
  <c r="AH38" i="58" s="1"/>
  <c r="H19" i="58"/>
  <c r="L19" i="58" s="1"/>
  <c r="H18" i="58"/>
  <c r="H17" i="58"/>
  <c r="H40" i="58" s="1"/>
  <c r="H16" i="58"/>
  <c r="L16" i="58" s="1"/>
  <c r="M88" i="57"/>
  <c r="N88" i="57"/>
  <c r="R76" i="57"/>
  <c r="Y76" i="57" s="1"/>
  <c r="R77" i="57"/>
  <c r="R78" i="57"/>
  <c r="Y78" i="57" s="1"/>
  <c r="R79" i="57"/>
  <c r="R80" i="57"/>
  <c r="Y80" i="57" s="1"/>
  <c r="R81" i="57"/>
  <c r="R82" i="57"/>
  <c r="Y82" i="57" s="1"/>
  <c r="R83" i="57"/>
  <c r="R84" i="57"/>
  <c r="Y84" i="57" s="1"/>
  <c r="R85" i="57"/>
  <c r="R86" i="57"/>
  <c r="Y86" i="57" s="1"/>
  <c r="R87" i="57"/>
  <c r="R75" i="57"/>
  <c r="Y75" i="57" s="1"/>
  <c r="Q76" i="57"/>
  <c r="Q77" i="57"/>
  <c r="Q78" i="57"/>
  <c r="Q79" i="57"/>
  <c r="Q80" i="57"/>
  <c r="Q81" i="57"/>
  <c r="Q82" i="57"/>
  <c r="Q83" i="57"/>
  <c r="Q84" i="57"/>
  <c r="Q85" i="57"/>
  <c r="Q86" i="57"/>
  <c r="Q87" i="57"/>
  <c r="Q75" i="57"/>
  <c r="M63" i="57"/>
  <c r="N63" i="57"/>
  <c r="Y61" i="57"/>
  <c r="R49" i="57"/>
  <c r="Q49" i="57"/>
  <c r="Y49" i="57" s="1"/>
  <c r="AF9" i="57"/>
  <c r="AF10" i="57"/>
  <c r="AF11" i="57"/>
  <c r="AF12" i="57"/>
  <c r="AF13" i="57"/>
  <c r="AF14" i="57"/>
  <c r="AF15" i="57"/>
  <c r="AF16" i="57"/>
  <c r="AF17" i="57"/>
  <c r="AF18" i="57"/>
  <c r="AF19" i="57"/>
  <c r="AF20" i="57"/>
  <c r="AF21" i="57"/>
  <c r="AF22" i="57"/>
  <c r="AF23" i="57"/>
  <c r="AF24" i="57"/>
  <c r="AF25" i="57"/>
  <c r="AF26" i="57"/>
  <c r="AF27" i="57"/>
  <c r="AF28" i="57"/>
  <c r="AF29" i="57"/>
  <c r="AF30" i="57"/>
  <c r="AF31" i="57"/>
  <c r="AF32" i="57"/>
  <c r="AF33" i="57"/>
  <c r="AF34" i="57"/>
  <c r="AF35" i="57"/>
  <c r="AF36" i="57"/>
  <c r="AF37" i="57"/>
  <c r="AF38" i="57"/>
  <c r="AE16" i="57"/>
  <c r="AE17" i="57"/>
  <c r="AE19" i="57"/>
  <c r="AE20" i="57"/>
  <c r="AE21" i="57"/>
  <c r="AI21" i="57" s="1"/>
  <c r="AE25" i="57"/>
  <c r="AE26" i="57"/>
  <c r="AE27" i="57"/>
  <c r="AE28" i="57"/>
  <c r="AE29" i="57"/>
  <c r="AE30" i="57"/>
  <c r="AE31" i="57"/>
  <c r="AE32" i="57"/>
  <c r="AE33" i="57"/>
  <c r="AE34" i="57"/>
  <c r="AE35" i="57"/>
  <c r="AE36" i="57"/>
  <c r="AE37" i="57"/>
  <c r="AE38" i="57"/>
  <c r="AC39" i="57"/>
  <c r="AD39" i="57"/>
  <c r="AF8" i="57"/>
  <c r="Z9" i="57"/>
  <c r="Z10" i="57"/>
  <c r="Z11" i="57"/>
  <c r="Z12" i="57"/>
  <c r="Z13" i="57"/>
  <c r="Z14" i="57"/>
  <c r="Z15" i="57"/>
  <c r="Z16" i="57"/>
  <c r="Z17" i="57"/>
  <c r="Z18" i="57"/>
  <c r="Z19" i="57"/>
  <c r="Z20" i="57"/>
  <c r="Z21" i="57"/>
  <c r="Z22" i="57"/>
  <c r="Z23" i="57"/>
  <c r="Z24" i="57"/>
  <c r="Z25" i="57"/>
  <c r="Z26" i="57"/>
  <c r="Z27" i="57"/>
  <c r="Z28" i="57"/>
  <c r="Z29" i="57"/>
  <c r="Z30" i="57"/>
  <c r="Z31" i="57"/>
  <c r="Z32" i="57"/>
  <c r="Z33" i="57"/>
  <c r="Z34" i="57"/>
  <c r="Z35" i="57"/>
  <c r="Z36" i="57"/>
  <c r="Z37" i="57"/>
  <c r="Z38" i="57"/>
  <c r="Y16" i="57"/>
  <c r="Y17" i="57"/>
  <c r="Y19" i="57"/>
  <c r="Y20" i="57"/>
  <c r="Y21" i="57"/>
  <c r="Y25" i="57"/>
  <c r="Y26" i="57"/>
  <c r="Y27" i="57"/>
  <c r="Y28" i="57"/>
  <c r="Y29" i="57"/>
  <c r="Y30" i="57"/>
  <c r="Y31" i="57"/>
  <c r="Y32" i="57"/>
  <c r="Y33" i="57"/>
  <c r="Y34" i="57"/>
  <c r="Y35" i="57"/>
  <c r="Y36" i="57"/>
  <c r="Y37" i="57"/>
  <c r="Y38" i="57"/>
  <c r="W39" i="57"/>
  <c r="X39" i="57"/>
  <c r="Z8" i="57"/>
  <c r="O24" i="57"/>
  <c r="S24" i="57" s="1"/>
  <c r="O23" i="57"/>
  <c r="S23" i="57" s="1"/>
  <c r="O22" i="57"/>
  <c r="S22" i="57" s="1"/>
  <c r="O18" i="57"/>
  <c r="S18" i="57" s="1"/>
  <c r="O15" i="57"/>
  <c r="S15" i="57" s="1"/>
  <c r="O14" i="57"/>
  <c r="S14" i="57" s="1"/>
  <c r="O13" i="57"/>
  <c r="O12" i="57"/>
  <c r="S12" i="57" s="1"/>
  <c r="O11" i="57"/>
  <c r="S11" i="57" s="1"/>
  <c r="O10" i="57"/>
  <c r="O9" i="57"/>
  <c r="S9" i="57" s="1"/>
  <c r="O8" i="57"/>
  <c r="S8" i="57" s="1"/>
  <c r="T9" i="57"/>
  <c r="T10" i="57"/>
  <c r="T11" i="57"/>
  <c r="T12" i="57"/>
  <c r="T15" i="57"/>
  <c r="T16" i="57"/>
  <c r="T17" i="57"/>
  <c r="T18" i="57"/>
  <c r="T19" i="57"/>
  <c r="T20" i="57"/>
  <c r="T21" i="57"/>
  <c r="T24" i="57"/>
  <c r="T25" i="57"/>
  <c r="T26" i="57"/>
  <c r="T27" i="57"/>
  <c r="T28" i="57"/>
  <c r="T29" i="57"/>
  <c r="T30" i="57"/>
  <c r="T31" i="57"/>
  <c r="T32" i="57"/>
  <c r="T33" i="57"/>
  <c r="T34" i="57"/>
  <c r="T35" i="57"/>
  <c r="T36" i="57"/>
  <c r="T37" i="57"/>
  <c r="T38" i="57"/>
  <c r="T8" i="57"/>
  <c r="Q39" i="57"/>
  <c r="R39" i="57"/>
  <c r="S10" i="57"/>
  <c r="S13" i="57"/>
  <c r="S16" i="57"/>
  <c r="S17" i="57"/>
  <c r="S19" i="57"/>
  <c r="S20" i="57"/>
  <c r="S21" i="57"/>
  <c r="S25" i="57"/>
  <c r="S26" i="57"/>
  <c r="S27" i="57"/>
  <c r="S28" i="57"/>
  <c r="S29" i="57"/>
  <c r="S30" i="57"/>
  <c r="S31" i="57"/>
  <c r="S32" i="57"/>
  <c r="S33" i="57"/>
  <c r="S34" i="57"/>
  <c r="S35" i="57"/>
  <c r="S36" i="57"/>
  <c r="S37" i="57"/>
  <c r="S38" i="57"/>
  <c r="N9" i="57"/>
  <c r="N10" i="57"/>
  <c r="N11" i="57"/>
  <c r="AJ11" i="57" s="1"/>
  <c r="N12" i="57"/>
  <c r="AJ12" i="57" s="1"/>
  <c r="N13" i="57"/>
  <c r="N14" i="57"/>
  <c r="N15" i="57"/>
  <c r="N16" i="57"/>
  <c r="AJ16" i="57" s="1"/>
  <c r="N17" i="57"/>
  <c r="N18" i="57"/>
  <c r="N19" i="57"/>
  <c r="N20" i="57"/>
  <c r="AJ20" i="57" s="1"/>
  <c r="N21" i="57"/>
  <c r="N22" i="57"/>
  <c r="N23" i="57"/>
  <c r="N24" i="57"/>
  <c r="AJ24" i="57" s="1"/>
  <c r="N25" i="57"/>
  <c r="AJ25" i="57" s="1"/>
  <c r="N26" i="57"/>
  <c r="N27" i="57"/>
  <c r="AJ27" i="57" s="1"/>
  <c r="N28" i="57"/>
  <c r="AJ28" i="57" s="1"/>
  <c r="N29" i="57"/>
  <c r="AJ29" i="57" s="1"/>
  <c r="N30" i="57"/>
  <c r="N31" i="57"/>
  <c r="AJ31" i="57" s="1"/>
  <c r="N32" i="57"/>
  <c r="AJ32" i="57" s="1"/>
  <c r="BI32" i="57" s="1"/>
  <c r="N33" i="57"/>
  <c r="AJ33" i="57" s="1"/>
  <c r="N34" i="57"/>
  <c r="N35" i="57"/>
  <c r="AJ35" i="57" s="1"/>
  <c r="N36" i="57"/>
  <c r="AJ36" i="57" s="1"/>
  <c r="N37" i="57"/>
  <c r="AJ37" i="57" s="1"/>
  <c r="N38" i="57"/>
  <c r="N8" i="57"/>
  <c r="M9" i="57"/>
  <c r="M16" i="57"/>
  <c r="M17" i="57"/>
  <c r="M18" i="57"/>
  <c r="M19" i="57"/>
  <c r="M20" i="57"/>
  <c r="AI20" i="57" s="1"/>
  <c r="M21" i="57"/>
  <c r="M22" i="57"/>
  <c r="M25" i="57"/>
  <c r="M26" i="57"/>
  <c r="M27" i="57"/>
  <c r="M28" i="57"/>
  <c r="AI28" i="57" s="1"/>
  <c r="M29" i="57"/>
  <c r="M30" i="57"/>
  <c r="M31" i="57"/>
  <c r="M32" i="57"/>
  <c r="AI32" i="57" s="1"/>
  <c r="M33" i="57"/>
  <c r="M34" i="57"/>
  <c r="M35" i="57"/>
  <c r="M36" i="57"/>
  <c r="AI36" i="57" s="1"/>
  <c r="M37" i="57"/>
  <c r="M38" i="57"/>
  <c r="K39" i="57"/>
  <c r="L39" i="57"/>
  <c r="I24" i="57"/>
  <c r="M24" i="57" s="1"/>
  <c r="I23" i="57"/>
  <c r="M23" i="57" s="1"/>
  <c r="AI23" i="57" s="1"/>
  <c r="I22" i="57"/>
  <c r="I15" i="57"/>
  <c r="M15" i="57" s="1"/>
  <c r="I14" i="57"/>
  <c r="M14" i="57" s="1"/>
  <c r="I13" i="57"/>
  <c r="M13" i="57" s="1"/>
  <c r="I12" i="57"/>
  <c r="M12" i="57" s="1"/>
  <c r="I11" i="57"/>
  <c r="M11" i="57" s="1"/>
  <c r="I10" i="57"/>
  <c r="M10" i="57" s="1"/>
  <c r="I9" i="57"/>
  <c r="I8" i="57"/>
  <c r="M8" i="57" s="1"/>
  <c r="U12" i="57"/>
  <c r="Y12" i="57" s="1"/>
  <c r="U23" i="57"/>
  <c r="Y23" i="57" s="1"/>
  <c r="U15" i="57"/>
  <c r="Y15" i="57" s="1"/>
  <c r="U9" i="57"/>
  <c r="Y9" i="57" s="1"/>
  <c r="U18" i="57"/>
  <c r="Y18" i="57" s="1"/>
  <c r="U8" i="57"/>
  <c r="Y8" i="57" s="1"/>
  <c r="U10" i="57"/>
  <c r="Y10" i="57" s="1"/>
  <c r="U13" i="57"/>
  <c r="Y13" i="57" s="1"/>
  <c r="U22" i="57"/>
  <c r="Y22" i="57" s="1"/>
  <c r="U14" i="57"/>
  <c r="Y14" i="57" s="1"/>
  <c r="P13" i="57"/>
  <c r="T13" i="57" s="1"/>
  <c r="P22" i="57"/>
  <c r="T22" i="57" s="1"/>
  <c r="P14" i="57"/>
  <c r="T14" i="57" s="1"/>
  <c r="P23" i="57"/>
  <c r="T23" i="57" s="1"/>
  <c r="AA12" i="57"/>
  <c r="AE12" i="57" s="1"/>
  <c r="AA23" i="57"/>
  <c r="AE23" i="57" s="1"/>
  <c r="AA15" i="57"/>
  <c r="AE15" i="57" s="1"/>
  <c r="AA9" i="57"/>
  <c r="AE9" i="57" s="1"/>
  <c r="AA18" i="57"/>
  <c r="AE18" i="57" s="1"/>
  <c r="AA8" i="57"/>
  <c r="AE8" i="57" s="1"/>
  <c r="AA10" i="57"/>
  <c r="AE10" i="57" s="1"/>
  <c r="AA13" i="57"/>
  <c r="AE13" i="57" s="1"/>
  <c r="AA22" i="57"/>
  <c r="AE22" i="57" s="1"/>
  <c r="AA14" i="57"/>
  <c r="AE14" i="57" s="1"/>
  <c r="U24" i="57"/>
  <c r="Y24" i="57" s="1"/>
  <c r="U11" i="57"/>
  <c r="Y11" i="57" s="1"/>
  <c r="AA24" i="57"/>
  <c r="AE24" i="57" s="1"/>
  <c r="AA11" i="57"/>
  <c r="AE11" i="57" s="1"/>
  <c r="AX80" i="52"/>
  <c r="AX70" i="52"/>
  <c r="AV70" i="52"/>
  <c r="W80" i="52"/>
  <c r="AU80" i="52" s="1"/>
  <c r="AU70" i="52"/>
  <c r="AX54" i="52"/>
  <c r="AV54" i="52"/>
  <c r="AX63" i="52"/>
  <c r="AW63" i="52"/>
  <c r="W63" i="52"/>
  <c r="AU63" i="52" s="1"/>
  <c r="AT8" i="52"/>
  <c r="AT9" i="52"/>
  <c r="AT10" i="52"/>
  <c r="AT11" i="52"/>
  <c r="AT12" i="52"/>
  <c r="AT13" i="52"/>
  <c r="AT7" i="52"/>
  <c r="AS11" i="52"/>
  <c r="AS12" i="52"/>
  <c r="AS13" i="52"/>
  <c r="AS10" i="52"/>
  <c r="AS8" i="52"/>
  <c r="AS7" i="52"/>
  <c r="AQ8" i="52"/>
  <c r="AQ12" i="52"/>
  <c r="AO8" i="52"/>
  <c r="AO9" i="52"/>
  <c r="AQ9" i="52" s="1"/>
  <c r="AO10" i="52"/>
  <c r="AO11" i="52"/>
  <c r="AQ11" i="52" s="1"/>
  <c r="AO12" i="52"/>
  <c r="AO13" i="52"/>
  <c r="AQ13" i="52" s="1"/>
  <c r="AO7" i="52"/>
  <c r="AN14" i="52"/>
  <c r="AP14" i="52"/>
  <c r="AM8" i="52"/>
  <c r="AM9" i="52"/>
  <c r="AM10" i="52"/>
  <c r="AQ10" i="52" s="1"/>
  <c r="AM11" i="52"/>
  <c r="AM12" i="52"/>
  <c r="AM13" i="52"/>
  <c r="AM7" i="52"/>
  <c r="W54" i="52"/>
  <c r="AU54" i="52" s="1"/>
  <c r="AJ8" i="52"/>
  <c r="AJ9" i="52"/>
  <c r="AJ10" i="52"/>
  <c r="AJ11" i="52"/>
  <c r="AJ12" i="52"/>
  <c r="AJ13" i="52"/>
  <c r="AJ7" i="52"/>
  <c r="AK8" i="52"/>
  <c r="AK9" i="52"/>
  <c r="AK10" i="52"/>
  <c r="AK11" i="52"/>
  <c r="AK12" i="52"/>
  <c r="AK13" i="52"/>
  <c r="AK7" i="52"/>
  <c r="AH8" i="52"/>
  <c r="AH9" i="52"/>
  <c r="AH10" i="52"/>
  <c r="AH11" i="52"/>
  <c r="AH12" i="52"/>
  <c r="AH13" i="52"/>
  <c r="AH7" i="52"/>
  <c r="AI8" i="52"/>
  <c r="AI9" i="52"/>
  <c r="AI10" i="52"/>
  <c r="AI11" i="52"/>
  <c r="AI12" i="52"/>
  <c r="AI13" i="52"/>
  <c r="AI7" i="52"/>
  <c r="AG8" i="52"/>
  <c r="AG9" i="52"/>
  <c r="AG10" i="52"/>
  <c r="AG11" i="52"/>
  <c r="AG12" i="52"/>
  <c r="AG13" i="52"/>
  <c r="AG7" i="52"/>
  <c r="W35" i="31"/>
  <c r="N45" i="60"/>
  <c r="P45" i="60"/>
  <c r="Q45" i="60"/>
  <c r="R45" i="60"/>
  <c r="S45" i="60"/>
  <c r="AO8" i="60"/>
  <c r="AO9" i="60"/>
  <c r="AO10" i="60"/>
  <c r="AO11" i="60"/>
  <c r="AO12" i="60"/>
  <c r="AO13" i="60"/>
  <c r="AO14" i="60"/>
  <c r="AO15" i="60"/>
  <c r="AO16" i="60"/>
  <c r="AO17" i="60"/>
  <c r="AO18" i="60"/>
  <c r="AO19" i="60"/>
  <c r="AO20" i="60"/>
  <c r="AO7" i="60"/>
  <c r="AN8" i="60"/>
  <c r="AN9" i="60"/>
  <c r="AN10" i="60"/>
  <c r="AN11" i="60"/>
  <c r="AN12" i="60"/>
  <c r="AN13" i="60"/>
  <c r="AN14" i="60"/>
  <c r="AN15" i="60"/>
  <c r="AN16" i="60"/>
  <c r="AN17" i="60"/>
  <c r="AN18" i="60"/>
  <c r="AN19" i="60"/>
  <c r="AN20" i="60"/>
  <c r="AN7" i="60"/>
  <c r="AM17" i="60"/>
  <c r="AM18" i="60"/>
  <c r="AM16" i="60"/>
  <c r="AL8" i="60"/>
  <c r="AL9" i="60"/>
  <c r="AL10" i="60"/>
  <c r="AL11" i="60"/>
  <c r="AL12" i="60"/>
  <c r="AL13" i="60"/>
  <c r="AL14" i="60"/>
  <c r="AL15" i="60"/>
  <c r="AL20" i="60"/>
  <c r="AL7" i="60"/>
  <c r="AK17" i="60"/>
  <c r="AL17" i="60" s="1"/>
  <c r="AK18" i="60"/>
  <c r="AL18" i="60" s="1"/>
  <c r="AK19" i="60"/>
  <c r="AL19" i="60" s="1"/>
  <c r="AK20" i="60"/>
  <c r="AK16" i="60"/>
  <c r="AL16" i="60" s="1"/>
  <c r="AE8" i="60"/>
  <c r="AE9" i="60"/>
  <c r="AE10" i="60"/>
  <c r="AE11" i="60"/>
  <c r="AE12" i="60"/>
  <c r="AE13" i="60"/>
  <c r="AE14" i="60"/>
  <c r="AE15" i="60"/>
  <c r="AE16" i="60"/>
  <c r="AE17" i="60"/>
  <c r="AE18" i="60"/>
  <c r="AE19" i="60"/>
  <c r="AE20" i="60"/>
  <c r="AE7" i="60"/>
  <c r="AF8" i="60"/>
  <c r="AF9" i="60"/>
  <c r="AF10" i="60"/>
  <c r="AF11" i="60"/>
  <c r="AF12" i="60"/>
  <c r="AF13" i="60"/>
  <c r="AF14" i="60"/>
  <c r="AF15" i="60"/>
  <c r="AF16" i="60"/>
  <c r="AF17" i="60"/>
  <c r="AF18" i="60"/>
  <c r="AF19" i="60"/>
  <c r="AF20" i="60"/>
  <c r="AF7" i="60"/>
  <c r="AG8" i="60"/>
  <c r="AG9" i="60"/>
  <c r="AG10" i="60"/>
  <c r="AG11" i="60"/>
  <c r="AG12" i="60"/>
  <c r="AG13" i="60"/>
  <c r="AG14" i="60"/>
  <c r="AG15" i="60"/>
  <c r="AG16" i="60"/>
  <c r="AG17" i="60"/>
  <c r="AG18" i="60"/>
  <c r="AG19" i="60"/>
  <c r="AG20" i="60"/>
  <c r="AG7" i="60"/>
  <c r="AC8" i="60"/>
  <c r="AC9" i="60"/>
  <c r="AC10" i="60"/>
  <c r="AC11" i="60"/>
  <c r="AC12" i="60"/>
  <c r="AC13" i="60"/>
  <c r="AC14" i="60"/>
  <c r="AC15" i="60"/>
  <c r="AC16" i="60"/>
  <c r="AC17" i="60"/>
  <c r="AC18" i="60"/>
  <c r="AC19" i="60"/>
  <c r="AC20" i="60"/>
  <c r="AC7" i="60"/>
  <c r="AD8" i="60"/>
  <c r="AD9" i="60"/>
  <c r="AD10" i="60"/>
  <c r="AD11" i="60"/>
  <c r="AD12" i="60"/>
  <c r="AD13" i="60"/>
  <c r="AD14" i="60"/>
  <c r="AD15" i="60"/>
  <c r="AD16" i="60"/>
  <c r="AD17" i="60"/>
  <c r="AD18" i="60"/>
  <c r="AD19" i="60"/>
  <c r="AD20" i="60"/>
  <c r="AD7" i="60"/>
  <c r="Y8" i="60"/>
  <c r="Y9" i="60"/>
  <c r="Y10" i="60"/>
  <c r="Y11" i="60"/>
  <c r="Y12" i="60"/>
  <c r="Y13" i="60"/>
  <c r="Y14" i="60"/>
  <c r="Y15" i="60"/>
  <c r="Y16" i="60"/>
  <c r="Y17" i="60"/>
  <c r="Y18" i="60"/>
  <c r="Y19" i="60"/>
  <c r="Y20" i="60"/>
  <c r="Y7" i="60"/>
  <c r="L48" i="55"/>
  <c r="AE14" i="62"/>
  <c r="AE13" i="62"/>
  <c r="AD14" i="62"/>
  <c r="AD13" i="62"/>
  <c r="X14" i="62"/>
  <c r="X13" i="62"/>
  <c r="Y14" i="62"/>
  <c r="Y13" i="62"/>
  <c r="AE11" i="62"/>
  <c r="AE10" i="62"/>
  <c r="AD11" i="62"/>
  <c r="AD10" i="62"/>
  <c r="Z11" i="62"/>
  <c r="Z10" i="62"/>
  <c r="AA11" i="62"/>
  <c r="AA12" i="62" s="1"/>
  <c r="AA10" i="62"/>
  <c r="O25" i="62"/>
  <c r="O24" i="62"/>
  <c r="M25" i="62"/>
  <c r="M24" i="62"/>
  <c r="J25" i="62"/>
  <c r="L25" i="62" s="1"/>
  <c r="J24" i="62"/>
  <c r="L24" i="62" s="1"/>
  <c r="K26" i="62"/>
  <c r="N26" i="62"/>
  <c r="Y11" i="62"/>
  <c r="Y10" i="62"/>
  <c r="X11" i="62"/>
  <c r="X10" i="62"/>
  <c r="Q14" i="62"/>
  <c r="AG14" i="62" s="1"/>
  <c r="Q13" i="62"/>
  <c r="AG13" i="62" s="1"/>
  <c r="P14" i="62"/>
  <c r="P13" i="62"/>
  <c r="Q11" i="62"/>
  <c r="AI11" i="62" s="1"/>
  <c r="Q10" i="62"/>
  <c r="P11" i="62"/>
  <c r="P10" i="62"/>
  <c r="AI10" i="62" s="1"/>
  <c r="S12" i="62"/>
  <c r="T12" i="62"/>
  <c r="U12" i="62"/>
  <c r="I26" i="62"/>
  <c r="H26" i="62"/>
  <c r="AO10" i="56"/>
  <c r="AO11" i="56"/>
  <c r="AO12" i="56"/>
  <c r="AO13" i="56"/>
  <c r="AO14" i="56"/>
  <c r="AO15" i="56"/>
  <c r="AO16" i="56"/>
  <c r="AO9" i="56"/>
  <c r="AN10" i="56"/>
  <c r="AN11" i="56"/>
  <c r="AN12" i="56"/>
  <c r="AN13" i="56"/>
  <c r="AN14" i="56"/>
  <c r="AN15" i="56"/>
  <c r="AN16" i="56"/>
  <c r="AN9" i="56"/>
  <c r="AJ15" i="56"/>
  <c r="AL15" i="56" s="1"/>
  <c r="AJ14" i="56"/>
  <c r="AL14" i="56" s="1"/>
  <c r="AJ12" i="56"/>
  <c r="AL12" i="56" s="1"/>
  <c r="AJ10" i="56"/>
  <c r="AL10" i="56" s="1"/>
  <c r="AJ9" i="56"/>
  <c r="AL9" i="56" s="1"/>
  <c r="V26" i="56"/>
  <c r="V27" i="56"/>
  <c r="V28" i="56"/>
  <c r="V29" i="56"/>
  <c r="V25" i="56"/>
  <c r="T26" i="56"/>
  <c r="T27" i="56"/>
  <c r="T28" i="56"/>
  <c r="T29" i="56"/>
  <c r="T25" i="56"/>
  <c r="N26" i="56"/>
  <c r="S26" i="56" s="1"/>
  <c r="N27" i="56"/>
  <c r="S27" i="56" s="1"/>
  <c r="N28" i="56"/>
  <c r="S28" i="56" s="1"/>
  <c r="N29" i="56"/>
  <c r="S29" i="56" s="1"/>
  <c r="N25" i="56"/>
  <c r="O30" i="56"/>
  <c r="P30" i="56"/>
  <c r="Q30" i="56"/>
  <c r="R30" i="56"/>
  <c r="U30" i="56"/>
  <c r="AF17" i="56"/>
  <c r="AE10" i="56"/>
  <c r="AE11" i="56"/>
  <c r="AE12" i="56"/>
  <c r="AE13" i="56"/>
  <c r="AE14" i="56"/>
  <c r="AE15" i="56"/>
  <c r="AE16" i="56"/>
  <c r="AE9" i="56"/>
  <c r="AD10" i="56"/>
  <c r="AD11" i="56"/>
  <c r="AD12" i="56"/>
  <c r="AD13" i="56"/>
  <c r="AD14" i="56"/>
  <c r="AD15" i="56"/>
  <c r="AD16" i="56"/>
  <c r="AD9" i="56"/>
  <c r="AC10" i="56"/>
  <c r="AC11" i="56"/>
  <c r="AC12" i="56"/>
  <c r="AC13" i="56"/>
  <c r="AC14" i="56"/>
  <c r="AC15" i="56"/>
  <c r="AC16" i="56"/>
  <c r="AC9" i="56"/>
  <c r="AB10" i="56"/>
  <c r="AB11" i="56"/>
  <c r="AB12" i="56"/>
  <c r="AB13" i="56"/>
  <c r="AB14" i="56"/>
  <c r="AB15" i="56"/>
  <c r="AB16" i="56"/>
  <c r="AB9" i="56"/>
  <c r="O77" i="61"/>
  <c r="P77" i="61"/>
  <c r="Q77" i="61"/>
  <c r="R77" i="61"/>
  <c r="S77" i="61"/>
  <c r="T77" i="61"/>
  <c r="N77" i="61"/>
  <c r="AP10" i="61"/>
  <c r="AP11" i="61"/>
  <c r="AP12" i="61"/>
  <c r="AP13" i="61"/>
  <c r="AP14" i="61"/>
  <c r="AP15" i="61"/>
  <c r="AP16" i="61"/>
  <c r="AP17" i="61"/>
  <c r="AP18" i="61"/>
  <c r="AP19" i="61"/>
  <c r="AP20" i="61"/>
  <c r="AP21" i="61"/>
  <c r="AP22" i="61"/>
  <c r="AP23" i="61"/>
  <c r="AP24" i="61"/>
  <c r="AP25" i="61"/>
  <c r="AP26" i="61"/>
  <c r="AP27" i="61"/>
  <c r="AP28" i="61"/>
  <c r="AP29" i="61"/>
  <c r="AP30" i="61"/>
  <c r="AP31" i="61"/>
  <c r="AP32" i="61"/>
  <c r="AP33" i="61"/>
  <c r="AP34" i="61"/>
  <c r="AP35" i="61"/>
  <c r="AP36" i="61"/>
  <c r="AP37" i="61"/>
  <c r="AP38" i="61"/>
  <c r="AP39" i="61"/>
  <c r="AP40" i="61"/>
  <c r="AP9" i="61"/>
  <c r="AQ9" i="61"/>
  <c r="AQ10" i="61"/>
  <c r="AQ11" i="61"/>
  <c r="AQ12" i="61"/>
  <c r="AQ13" i="61"/>
  <c r="AQ14" i="61"/>
  <c r="AQ15" i="61"/>
  <c r="AQ16" i="61"/>
  <c r="AQ17" i="61"/>
  <c r="AQ18" i="61"/>
  <c r="AQ19" i="61"/>
  <c r="AQ20" i="61"/>
  <c r="AQ21" i="61"/>
  <c r="AQ22" i="61"/>
  <c r="AQ23" i="61"/>
  <c r="AQ24" i="61"/>
  <c r="AQ25" i="61"/>
  <c r="AQ26" i="61"/>
  <c r="AQ27" i="61"/>
  <c r="AQ28" i="61"/>
  <c r="AQ29" i="61"/>
  <c r="AQ30" i="61"/>
  <c r="AQ31" i="61"/>
  <c r="AQ32" i="61"/>
  <c r="AQ33" i="61"/>
  <c r="AQ34" i="61"/>
  <c r="AQ35" i="61"/>
  <c r="AQ36" i="61"/>
  <c r="AQ37" i="61"/>
  <c r="AQ38" i="61"/>
  <c r="AQ39" i="61"/>
  <c r="AQ40" i="61"/>
  <c r="AO23" i="61"/>
  <c r="AO24" i="61"/>
  <c r="AO25" i="61"/>
  <c r="AO22" i="61"/>
  <c r="AO15" i="61"/>
  <c r="AL22" i="61"/>
  <c r="AL23" i="61"/>
  <c r="AL24" i="61"/>
  <c r="AL25" i="61"/>
  <c r="AL26" i="61"/>
  <c r="AL21" i="61"/>
  <c r="AL15" i="61"/>
  <c r="AJ22" i="61"/>
  <c r="AJ23" i="61"/>
  <c r="AJ24" i="61"/>
  <c r="AJ25" i="61"/>
  <c r="AJ26" i="61"/>
  <c r="AJ21" i="61"/>
  <c r="AJ15" i="61"/>
  <c r="H44" i="61"/>
  <c r="AF10" i="61"/>
  <c r="AF11" i="61"/>
  <c r="AF12" i="61"/>
  <c r="AF13" i="61"/>
  <c r="AF14" i="61"/>
  <c r="AF15" i="61"/>
  <c r="AF16" i="61"/>
  <c r="AF17" i="61"/>
  <c r="AF18" i="61"/>
  <c r="AF19" i="61"/>
  <c r="AF20" i="61"/>
  <c r="AF21" i="61"/>
  <c r="AF22" i="61"/>
  <c r="AF23" i="61"/>
  <c r="AF24" i="61"/>
  <c r="AF25" i="61"/>
  <c r="AF26" i="61"/>
  <c r="AF27" i="61"/>
  <c r="AF28" i="61"/>
  <c r="AF29" i="61"/>
  <c r="AF30" i="61"/>
  <c r="AF31" i="61"/>
  <c r="AF32" i="61"/>
  <c r="AF33" i="61"/>
  <c r="AF34" i="61"/>
  <c r="AF35" i="61"/>
  <c r="AF36" i="61"/>
  <c r="AF37" i="61"/>
  <c r="AF38" i="61"/>
  <c r="AF39" i="61"/>
  <c r="AF40" i="61"/>
  <c r="AF9" i="61"/>
  <c r="AE10" i="61"/>
  <c r="AE11" i="61"/>
  <c r="AE12" i="61"/>
  <c r="AE13" i="61"/>
  <c r="AE14" i="61"/>
  <c r="AE15" i="61"/>
  <c r="AE16" i="61"/>
  <c r="AE17" i="61"/>
  <c r="AE18" i="61"/>
  <c r="AE19" i="61"/>
  <c r="AE20" i="61"/>
  <c r="AE21" i="61"/>
  <c r="AE22" i="61"/>
  <c r="AE23" i="61"/>
  <c r="AE24" i="61"/>
  <c r="AE25" i="61"/>
  <c r="AE26" i="61"/>
  <c r="AE27" i="61"/>
  <c r="AE28" i="61"/>
  <c r="AE29" i="61"/>
  <c r="AE30" i="61"/>
  <c r="AE31" i="61"/>
  <c r="AE32" i="61"/>
  <c r="AE33" i="61"/>
  <c r="AE34" i="61"/>
  <c r="AE35" i="61"/>
  <c r="AE36" i="61"/>
  <c r="AE37" i="61"/>
  <c r="AE38" i="61"/>
  <c r="AE39" i="61"/>
  <c r="AE40" i="61"/>
  <c r="AE9" i="61"/>
  <c r="H41" i="61"/>
  <c r="AD10" i="61"/>
  <c r="AD11" i="61"/>
  <c r="AD12" i="61"/>
  <c r="AD13" i="61"/>
  <c r="AD14" i="61"/>
  <c r="AD15" i="61"/>
  <c r="AD16" i="61"/>
  <c r="AD17" i="61"/>
  <c r="AD18" i="61"/>
  <c r="AD19" i="61"/>
  <c r="AD20" i="61"/>
  <c r="AD21" i="61"/>
  <c r="AD22" i="61"/>
  <c r="AD23" i="61"/>
  <c r="AD24" i="61"/>
  <c r="AD25" i="61"/>
  <c r="AD26" i="61"/>
  <c r="AD27" i="61"/>
  <c r="AD28" i="61"/>
  <c r="AD29" i="61"/>
  <c r="AD30" i="61"/>
  <c r="AD31" i="61"/>
  <c r="AD32" i="61"/>
  <c r="AD33" i="61"/>
  <c r="AD34" i="61"/>
  <c r="AD35" i="61"/>
  <c r="AD36" i="61"/>
  <c r="AD37" i="61"/>
  <c r="AD38" i="61"/>
  <c r="AD39" i="61"/>
  <c r="AD40" i="61"/>
  <c r="AD9" i="61"/>
  <c r="AH40" i="61"/>
  <c r="AH39" i="61"/>
  <c r="AH35" i="61"/>
  <c r="AH34" i="61"/>
  <c r="AH32" i="61"/>
  <c r="AH31" i="61"/>
  <c r="AH16" i="61"/>
  <c r="AH17" i="61"/>
  <c r="AH18" i="61"/>
  <c r="AH19" i="61"/>
  <c r="AH20" i="61"/>
  <c r="AH21" i="61"/>
  <c r="AH22" i="61"/>
  <c r="AH23" i="61"/>
  <c r="AH24" i="61"/>
  <c r="AH25" i="61"/>
  <c r="AH26" i="61"/>
  <c r="AH15" i="61"/>
  <c r="AH11" i="61"/>
  <c r="AH12" i="61"/>
  <c r="AH13" i="61"/>
  <c r="AH10" i="61"/>
  <c r="H43" i="61"/>
  <c r="AB10" i="61"/>
  <c r="AB11" i="61"/>
  <c r="AB12" i="61"/>
  <c r="AB13" i="61"/>
  <c r="AB14" i="61"/>
  <c r="AB15" i="61"/>
  <c r="AB16" i="61"/>
  <c r="AB17" i="61"/>
  <c r="AB18" i="61"/>
  <c r="AB19" i="61"/>
  <c r="AB20" i="61"/>
  <c r="AB21" i="61"/>
  <c r="AB22" i="61"/>
  <c r="AB23" i="61"/>
  <c r="AB24" i="61"/>
  <c r="AB25" i="61"/>
  <c r="AB26" i="61"/>
  <c r="AB27" i="61"/>
  <c r="AB28" i="61"/>
  <c r="AB29" i="61"/>
  <c r="AB30" i="61"/>
  <c r="AB31" i="61"/>
  <c r="AB32" i="61"/>
  <c r="AB33" i="61"/>
  <c r="AB34" i="61"/>
  <c r="AB35" i="61"/>
  <c r="AB36" i="61"/>
  <c r="AB37" i="61"/>
  <c r="AB38" i="61"/>
  <c r="AB39" i="61"/>
  <c r="AB40" i="61"/>
  <c r="AB9" i="61"/>
  <c r="Z10" i="61"/>
  <c r="Z11" i="61"/>
  <c r="Z12" i="61"/>
  <c r="Z13" i="61"/>
  <c r="Z14" i="61"/>
  <c r="Z15" i="61"/>
  <c r="Z16" i="61"/>
  <c r="Z17" i="61"/>
  <c r="Z18" i="61"/>
  <c r="Z19" i="61"/>
  <c r="Z20" i="61"/>
  <c r="Z21" i="61"/>
  <c r="Z22" i="61"/>
  <c r="Z23" i="61"/>
  <c r="Z24" i="61"/>
  <c r="Z25" i="61"/>
  <c r="Z26" i="61"/>
  <c r="Z27" i="61"/>
  <c r="Z28" i="61"/>
  <c r="Z29" i="61"/>
  <c r="Z30" i="61"/>
  <c r="Z31" i="61"/>
  <c r="Z32" i="61"/>
  <c r="Z33" i="61"/>
  <c r="Z34" i="61"/>
  <c r="Z35" i="61"/>
  <c r="Z36" i="61"/>
  <c r="Z37" i="61"/>
  <c r="Z38" i="61"/>
  <c r="Z39" i="61"/>
  <c r="Z40" i="61"/>
  <c r="Z9" i="61"/>
  <c r="Y10" i="61"/>
  <c r="Y11" i="61"/>
  <c r="Y12" i="61"/>
  <c r="Y13" i="61"/>
  <c r="Y14" i="61"/>
  <c r="Y15" i="61"/>
  <c r="Y16" i="61"/>
  <c r="Y17" i="61"/>
  <c r="Y18" i="61"/>
  <c r="Y19" i="61"/>
  <c r="Y20" i="61"/>
  <c r="Y21" i="61"/>
  <c r="Y22" i="61"/>
  <c r="Y23" i="61"/>
  <c r="Y24" i="61"/>
  <c r="Y25" i="61"/>
  <c r="Y26" i="61"/>
  <c r="Y27" i="61"/>
  <c r="Y28" i="61"/>
  <c r="Y29" i="61"/>
  <c r="Y30" i="61"/>
  <c r="Y31" i="61"/>
  <c r="Y32" i="61"/>
  <c r="Y33" i="61"/>
  <c r="Y34" i="61"/>
  <c r="Y35" i="61"/>
  <c r="Y36" i="61"/>
  <c r="Y37" i="61"/>
  <c r="Y38" i="61"/>
  <c r="Y39" i="61"/>
  <c r="Y40" i="61"/>
  <c r="Y9" i="61"/>
  <c r="O67" i="59"/>
  <c r="P67" i="59"/>
  <c r="Q67" i="59"/>
  <c r="R67" i="59"/>
  <c r="S67" i="59"/>
  <c r="AV10" i="59"/>
  <c r="AV11" i="59"/>
  <c r="AV12" i="59"/>
  <c r="AV13" i="59"/>
  <c r="AV14" i="59"/>
  <c r="AV15" i="59"/>
  <c r="AV16" i="59"/>
  <c r="AV17" i="59"/>
  <c r="AV18" i="59"/>
  <c r="AV19" i="59"/>
  <c r="AV20" i="59"/>
  <c r="AV21" i="59"/>
  <c r="AV22" i="59"/>
  <c r="AV23" i="59"/>
  <c r="AV24" i="59"/>
  <c r="AV25" i="59"/>
  <c r="AV26" i="59"/>
  <c r="AV27" i="59"/>
  <c r="AV28" i="59"/>
  <c r="AV29" i="59"/>
  <c r="AV30" i="59"/>
  <c r="AV31" i="59"/>
  <c r="AV32" i="59"/>
  <c r="AV9" i="59"/>
  <c r="AT31" i="59"/>
  <c r="AT32" i="59"/>
  <c r="AT30" i="59"/>
  <c r="AU10" i="59"/>
  <c r="AU11" i="59"/>
  <c r="AU12" i="59"/>
  <c r="AU13" i="59"/>
  <c r="AU14" i="59"/>
  <c r="AU15" i="59"/>
  <c r="AU16" i="59"/>
  <c r="AU17" i="59"/>
  <c r="AU18" i="59"/>
  <c r="AU19" i="59"/>
  <c r="AU20" i="59"/>
  <c r="AU21" i="59"/>
  <c r="AU22" i="59"/>
  <c r="AU23" i="59"/>
  <c r="AU24" i="59"/>
  <c r="AU25" i="59"/>
  <c r="AU26" i="59"/>
  <c r="AU27" i="59"/>
  <c r="AU28" i="59"/>
  <c r="AU29" i="59"/>
  <c r="AU30" i="59"/>
  <c r="AU31" i="59"/>
  <c r="AU32" i="59"/>
  <c r="AU9" i="59"/>
  <c r="AQ32" i="59"/>
  <c r="AQ30" i="59"/>
  <c r="AQ28" i="59"/>
  <c r="AQ10" i="59"/>
  <c r="AQ11" i="59"/>
  <c r="AQ12" i="59"/>
  <c r="AQ13" i="59"/>
  <c r="AQ14" i="59"/>
  <c r="AQ15" i="59"/>
  <c r="AQ16" i="59"/>
  <c r="AQ17" i="59"/>
  <c r="AQ18" i="59"/>
  <c r="AQ19" i="59"/>
  <c r="AQ20" i="59"/>
  <c r="AQ21" i="59"/>
  <c r="AQ22" i="59"/>
  <c r="AQ23" i="59"/>
  <c r="AQ24" i="59"/>
  <c r="AQ9" i="59"/>
  <c r="AO32" i="59"/>
  <c r="AO30" i="59"/>
  <c r="AO28" i="59"/>
  <c r="AO10" i="59"/>
  <c r="AO11" i="59"/>
  <c r="AO12" i="59"/>
  <c r="AO13" i="59"/>
  <c r="AO14" i="59"/>
  <c r="AO15" i="59"/>
  <c r="AO16" i="59"/>
  <c r="AO17" i="59"/>
  <c r="AO18" i="59"/>
  <c r="AO19" i="59"/>
  <c r="AO20" i="59"/>
  <c r="AO21" i="59"/>
  <c r="AO22" i="59"/>
  <c r="AO23" i="59"/>
  <c r="AO24" i="59"/>
  <c r="AO9" i="59"/>
  <c r="AH10" i="59"/>
  <c r="AH11" i="59"/>
  <c r="AH12" i="59"/>
  <c r="AH13" i="59"/>
  <c r="AH14" i="59"/>
  <c r="AH15" i="59"/>
  <c r="AH16" i="59"/>
  <c r="AH17" i="59"/>
  <c r="AH18" i="59"/>
  <c r="AH19" i="59"/>
  <c r="AH20" i="59"/>
  <c r="AH21" i="59"/>
  <c r="AH22" i="59"/>
  <c r="AH23" i="59"/>
  <c r="AH24" i="59"/>
  <c r="AH25" i="59"/>
  <c r="AH26" i="59"/>
  <c r="AH27" i="59"/>
  <c r="AH28" i="59"/>
  <c r="AH29" i="59"/>
  <c r="AH30" i="59"/>
  <c r="AH31" i="59"/>
  <c r="AH32" i="59"/>
  <c r="AH9" i="59"/>
  <c r="AJ10" i="59"/>
  <c r="AJ11" i="59"/>
  <c r="AJ12" i="59"/>
  <c r="AJ13" i="59"/>
  <c r="AJ14" i="59"/>
  <c r="AJ15" i="59"/>
  <c r="AJ16" i="59"/>
  <c r="AJ17" i="59"/>
  <c r="AJ18" i="59"/>
  <c r="AJ19" i="59"/>
  <c r="AJ20" i="59"/>
  <c r="AJ21" i="59"/>
  <c r="AJ22" i="59"/>
  <c r="AJ23" i="59"/>
  <c r="AJ24" i="59"/>
  <c r="AJ25" i="59"/>
  <c r="AJ26" i="59"/>
  <c r="AJ27" i="59"/>
  <c r="AJ28" i="59"/>
  <c r="AJ29" i="59"/>
  <c r="AJ30" i="59"/>
  <c r="AJ31" i="59"/>
  <c r="AJ32" i="59"/>
  <c r="AJ9" i="59"/>
  <c r="AI10" i="59"/>
  <c r="AI11" i="59"/>
  <c r="AI12" i="59"/>
  <c r="AI13" i="59"/>
  <c r="AI14" i="59"/>
  <c r="AI15" i="59"/>
  <c r="AI16" i="59"/>
  <c r="AI17" i="59"/>
  <c r="AI18" i="59"/>
  <c r="AI19" i="59"/>
  <c r="AI20" i="59"/>
  <c r="AI21" i="59"/>
  <c r="AI22" i="59"/>
  <c r="AI23" i="59"/>
  <c r="AI24" i="59"/>
  <c r="AI25" i="59"/>
  <c r="AI26" i="59"/>
  <c r="AI27" i="59"/>
  <c r="AI28" i="59"/>
  <c r="AI29" i="59"/>
  <c r="AI30" i="59"/>
  <c r="AI31" i="59"/>
  <c r="AI32" i="59"/>
  <c r="AI9" i="59"/>
  <c r="AL29" i="59"/>
  <c r="AL30" i="59"/>
  <c r="AL31" i="59"/>
  <c r="AL32" i="59"/>
  <c r="AL28" i="59"/>
  <c r="AL10" i="59"/>
  <c r="AL11" i="59"/>
  <c r="AL12" i="59"/>
  <c r="AL13" i="59"/>
  <c r="AL14" i="59"/>
  <c r="AL15" i="59"/>
  <c r="AL16" i="59"/>
  <c r="AL17" i="59"/>
  <c r="AL18" i="59"/>
  <c r="AL19" i="59"/>
  <c r="AL20" i="59"/>
  <c r="AL21" i="59"/>
  <c r="AL22" i="59"/>
  <c r="AL23" i="59"/>
  <c r="AL24" i="59"/>
  <c r="AL9" i="59"/>
  <c r="AG10" i="59"/>
  <c r="AG11" i="59"/>
  <c r="AG12" i="59"/>
  <c r="AG13" i="59"/>
  <c r="AG14" i="59"/>
  <c r="AG15" i="59"/>
  <c r="AG16" i="59"/>
  <c r="AG17" i="59"/>
  <c r="AG18" i="59"/>
  <c r="AG19" i="59"/>
  <c r="AG20" i="59"/>
  <c r="AG21" i="59"/>
  <c r="AG22" i="59"/>
  <c r="AG23" i="59"/>
  <c r="AG24" i="59"/>
  <c r="AG25" i="59"/>
  <c r="AG26" i="59"/>
  <c r="AG27" i="59"/>
  <c r="AG28" i="59"/>
  <c r="AG29" i="59"/>
  <c r="AG30" i="59"/>
  <c r="AG31" i="59"/>
  <c r="AG32" i="59"/>
  <c r="AG9" i="59"/>
  <c r="AF10" i="59"/>
  <c r="AF11" i="59"/>
  <c r="AF12" i="59"/>
  <c r="AF13" i="59"/>
  <c r="AF14" i="59"/>
  <c r="AF15" i="59"/>
  <c r="AF16" i="59"/>
  <c r="AF17" i="59"/>
  <c r="AF18" i="59"/>
  <c r="AF19" i="59"/>
  <c r="AF20" i="59"/>
  <c r="AF21" i="59"/>
  <c r="AF22" i="59"/>
  <c r="AF23" i="59"/>
  <c r="AF24" i="59"/>
  <c r="AF25" i="59"/>
  <c r="AF26" i="59"/>
  <c r="AF27" i="59"/>
  <c r="AF28" i="59"/>
  <c r="AF29" i="59"/>
  <c r="AF30" i="59"/>
  <c r="AF31" i="59"/>
  <c r="AF32" i="59"/>
  <c r="AF9" i="59"/>
  <c r="AE10" i="59"/>
  <c r="AE11" i="59"/>
  <c r="AE12" i="59"/>
  <c r="AE13" i="59"/>
  <c r="AE14" i="59"/>
  <c r="AE15" i="59"/>
  <c r="AE16" i="59"/>
  <c r="AE17" i="59"/>
  <c r="AE18" i="59"/>
  <c r="AE19" i="59"/>
  <c r="AE20" i="59"/>
  <c r="AE21" i="59"/>
  <c r="AE22" i="59"/>
  <c r="AE23" i="59"/>
  <c r="AE24" i="59"/>
  <c r="AE25" i="59"/>
  <c r="AE26" i="59"/>
  <c r="AE27" i="59"/>
  <c r="AE28" i="59"/>
  <c r="AE29" i="59"/>
  <c r="AE30" i="59"/>
  <c r="AE31" i="59"/>
  <c r="AE32" i="59"/>
  <c r="AE9" i="59"/>
  <c r="AA10" i="59"/>
  <c r="AA11" i="59"/>
  <c r="AA12" i="59"/>
  <c r="AA13" i="59"/>
  <c r="AA14" i="59"/>
  <c r="AA15" i="59"/>
  <c r="AA16" i="59"/>
  <c r="AA17" i="59"/>
  <c r="AA18" i="59"/>
  <c r="AA19" i="59"/>
  <c r="AA20" i="59"/>
  <c r="AA21" i="59"/>
  <c r="AA22" i="59"/>
  <c r="AA23" i="59"/>
  <c r="AA24" i="59"/>
  <c r="AA25" i="59"/>
  <c r="AA26" i="59"/>
  <c r="AA27" i="59"/>
  <c r="AA28" i="59"/>
  <c r="AA29" i="59"/>
  <c r="AA30" i="59"/>
  <c r="AA31" i="59"/>
  <c r="AA32" i="59"/>
  <c r="AA9" i="59"/>
  <c r="Z10" i="59"/>
  <c r="Z11" i="59"/>
  <c r="Z12" i="59"/>
  <c r="Z13" i="59"/>
  <c r="Z14" i="59"/>
  <c r="Z15" i="59"/>
  <c r="Z16" i="59"/>
  <c r="Z17" i="59"/>
  <c r="Z18" i="59"/>
  <c r="Z19" i="59"/>
  <c r="Z20" i="59"/>
  <c r="Z21" i="59"/>
  <c r="Z22" i="59"/>
  <c r="Z23" i="59"/>
  <c r="Z24" i="59"/>
  <c r="Z25" i="59"/>
  <c r="Z26" i="59"/>
  <c r="Z27" i="59"/>
  <c r="Z28" i="59"/>
  <c r="Z29" i="59"/>
  <c r="Z30" i="59"/>
  <c r="Z31" i="59"/>
  <c r="Z32" i="59"/>
  <c r="Z9" i="59"/>
  <c r="AB33" i="59"/>
  <c r="AK33" i="59"/>
  <c r="W80" i="58"/>
  <c r="W87" i="58"/>
  <c r="U77" i="58"/>
  <c r="T77" i="58" s="1"/>
  <c r="W77" i="58" s="1"/>
  <c r="U78" i="58"/>
  <c r="T78" i="58" s="1"/>
  <c r="W78" i="58" s="1"/>
  <c r="U79" i="58"/>
  <c r="T79" i="58" s="1"/>
  <c r="W79" i="58" s="1"/>
  <c r="U80" i="58"/>
  <c r="T80" i="58" s="1"/>
  <c r="U81" i="58"/>
  <c r="T81" i="58" s="1"/>
  <c r="W81" i="58" s="1"/>
  <c r="U82" i="58"/>
  <c r="T82" i="58" s="1"/>
  <c r="W82" i="58" s="1"/>
  <c r="U83" i="58"/>
  <c r="T83" i="58" s="1"/>
  <c r="W83" i="58" s="1"/>
  <c r="U84" i="58"/>
  <c r="T84" i="58" s="1"/>
  <c r="W84" i="58" s="1"/>
  <c r="U85" i="58"/>
  <c r="T85" i="58" s="1"/>
  <c r="W85" i="58" s="1"/>
  <c r="U86" i="58"/>
  <c r="T86" i="58" s="1"/>
  <c r="W86" i="58" s="1"/>
  <c r="U87" i="58"/>
  <c r="T87" i="58" s="1"/>
  <c r="U88" i="58"/>
  <c r="T88" i="58" s="1"/>
  <c r="W88" i="58" s="1"/>
  <c r="U76" i="58"/>
  <c r="T76" i="58" s="1"/>
  <c r="BE7" i="58"/>
  <c r="BE8" i="58"/>
  <c r="BE9" i="58"/>
  <c r="BE10" i="58"/>
  <c r="BE11" i="58"/>
  <c r="BE12" i="58"/>
  <c r="BE13" i="58"/>
  <c r="BE14" i="58"/>
  <c r="BE15" i="58"/>
  <c r="BE16" i="58"/>
  <c r="BE17" i="58"/>
  <c r="BE18" i="58"/>
  <c r="BE19" i="58"/>
  <c r="BE20" i="58"/>
  <c r="BE21" i="58"/>
  <c r="BE22" i="58"/>
  <c r="BE23" i="58"/>
  <c r="BE24" i="58"/>
  <c r="BE25" i="58"/>
  <c r="BE26" i="58"/>
  <c r="BE27" i="58"/>
  <c r="BE28" i="58"/>
  <c r="BE29" i="58"/>
  <c r="BE30" i="58"/>
  <c r="BE31" i="58"/>
  <c r="BE32" i="58"/>
  <c r="BE33" i="58"/>
  <c r="BE34" i="58"/>
  <c r="BE35" i="58"/>
  <c r="BE36" i="58"/>
  <c r="BE37" i="58"/>
  <c r="BE38" i="58"/>
  <c r="BE39" i="58"/>
  <c r="BE6" i="58"/>
  <c r="BD7" i="58"/>
  <c r="BD8" i="58"/>
  <c r="BD9" i="58"/>
  <c r="BD10" i="58"/>
  <c r="BD11" i="58"/>
  <c r="BD12" i="58"/>
  <c r="BD13" i="58"/>
  <c r="BD14" i="58"/>
  <c r="BD15" i="58"/>
  <c r="BD16" i="58"/>
  <c r="BD17" i="58"/>
  <c r="BD18" i="58"/>
  <c r="BD19" i="58"/>
  <c r="BD20" i="58"/>
  <c r="BD21" i="58"/>
  <c r="BD22" i="58"/>
  <c r="BD23" i="58"/>
  <c r="BD24" i="58"/>
  <c r="BD25" i="58"/>
  <c r="BD26" i="58"/>
  <c r="BD27" i="58"/>
  <c r="BD28" i="58"/>
  <c r="BD29" i="58"/>
  <c r="BD30" i="58"/>
  <c r="BD31" i="58"/>
  <c r="BD32" i="58"/>
  <c r="BD33" i="58"/>
  <c r="BD34" i="58"/>
  <c r="BD35" i="58"/>
  <c r="BD36" i="58"/>
  <c r="BD37" i="58"/>
  <c r="BD38" i="58"/>
  <c r="BD39" i="58"/>
  <c r="BD6" i="58"/>
  <c r="AY38" i="58"/>
  <c r="AY16" i="58"/>
  <c r="AY17" i="58"/>
  <c r="AY18" i="58"/>
  <c r="AY19" i="58"/>
  <c r="AY15" i="58"/>
  <c r="BA38" i="58"/>
  <c r="BA16" i="58"/>
  <c r="BA17" i="58"/>
  <c r="BA18" i="58"/>
  <c r="BC18" i="58" s="1"/>
  <c r="BA19" i="58"/>
  <c r="BA15" i="58"/>
  <c r="AZ42" i="58"/>
  <c r="AZ8" i="57"/>
  <c r="AZ9" i="57"/>
  <c r="AZ10" i="57"/>
  <c r="AZ11" i="57"/>
  <c r="AZ12" i="57"/>
  <c r="AZ13" i="57"/>
  <c r="AZ14" i="57"/>
  <c r="AZ15" i="57"/>
  <c r="AZ16" i="57"/>
  <c r="AZ17" i="57"/>
  <c r="AZ22" i="57"/>
  <c r="AZ23" i="57"/>
  <c r="AZ24" i="57"/>
  <c r="BC6" i="58"/>
  <c r="BC7" i="58"/>
  <c r="BC8" i="58"/>
  <c r="BC9" i="58"/>
  <c r="BC10" i="58"/>
  <c r="BC11" i="58"/>
  <c r="BC12" i="58"/>
  <c r="BC13" i="58"/>
  <c r="BC14" i="58"/>
  <c r="BC20" i="58"/>
  <c r="BC21" i="58"/>
  <c r="BC22" i="58"/>
  <c r="BC23" i="58"/>
  <c r="BC24" i="58"/>
  <c r="BC25" i="58"/>
  <c r="BC26" i="58"/>
  <c r="BC27" i="58"/>
  <c r="BC28" i="58"/>
  <c r="BC29" i="58"/>
  <c r="BC30" i="58"/>
  <c r="BC31" i="58"/>
  <c r="BC32" i="58"/>
  <c r="BC33" i="58"/>
  <c r="BC34" i="58"/>
  <c r="BC35" i="58"/>
  <c r="BC36" i="58"/>
  <c r="BC37" i="58"/>
  <c r="BC39" i="58"/>
  <c r="AW38" i="58"/>
  <c r="AW36" i="58"/>
  <c r="AW34" i="58"/>
  <c r="AW32" i="58"/>
  <c r="AW29" i="58"/>
  <c r="AW28" i="58"/>
  <c r="AW16" i="58"/>
  <c r="AW17" i="58"/>
  <c r="AW18" i="58"/>
  <c r="AW19" i="58"/>
  <c r="AW20" i="58"/>
  <c r="AW21" i="58"/>
  <c r="AW15" i="58"/>
  <c r="AT7" i="58"/>
  <c r="AT8" i="58"/>
  <c r="AT9" i="58"/>
  <c r="AT10" i="58"/>
  <c r="AT11" i="58"/>
  <c r="AT12" i="58"/>
  <c r="AT13" i="58"/>
  <c r="AT14" i="58"/>
  <c r="AT15" i="58"/>
  <c r="AT16" i="58"/>
  <c r="AT17" i="58"/>
  <c r="AT18" i="58"/>
  <c r="AT19" i="58"/>
  <c r="AT20" i="58"/>
  <c r="AT21" i="58"/>
  <c r="AT22" i="58"/>
  <c r="AT23" i="58"/>
  <c r="AT24" i="58"/>
  <c r="AT25" i="58"/>
  <c r="AT26" i="58"/>
  <c r="AT27" i="58"/>
  <c r="AT28" i="58"/>
  <c r="AT29" i="58"/>
  <c r="AT30" i="58"/>
  <c r="AT31" i="58"/>
  <c r="AT32" i="58"/>
  <c r="AT33" i="58"/>
  <c r="AT34" i="58"/>
  <c r="AT35" i="58"/>
  <c r="AT36" i="58"/>
  <c r="AT37" i="58"/>
  <c r="AT38" i="58"/>
  <c r="AT39" i="58"/>
  <c r="AT6" i="58"/>
  <c r="AS7" i="58"/>
  <c r="AS8" i="58"/>
  <c r="AS9" i="58"/>
  <c r="AS10" i="58"/>
  <c r="AS11" i="58"/>
  <c r="AS12" i="58"/>
  <c r="AS13" i="58"/>
  <c r="AS14" i="58"/>
  <c r="AS15" i="58"/>
  <c r="AS16" i="58"/>
  <c r="AS17" i="58"/>
  <c r="AS18" i="58"/>
  <c r="AS19" i="58"/>
  <c r="AS20" i="58"/>
  <c r="AS21" i="58"/>
  <c r="AS22" i="58"/>
  <c r="AS23" i="58"/>
  <c r="AS24" i="58"/>
  <c r="AS25" i="58"/>
  <c r="AS26" i="58"/>
  <c r="AS27" i="58"/>
  <c r="AS28" i="58"/>
  <c r="AS29" i="58"/>
  <c r="AS30" i="58"/>
  <c r="AS31" i="58"/>
  <c r="AS32" i="58"/>
  <c r="AS33" i="58"/>
  <c r="AS34" i="58"/>
  <c r="AS35" i="58"/>
  <c r="AS36" i="58"/>
  <c r="AS37" i="58"/>
  <c r="AS38" i="58"/>
  <c r="AS39" i="58"/>
  <c r="AS6" i="58"/>
  <c r="AU7" i="58"/>
  <c r="AU8" i="58"/>
  <c r="AU9" i="58"/>
  <c r="AU10" i="58"/>
  <c r="AU11" i="58"/>
  <c r="AU12" i="58"/>
  <c r="AU13" i="58"/>
  <c r="AU14" i="58"/>
  <c r="AU15" i="58"/>
  <c r="AU16" i="58"/>
  <c r="AU17" i="58"/>
  <c r="AU18" i="58"/>
  <c r="AU19" i="58"/>
  <c r="AU20" i="58"/>
  <c r="AU21" i="58"/>
  <c r="AU22" i="58"/>
  <c r="AU23" i="58"/>
  <c r="AU24" i="58"/>
  <c r="AU25" i="58"/>
  <c r="AU26" i="58"/>
  <c r="AU27" i="58"/>
  <c r="AU28" i="58"/>
  <c r="AU29" i="58"/>
  <c r="AU30" i="58"/>
  <c r="AU31" i="58"/>
  <c r="AU32" i="58"/>
  <c r="AU33" i="58"/>
  <c r="AU34" i="58"/>
  <c r="AU35" i="58"/>
  <c r="AU36" i="58"/>
  <c r="AU37" i="58"/>
  <c r="AU38" i="58"/>
  <c r="AU39" i="58"/>
  <c r="AU6" i="58"/>
  <c r="AR7" i="58"/>
  <c r="AR8" i="58"/>
  <c r="AR9" i="58"/>
  <c r="AR10" i="58"/>
  <c r="AR11" i="58"/>
  <c r="AR12" i="58"/>
  <c r="AR13" i="58"/>
  <c r="AR14" i="58"/>
  <c r="AR15" i="58"/>
  <c r="AR16" i="58"/>
  <c r="AR17" i="58"/>
  <c r="AR18" i="58"/>
  <c r="AR19" i="58"/>
  <c r="AR20" i="58"/>
  <c r="AR21" i="58"/>
  <c r="AR22" i="58"/>
  <c r="AR23" i="58"/>
  <c r="AR24" i="58"/>
  <c r="AR25" i="58"/>
  <c r="AR26" i="58"/>
  <c r="AR27" i="58"/>
  <c r="AR28" i="58"/>
  <c r="AR29" i="58"/>
  <c r="AR30" i="58"/>
  <c r="AR31" i="58"/>
  <c r="AR32" i="58"/>
  <c r="AR33" i="58"/>
  <c r="AR34" i="58"/>
  <c r="AR35" i="58"/>
  <c r="AR36" i="58"/>
  <c r="AR37" i="58"/>
  <c r="AR38" i="58"/>
  <c r="AR39" i="58"/>
  <c r="AR6" i="58"/>
  <c r="AQ7" i="58"/>
  <c r="AQ8" i="58"/>
  <c r="AQ9" i="58"/>
  <c r="AQ10" i="58"/>
  <c r="AQ11" i="58"/>
  <c r="AQ12" i="58"/>
  <c r="AQ13" i="58"/>
  <c r="AQ14" i="58"/>
  <c r="AQ15" i="58"/>
  <c r="AQ16" i="58"/>
  <c r="AQ17" i="58"/>
  <c r="AQ18" i="58"/>
  <c r="AQ19" i="58"/>
  <c r="AQ20" i="58"/>
  <c r="AQ21" i="58"/>
  <c r="AQ22" i="58"/>
  <c r="AQ23" i="58"/>
  <c r="AQ24" i="58"/>
  <c r="AQ25" i="58"/>
  <c r="AQ26" i="58"/>
  <c r="AQ27" i="58"/>
  <c r="AQ28" i="58"/>
  <c r="AQ29" i="58"/>
  <c r="AQ30" i="58"/>
  <c r="AQ31" i="58"/>
  <c r="AQ32" i="58"/>
  <c r="AQ33" i="58"/>
  <c r="AQ34" i="58"/>
  <c r="AQ35" i="58"/>
  <c r="AQ36" i="58"/>
  <c r="AQ37" i="58"/>
  <c r="AQ38" i="58"/>
  <c r="AQ39" i="58"/>
  <c r="AQ6" i="58"/>
  <c r="AP7" i="58"/>
  <c r="AP8" i="58"/>
  <c r="AP9" i="58"/>
  <c r="AP10" i="58"/>
  <c r="AP11" i="58"/>
  <c r="AP12" i="58"/>
  <c r="AP13" i="58"/>
  <c r="AP14" i="58"/>
  <c r="AP15" i="58"/>
  <c r="AP16" i="58"/>
  <c r="AP17" i="58"/>
  <c r="AP18" i="58"/>
  <c r="AP19" i="58"/>
  <c r="AP20" i="58"/>
  <c r="AP21" i="58"/>
  <c r="AP22" i="58"/>
  <c r="AP23" i="58"/>
  <c r="AP24" i="58"/>
  <c r="AP25" i="58"/>
  <c r="AP26" i="58"/>
  <c r="AP27" i="58"/>
  <c r="AP28" i="58"/>
  <c r="AP29" i="58"/>
  <c r="AP30" i="58"/>
  <c r="AP31" i="58"/>
  <c r="AP32" i="58"/>
  <c r="AP33" i="58"/>
  <c r="AP34" i="58"/>
  <c r="AP35" i="58"/>
  <c r="AP36" i="58"/>
  <c r="AP37" i="58"/>
  <c r="AP38" i="58"/>
  <c r="AP39" i="58"/>
  <c r="AP6" i="58"/>
  <c r="AL7" i="58"/>
  <c r="AL8" i="58"/>
  <c r="AL9" i="58"/>
  <c r="AL10" i="58"/>
  <c r="AL11" i="58"/>
  <c r="AL12" i="58"/>
  <c r="AL13" i="58"/>
  <c r="AL14" i="58"/>
  <c r="AL15" i="58"/>
  <c r="AL16" i="58"/>
  <c r="AL17" i="58"/>
  <c r="AL18" i="58"/>
  <c r="AL19" i="58"/>
  <c r="AL20" i="58"/>
  <c r="AL21" i="58"/>
  <c r="AL22" i="58"/>
  <c r="AL23" i="58"/>
  <c r="AL24" i="58"/>
  <c r="AL25" i="58"/>
  <c r="AL26" i="58"/>
  <c r="AL27" i="58"/>
  <c r="AL28" i="58"/>
  <c r="AL29" i="58"/>
  <c r="AL30" i="58"/>
  <c r="AL31" i="58"/>
  <c r="AL32" i="58"/>
  <c r="AL33" i="58"/>
  <c r="AL34" i="58"/>
  <c r="AL35" i="58"/>
  <c r="AL36" i="58"/>
  <c r="AL37" i="58"/>
  <c r="AL38" i="58"/>
  <c r="AL39" i="58"/>
  <c r="AL6" i="58"/>
  <c r="AM7" i="58"/>
  <c r="AM8" i="58"/>
  <c r="AM9" i="58"/>
  <c r="AM10" i="58"/>
  <c r="AM11" i="58"/>
  <c r="AM12" i="58"/>
  <c r="AM13" i="58"/>
  <c r="AM14" i="58"/>
  <c r="AM15" i="58"/>
  <c r="AM16" i="58"/>
  <c r="AM17" i="58"/>
  <c r="AM18" i="58"/>
  <c r="AM19" i="58"/>
  <c r="AM20" i="58"/>
  <c r="AM21" i="58"/>
  <c r="AM22" i="58"/>
  <c r="AM23" i="58"/>
  <c r="AM24" i="58"/>
  <c r="AM25" i="58"/>
  <c r="AM26" i="58"/>
  <c r="AM27" i="58"/>
  <c r="AM28" i="58"/>
  <c r="AM29" i="58"/>
  <c r="AM30" i="58"/>
  <c r="AM31" i="58"/>
  <c r="AM32" i="58"/>
  <c r="AM33" i="58"/>
  <c r="AM34" i="58"/>
  <c r="AM35" i="58"/>
  <c r="AM36" i="58"/>
  <c r="AM37" i="58"/>
  <c r="AM38" i="58"/>
  <c r="AM39" i="58"/>
  <c r="AM6" i="58"/>
  <c r="AN40" i="58"/>
  <c r="AO40" i="58"/>
  <c r="G42" i="58"/>
  <c r="G40" i="58"/>
  <c r="G45" i="58"/>
  <c r="G44" i="58"/>
  <c r="BG9" i="57"/>
  <c r="BG10" i="57"/>
  <c r="BG11" i="57"/>
  <c r="BG12" i="57"/>
  <c r="BG13" i="57"/>
  <c r="BG14" i="57"/>
  <c r="BG15" i="57"/>
  <c r="BG16" i="57"/>
  <c r="BG17" i="57"/>
  <c r="BG18" i="57"/>
  <c r="BG19" i="57"/>
  <c r="BG20" i="57"/>
  <c r="BG21" i="57"/>
  <c r="BG22" i="57"/>
  <c r="BG23" i="57"/>
  <c r="BG24" i="57"/>
  <c r="BG25" i="57"/>
  <c r="BG26" i="57"/>
  <c r="BG27" i="57"/>
  <c r="BG28" i="57"/>
  <c r="BG29" i="57"/>
  <c r="BG30" i="57"/>
  <c r="BG31" i="57"/>
  <c r="BG32" i="57"/>
  <c r="BG33" i="57"/>
  <c r="BG34" i="57"/>
  <c r="BG35" i="57"/>
  <c r="BG36" i="57"/>
  <c r="BG37" i="57"/>
  <c r="BG38" i="57"/>
  <c r="BG8" i="57"/>
  <c r="BF9" i="57"/>
  <c r="BF10" i="57"/>
  <c r="BF11" i="57"/>
  <c r="BF12" i="57"/>
  <c r="BF13" i="57"/>
  <c r="BF14" i="57"/>
  <c r="BF15" i="57"/>
  <c r="BF16" i="57"/>
  <c r="BF17" i="57"/>
  <c r="BF18" i="57"/>
  <c r="BF19" i="57"/>
  <c r="BF20" i="57"/>
  <c r="BF21" i="57"/>
  <c r="BF22" i="57"/>
  <c r="BF23" i="57"/>
  <c r="BF24" i="57"/>
  <c r="BF25" i="57"/>
  <c r="BF26" i="57"/>
  <c r="BF27" i="57"/>
  <c r="BF28" i="57"/>
  <c r="BF29" i="57"/>
  <c r="BF30" i="57"/>
  <c r="BF31" i="57"/>
  <c r="BF32" i="57"/>
  <c r="BF33" i="57"/>
  <c r="BF34" i="57"/>
  <c r="BF35" i="57"/>
  <c r="BF36" i="57"/>
  <c r="BF37" i="57"/>
  <c r="BF38" i="57"/>
  <c r="BF8" i="57"/>
  <c r="BB23" i="57"/>
  <c r="BB24" i="57"/>
  <c r="BB22" i="57"/>
  <c r="BB9" i="57"/>
  <c r="BB10" i="57"/>
  <c r="BB11" i="57"/>
  <c r="BB12" i="57"/>
  <c r="BB13" i="57"/>
  <c r="BB14" i="57"/>
  <c r="BB15" i="57"/>
  <c r="BB16" i="57"/>
  <c r="BB17" i="57"/>
  <c r="BB8" i="57"/>
  <c r="H42" i="57"/>
  <c r="AU9" i="57"/>
  <c r="AU10" i="57"/>
  <c r="AU11" i="57"/>
  <c r="AU12" i="57"/>
  <c r="AU13" i="57"/>
  <c r="AU14" i="57"/>
  <c r="AU15" i="57"/>
  <c r="AU16" i="57"/>
  <c r="AU17" i="57"/>
  <c r="AU18" i="57"/>
  <c r="AU19" i="57"/>
  <c r="AU20" i="57"/>
  <c r="AU21" i="57"/>
  <c r="AU22" i="57"/>
  <c r="AU23" i="57"/>
  <c r="AU24" i="57"/>
  <c r="AU25" i="57"/>
  <c r="AU26" i="57"/>
  <c r="AU27" i="57"/>
  <c r="AU28" i="57"/>
  <c r="AU29" i="57"/>
  <c r="AU30" i="57"/>
  <c r="AU31" i="57"/>
  <c r="AU32" i="57"/>
  <c r="AU33" i="57"/>
  <c r="AU34" i="57"/>
  <c r="AU35" i="57"/>
  <c r="AU36" i="57"/>
  <c r="AU37" i="57"/>
  <c r="AU38" i="57"/>
  <c r="AU8" i="57"/>
  <c r="AN9" i="57"/>
  <c r="AN10" i="57"/>
  <c r="AN11" i="57"/>
  <c r="AN12" i="57"/>
  <c r="AN13" i="57"/>
  <c r="AN14" i="57"/>
  <c r="AN15" i="57"/>
  <c r="AN16" i="57"/>
  <c r="AN17" i="57"/>
  <c r="AN18" i="57"/>
  <c r="AN19" i="57"/>
  <c r="AN20" i="57"/>
  <c r="AN21" i="57"/>
  <c r="AN22" i="57"/>
  <c r="AN23" i="57"/>
  <c r="AN24" i="57"/>
  <c r="AN25" i="57"/>
  <c r="AN26" i="57"/>
  <c r="AN27" i="57"/>
  <c r="AN28" i="57"/>
  <c r="AN29" i="57"/>
  <c r="AN30" i="57"/>
  <c r="AN31" i="57"/>
  <c r="AN32" i="57"/>
  <c r="AN33" i="57"/>
  <c r="AN34" i="57"/>
  <c r="AN35" i="57"/>
  <c r="AN36" i="57"/>
  <c r="AN37" i="57"/>
  <c r="AN38" i="57"/>
  <c r="AN8" i="57"/>
  <c r="AM9" i="57"/>
  <c r="AM10" i="57"/>
  <c r="AM11" i="57"/>
  <c r="AM12" i="57"/>
  <c r="AM13" i="57"/>
  <c r="AM14" i="57"/>
  <c r="AM15" i="57"/>
  <c r="AM16" i="57"/>
  <c r="AM17" i="57"/>
  <c r="AM18" i="57"/>
  <c r="AM19" i="57"/>
  <c r="AM20" i="57"/>
  <c r="AM21" i="57"/>
  <c r="AM22" i="57"/>
  <c r="AM23" i="57"/>
  <c r="AM24" i="57"/>
  <c r="AM25" i="57"/>
  <c r="AM26" i="57"/>
  <c r="AM27" i="57"/>
  <c r="AM28" i="57"/>
  <c r="AM29" i="57"/>
  <c r="AM30" i="57"/>
  <c r="AM31" i="57"/>
  <c r="AM32" i="57"/>
  <c r="AM33" i="57"/>
  <c r="AM34" i="57"/>
  <c r="AM35" i="57"/>
  <c r="AM36" i="57"/>
  <c r="AM37" i="57"/>
  <c r="AM38" i="57"/>
  <c r="AM8" i="57"/>
  <c r="AW38" i="57"/>
  <c r="AW23" i="57"/>
  <c r="AW24" i="57"/>
  <c r="AW22" i="57"/>
  <c r="AW9" i="57"/>
  <c r="AW10" i="57"/>
  <c r="AW11" i="57"/>
  <c r="AW12" i="57"/>
  <c r="AW13" i="57"/>
  <c r="AW14" i="57"/>
  <c r="AW15" i="57"/>
  <c r="AW16" i="57"/>
  <c r="AW17" i="57"/>
  <c r="AW8" i="57"/>
  <c r="AS9" i="57"/>
  <c r="AS10" i="57"/>
  <c r="AS11" i="57"/>
  <c r="AS12" i="57"/>
  <c r="AS13" i="57"/>
  <c r="AS14" i="57"/>
  <c r="AS15" i="57"/>
  <c r="AS16" i="57"/>
  <c r="AS17" i="57"/>
  <c r="AS18" i="57"/>
  <c r="AS19" i="57"/>
  <c r="AS20" i="57"/>
  <c r="AS21" i="57"/>
  <c r="AS22" i="57"/>
  <c r="AS23" i="57"/>
  <c r="AS24" i="57"/>
  <c r="AS25" i="57"/>
  <c r="AS26" i="57"/>
  <c r="AS27" i="57"/>
  <c r="AS28" i="57"/>
  <c r="AS29" i="57"/>
  <c r="AS30" i="57"/>
  <c r="AS31" i="57"/>
  <c r="AS32" i="57"/>
  <c r="AS33" i="57"/>
  <c r="AS34" i="57"/>
  <c r="AS35" i="57"/>
  <c r="AS36" i="57"/>
  <c r="AS37" i="57"/>
  <c r="AS38" i="57"/>
  <c r="AS8" i="57"/>
  <c r="AT9" i="57"/>
  <c r="AT10" i="57"/>
  <c r="AT11" i="57"/>
  <c r="AT12" i="57"/>
  <c r="AT13" i="57"/>
  <c r="AT14" i="57"/>
  <c r="AT15" i="57"/>
  <c r="AT16" i="57"/>
  <c r="AT17" i="57"/>
  <c r="AT18" i="57"/>
  <c r="AT19" i="57"/>
  <c r="AT20" i="57"/>
  <c r="AT21" i="57"/>
  <c r="AT22" i="57"/>
  <c r="AT23" i="57"/>
  <c r="AT24" i="57"/>
  <c r="AT25" i="57"/>
  <c r="AT26" i="57"/>
  <c r="AT27" i="57"/>
  <c r="AT28" i="57"/>
  <c r="AT29" i="57"/>
  <c r="AT30" i="57"/>
  <c r="AT31" i="57"/>
  <c r="AT32" i="57"/>
  <c r="AT33" i="57"/>
  <c r="AT34" i="57"/>
  <c r="AT35" i="57"/>
  <c r="AT36" i="57"/>
  <c r="AT37" i="57"/>
  <c r="AT38" i="57"/>
  <c r="AT8" i="57"/>
  <c r="AQ9" i="57"/>
  <c r="AQ10" i="57"/>
  <c r="AQ11" i="57"/>
  <c r="AQ12" i="57"/>
  <c r="AQ13" i="57"/>
  <c r="AQ14" i="57"/>
  <c r="AQ15" i="57"/>
  <c r="AQ16" i="57"/>
  <c r="AQ17" i="57"/>
  <c r="AQ18" i="57"/>
  <c r="AQ19" i="57"/>
  <c r="AQ20" i="57"/>
  <c r="AQ21" i="57"/>
  <c r="AQ22" i="57"/>
  <c r="AQ23" i="57"/>
  <c r="AQ24" i="57"/>
  <c r="AQ25" i="57"/>
  <c r="AQ26" i="57"/>
  <c r="AQ27" i="57"/>
  <c r="AQ28" i="57"/>
  <c r="AQ29" i="57"/>
  <c r="AQ30" i="57"/>
  <c r="AQ31" i="57"/>
  <c r="AQ32" i="57"/>
  <c r="AQ33" i="57"/>
  <c r="AQ34" i="57"/>
  <c r="AQ35" i="57"/>
  <c r="AQ36" i="57"/>
  <c r="AQ37" i="57"/>
  <c r="AQ38" i="57"/>
  <c r="AQ8" i="57"/>
  <c r="V63" i="57"/>
  <c r="M48" i="55"/>
  <c r="AH9" i="55"/>
  <c r="AH10" i="55"/>
  <c r="AH11" i="55"/>
  <c r="AH12" i="55"/>
  <c r="AH13" i="55"/>
  <c r="AH14" i="55"/>
  <c r="AH15" i="55"/>
  <c r="AH16" i="55"/>
  <c r="AH17" i="55"/>
  <c r="AH18" i="55"/>
  <c r="AH19" i="55"/>
  <c r="AH20" i="55"/>
  <c r="AH21" i="55"/>
  <c r="AH22" i="55"/>
  <c r="AH23" i="55"/>
  <c r="AH24" i="55"/>
  <c r="AH25" i="55"/>
  <c r="AH26" i="55"/>
  <c r="AH8" i="55"/>
  <c r="AG9" i="55"/>
  <c r="AG10" i="55"/>
  <c r="AG11" i="55"/>
  <c r="AG12" i="55"/>
  <c r="AG13" i="55"/>
  <c r="AG14" i="55"/>
  <c r="AG15" i="55"/>
  <c r="AG16" i="55"/>
  <c r="AG17" i="55"/>
  <c r="AG18" i="55"/>
  <c r="AG19" i="55"/>
  <c r="AG20" i="55"/>
  <c r="AG21" i="55"/>
  <c r="AG22" i="55"/>
  <c r="AG23" i="55"/>
  <c r="AG24" i="55"/>
  <c r="AG25" i="55"/>
  <c r="AG26" i="55"/>
  <c r="AG8" i="55"/>
  <c r="AA9" i="55"/>
  <c r="AA10" i="55"/>
  <c r="AA11" i="55"/>
  <c r="AA12" i="55"/>
  <c r="AA13" i="55"/>
  <c r="AA14" i="55"/>
  <c r="AA15" i="55"/>
  <c r="AA16" i="55"/>
  <c r="AA17" i="55"/>
  <c r="AA18" i="55"/>
  <c r="AA19" i="55"/>
  <c r="AA20" i="55"/>
  <c r="AA21" i="55"/>
  <c r="AA22" i="55"/>
  <c r="AA23" i="55"/>
  <c r="AA24" i="55"/>
  <c r="AA25" i="55"/>
  <c r="AA26" i="55"/>
  <c r="AA8" i="55"/>
  <c r="AC9" i="55"/>
  <c r="AC10" i="55"/>
  <c r="AC11" i="55"/>
  <c r="AC12" i="55"/>
  <c r="AC13" i="55"/>
  <c r="AC14" i="55"/>
  <c r="AC15" i="55"/>
  <c r="AC8" i="55"/>
  <c r="U9" i="55"/>
  <c r="U10" i="55"/>
  <c r="U11" i="55"/>
  <c r="U12" i="55"/>
  <c r="U13" i="55"/>
  <c r="U14" i="55"/>
  <c r="U15" i="55"/>
  <c r="U16" i="55"/>
  <c r="U17" i="55"/>
  <c r="U18" i="55"/>
  <c r="U19" i="55"/>
  <c r="U20" i="55"/>
  <c r="U21" i="55"/>
  <c r="U22" i="55"/>
  <c r="U23" i="55"/>
  <c r="U24" i="55"/>
  <c r="U25" i="55"/>
  <c r="U26" i="55"/>
  <c r="U8" i="55"/>
  <c r="Z9" i="55"/>
  <c r="Z10" i="55"/>
  <c r="Z11" i="55"/>
  <c r="Z12" i="55"/>
  <c r="Z13" i="55"/>
  <c r="Z14" i="55"/>
  <c r="Z15" i="55"/>
  <c r="Z16" i="55"/>
  <c r="Z17" i="55"/>
  <c r="Z18" i="55"/>
  <c r="Z19" i="55"/>
  <c r="Z20" i="55"/>
  <c r="Z21" i="55"/>
  <c r="Z22" i="55"/>
  <c r="Z23" i="55"/>
  <c r="Z24" i="55"/>
  <c r="Z25" i="55"/>
  <c r="Z26" i="55"/>
  <c r="Z8" i="55"/>
  <c r="Y9" i="55"/>
  <c r="Y10" i="55"/>
  <c r="Y11" i="55"/>
  <c r="Y12" i="55"/>
  <c r="Y13" i="55"/>
  <c r="Y14" i="55"/>
  <c r="Y15" i="55"/>
  <c r="Y16" i="55"/>
  <c r="Y17" i="55"/>
  <c r="Y18" i="55"/>
  <c r="Y19" i="55"/>
  <c r="Y20" i="55"/>
  <c r="Y21" i="55"/>
  <c r="Y22" i="55"/>
  <c r="Y23" i="55"/>
  <c r="Y24" i="55"/>
  <c r="Y25" i="55"/>
  <c r="Y26" i="55"/>
  <c r="Y8" i="55"/>
  <c r="R9" i="55"/>
  <c r="AJ9" i="55" s="1"/>
  <c r="R10" i="55"/>
  <c r="AJ10" i="55" s="1"/>
  <c r="R11" i="55"/>
  <c r="AJ11" i="55" s="1"/>
  <c r="R12" i="55"/>
  <c r="R13" i="55"/>
  <c r="AJ13" i="55" s="1"/>
  <c r="R14" i="55"/>
  <c r="AJ14" i="55" s="1"/>
  <c r="R15" i="55"/>
  <c r="AJ15" i="55" s="1"/>
  <c r="R16" i="55"/>
  <c r="R17" i="55"/>
  <c r="AJ17" i="55" s="1"/>
  <c r="R18" i="55"/>
  <c r="AJ18" i="55" s="1"/>
  <c r="R19" i="55"/>
  <c r="AJ19" i="55" s="1"/>
  <c r="R20" i="55"/>
  <c r="R21" i="55"/>
  <c r="AJ21" i="55" s="1"/>
  <c r="R22" i="55"/>
  <c r="AJ22" i="55" s="1"/>
  <c r="R23" i="55"/>
  <c r="AJ23" i="55" s="1"/>
  <c r="R24" i="55"/>
  <c r="R25" i="55"/>
  <c r="AJ25" i="55" s="1"/>
  <c r="R26" i="55"/>
  <c r="AJ26" i="55" s="1"/>
  <c r="R8" i="55"/>
  <c r="AL8" i="55" s="1"/>
  <c r="Q9" i="55"/>
  <c r="AL9" i="55" s="1"/>
  <c r="Q10" i="55"/>
  <c r="Q11" i="55"/>
  <c r="Q12" i="55"/>
  <c r="AJ12" i="55" s="1"/>
  <c r="Q13" i="55"/>
  <c r="AL13" i="55" s="1"/>
  <c r="Q14" i="55"/>
  <c r="Q15" i="55"/>
  <c r="Q16" i="55"/>
  <c r="AJ16" i="55" s="1"/>
  <c r="Q17" i="55"/>
  <c r="AL17" i="55" s="1"/>
  <c r="Q18" i="55"/>
  <c r="Q19" i="55"/>
  <c r="Q20" i="55"/>
  <c r="AJ20" i="55" s="1"/>
  <c r="Q21" i="55"/>
  <c r="AL21" i="55" s="1"/>
  <c r="Q22" i="55"/>
  <c r="Q23" i="55"/>
  <c r="Q24" i="55"/>
  <c r="AJ24" i="55" s="1"/>
  <c r="Q25" i="55"/>
  <c r="AL25" i="55" s="1"/>
  <c r="Q26" i="55"/>
  <c r="Q8" i="55"/>
  <c r="AS32" i="54"/>
  <c r="AS33" i="54"/>
  <c r="AS31" i="54"/>
  <c r="AS8" i="54"/>
  <c r="AS9" i="54"/>
  <c r="AS10" i="54"/>
  <c r="AS11" i="54"/>
  <c r="AS12" i="54"/>
  <c r="AS13" i="54"/>
  <c r="AS14" i="54"/>
  <c r="AS15" i="54"/>
  <c r="AS16" i="54"/>
  <c r="AS17" i="54"/>
  <c r="AS18" i="54"/>
  <c r="AS19" i="54"/>
  <c r="AS20" i="54"/>
  <c r="AS21" i="54"/>
  <c r="AS22" i="54"/>
  <c r="AS23" i="54"/>
  <c r="AS24" i="54"/>
  <c r="AS25" i="54"/>
  <c r="AS26" i="54"/>
  <c r="AS27" i="54"/>
  <c r="AS28" i="54"/>
  <c r="AS29" i="54"/>
  <c r="AS7" i="54"/>
  <c r="AF32" i="54"/>
  <c r="AF33" i="54"/>
  <c r="AF31" i="54"/>
  <c r="AF8" i="54"/>
  <c r="AF9" i="54"/>
  <c r="AF10" i="54"/>
  <c r="AF11" i="54"/>
  <c r="AF12" i="54"/>
  <c r="AF13" i="54"/>
  <c r="AF14" i="54"/>
  <c r="AF15" i="54"/>
  <c r="AF16" i="54"/>
  <c r="AF17" i="54"/>
  <c r="AF18" i="54"/>
  <c r="AF19" i="54"/>
  <c r="AF20" i="54"/>
  <c r="AF21" i="54"/>
  <c r="AF22" i="54"/>
  <c r="AF23" i="54"/>
  <c r="AF24" i="54"/>
  <c r="AF25" i="54"/>
  <c r="AF26" i="54"/>
  <c r="AF27" i="54"/>
  <c r="AF28" i="54"/>
  <c r="AF29" i="54"/>
  <c r="AF7" i="54"/>
  <c r="AH32" i="54"/>
  <c r="AH33" i="54"/>
  <c r="AH31" i="54"/>
  <c r="AH8" i="54"/>
  <c r="AH9" i="54"/>
  <c r="AH10" i="54"/>
  <c r="AH11" i="54"/>
  <c r="AH12" i="54"/>
  <c r="AH13" i="54"/>
  <c r="AH14" i="54"/>
  <c r="AH15" i="54"/>
  <c r="AH16" i="54"/>
  <c r="AH17" i="54"/>
  <c r="AH18" i="54"/>
  <c r="AH19" i="54"/>
  <c r="AH20" i="54"/>
  <c r="AH21" i="54"/>
  <c r="AH22" i="54"/>
  <c r="AH23" i="54"/>
  <c r="AH24" i="54"/>
  <c r="AH25" i="54"/>
  <c r="AH26" i="54"/>
  <c r="AH27" i="54"/>
  <c r="AH28" i="54"/>
  <c r="AH29" i="54"/>
  <c r="AH7" i="54"/>
  <c r="AG32" i="54"/>
  <c r="AG33" i="54"/>
  <c r="AG31" i="54"/>
  <c r="AG8" i="54"/>
  <c r="AG9" i="54"/>
  <c r="AG10" i="54"/>
  <c r="AG11" i="54"/>
  <c r="AG12" i="54"/>
  <c r="AG13" i="54"/>
  <c r="AG14" i="54"/>
  <c r="AG15" i="54"/>
  <c r="AG16" i="54"/>
  <c r="AG17" i="54"/>
  <c r="AG18" i="54"/>
  <c r="AG19" i="54"/>
  <c r="AG20" i="54"/>
  <c r="AG21" i="54"/>
  <c r="AG22" i="54"/>
  <c r="AG23" i="54"/>
  <c r="AG24" i="54"/>
  <c r="AG25" i="54"/>
  <c r="AG26" i="54"/>
  <c r="AG27" i="54"/>
  <c r="AG28" i="54"/>
  <c r="AG29" i="54"/>
  <c r="AG7" i="54"/>
  <c r="AE32" i="54"/>
  <c r="AE33" i="54"/>
  <c r="AE31" i="54"/>
  <c r="AE8" i="54"/>
  <c r="AE9" i="54"/>
  <c r="AE10" i="54"/>
  <c r="AE11" i="54"/>
  <c r="AE12" i="54"/>
  <c r="AE13" i="54"/>
  <c r="AE14" i="54"/>
  <c r="AE15" i="54"/>
  <c r="AE16" i="54"/>
  <c r="AE17" i="54"/>
  <c r="AE18" i="54"/>
  <c r="AE19" i="54"/>
  <c r="AE20" i="54"/>
  <c r="AE21" i="54"/>
  <c r="AE22" i="54"/>
  <c r="AE23" i="54"/>
  <c r="AE24" i="54"/>
  <c r="AE25" i="54"/>
  <c r="AE26" i="54"/>
  <c r="AE27" i="54"/>
  <c r="AE28" i="54"/>
  <c r="AE29" i="54"/>
  <c r="AE7" i="54"/>
  <c r="AC32" i="54"/>
  <c r="AC33" i="54"/>
  <c r="AC31" i="54"/>
  <c r="AC8" i="54"/>
  <c r="AC9" i="54"/>
  <c r="AC10" i="54"/>
  <c r="AC11" i="54"/>
  <c r="AC12" i="54"/>
  <c r="AC13" i="54"/>
  <c r="AC14" i="54"/>
  <c r="AC15" i="54"/>
  <c r="AC16" i="54"/>
  <c r="AC17" i="54"/>
  <c r="AC18" i="54"/>
  <c r="AC19" i="54"/>
  <c r="AC20" i="54"/>
  <c r="AC21" i="54"/>
  <c r="AC22" i="54"/>
  <c r="AC23" i="54"/>
  <c r="AC24" i="54"/>
  <c r="AC25" i="54"/>
  <c r="AC26" i="54"/>
  <c r="AC27" i="54"/>
  <c r="AC28" i="54"/>
  <c r="AC29" i="54"/>
  <c r="AC7" i="54"/>
  <c r="AB32" i="54"/>
  <c r="AB33" i="54"/>
  <c r="AB31" i="54"/>
  <c r="AB8" i="54"/>
  <c r="AB9" i="54"/>
  <c r="AB10" i="54"/>
  <c r="AB11" i="54"/>
  <c r="AB12" i="54"/>
  <c r="AB13" i="54"/>
  <c r="AB14" i="54"/>
  <c r="AB15" i="54"/>
  <c r="AB16" i="54"/>
  <c r="AB17" i="54"/>
  <c r="AB18" i="54"/>
  <c r="AB19" i="54"/>
  <c r="AB20" i="54"/>
  <c r="AB21" i="54"/>
  <c r="AB22" i="54"/>
  <c r="AB23" i="54"/>
  <c r="AB24" i="54"/>
  <c r="AB25" i="54"/>
  <c r="AB26" i="54"/>
  <c r="AB27" i="54"/>
  <c r="AB28" i="54"/>
  <c r="AB29" i="54"/>
  <c r="AB7" i="54"/>
  <c r="AA32" i="54"/>
  <c r="AA33" i="54"/>
  <c r="AA31" i="54"/>
  <c r="AA8" i="54"/>
  <c r="AA9" i="54"/>
  <c r="AA10" i="54"/>
  <c r="AA11" i="54"/>
  <c r="AA12" i="54"/>
  <c r="AA13" i="54"/>
  <c r="AA14" i="54"/>
  <c r="AA15" i="54"/>
  <c r="AA16" i="54"/>
  <c r="AA17" i="54"/>
  <c r="AA18" i="54"/>
  <c r="AA19" i="54"/>
  <c r="AA20" i="54"/>
  <c r="AA21" i="54"/>
  <c r="AA22" i="54"/>
  <c r="AA23" i="54"/>
  <c r="AA24" i="54"/>
  <c r="AA25" i="54"/>
  <c r="AA26" i="54"/>
  <c r="AA27" i="54"/>
  <c r="AA28" i="54"/>
  <c r="AA29" i="54"/>
  <c r="AA7" i="54"/>
  <c r="AQ28" i="54"/>
  <c r="AQ29" i="54"/>
  <c r="AQ27" i="54"/>
  <c r="AQ17" i="54"/>
  <c r="D96" i="54"/>
  <c r="AR32" i="54"/>
  <c r="AR33" i="54"/>
  <c r="AR31" i="54"/>
  <c r="AR8" i="54"/>
  <c r="AR9" i="54"/>
  <c r="AR10" i="54"/>
  <c r="AR11" i="54"/>
  <c r="AR12" i="54"/>
  <c r="AR13" i="54"/>
  <c r="AR14" i="54"/>
  <c r="AR15" i="54"/>
  <c r="AR16" i="54"/>
  <c r="AR17" i="54"/>
  <c r="AR18" i="54"/>
  <c r="AR19" i="54"/>
  <c r="AR20" i="54"/>
  <c r="AR21" i="54"/>
  <c r="AR22" i="54"/>
  <c r="AR23" i="54"/>
  <c r="AR24" i="54"/>
  <c r="AR25" i="54"/>
  <c r="AR26" i="54"/>
  <c r="AR27" i="54"/>
  <c r="AR28" i="54"/>
  <c r="AR29" i="54"/>
  <c r="AR7" i="54"/>
  <c r="AL27" i="54"/>
  <c r="AL28" i="54"/>
  <c r="AL29" i="54"/>
  <c r="AL26" i="54"/>
  <c r="AL24" i="54"/>
  <c r="AL17" i="54"/>
  <c r="AL13" i="54"/>
  <c r="AL12" i="54"/>
  <c r="AN27" i="54"/>
  <c r="AN28" i="54"/>
  <c r="AN29" i="54"/>
  <c r="AN26" i="54"/>
  <c r="AN24" i="54"/>
  <c r="AN17" i="54"/>
  <c r="AN13" i="54"/>
  <c r="AN12" i="54"/>
  <c r="B34" i="54"/>
  <c r="H85" i="54"/>
  <c r="G85" i="54"/>
  <c r="F85" i="54"/>
  <c r="AI20" i="54"/>
  <c r="AI21" i="54"/>
  <c r="AI22" i="54"/>
  <c r="AI23" i="54"/>
  <c r="AI24" i="54"/>
  <c r="AI25" i="54"/>
  <c r="AI26" i="54"/>
  <c r="AI27" i="54"/>
  <c r="AI28" i="54"/>
  <c r="AI29" i="54"/>
  <c r="AI19" i="54"/>
  <c r="AI8" i="54"/>
  <c r="AI9" i="54"/>
  <c r="AI10" i="54"/>
  <c r="AI11" i="54"/>
  <c r="AI12" i="54"/>
  <c r="AI13" i="54"/>
  <c r="AI14" i="54"/>
  <c r="AI15" i="54"/>
  <c r="AI16" i="54"/>
  <c r="AI17" i="54"/>
  <c r="AI7" i="54"/>
  <c r="H37" i="54"/>
  <c r="X34" i="54"/>
  <c r="Y8" i="54"/>
  <c r="Y9" i="54"/>
  <c r="Y10" i="54"/>
  <c r="Y11" i="54"/>
  <c r="Y12" i="54"/>
  <c r="Y13" i="54"/>
  <c r="Y14" i="54"/>
  <c r="Y15" i="54"/>
  <c r="Y16" i="54"/>
  <c r="Y17" i="54"/>
  <c r="Y18" i="54"/>
  <c r="Y19" i="54"/>
  <c r="Y20" i="54"/>
  <c r="Y21" i="54"/>
  <c r="Y22" i="54"/>
  <c r="Y23" i="54"/>
  <c r="Y24" i="54"/>
  <c r="Y25" i="54"/>
  <c r="Y26" i="54"/>
  <c r="Y27" i="54"/>
  <c r="Y28" i="54"/>
  <c r="Y29" i="54"/>
  <c r="Y30" i="54"/>
  <c r="Y31" i="54"/>
  <c r="Y32" i="54"/>
  <c r="Y33" i="54"/>
  <c r="Y7" i="54"/>
  <c r="AM34" i="54"/>
  <c r="AD34" i="54"/>
  <c r="Z34" i="54"/>
  <c r="AX33" i="54"/>
  <c r="AP33" i="54"/>
  <c r="AX32" i="54"/>
  <c r="AP32" i="54"/>
  <c r="AX31" i="54"/>
  <c r="AP31" i="54"/>
  <c r="AX30" i="54"/>
  <c r="AP30" i="54"/>
  <c r="AX29" i="54"/>
  <c r="AX28" i="54"/>
  <c r="AX27" i="54"/>
  <c r="AX26" i="54"/>
  <c r="AX25" i="54"/>
  <c r="AP25" i="54"/>
  <c r="AX24" i="54"/>
  <c r="AX23" i="54"/>
  <c r="AP23" i="54"/>
  <c r="AX22" i="54"/>
  <c r="AP22" i="54"/>
  <c r="AX21" i="54"/>
  <c r="AP21" i="54"/>
  <c r="AX20" i="54"/>
  <c r="AP20" i="54"/>
  <c r="AX19" i="54"/>
  <c r="AP19" i="54"/>
  <c r="AX18" i="54"/>
  <c r="AP18" i="54"/>
  <c r="AX17" i="54"/>
  <c r="AX16" i="54"/>
  <c r="AP16" i="54"/>
  <c r="AX15" i="54"/>
  <c r="AP15" i="54"/>
  <c r="AX14" i="54"/>
  <c r="AP14" i="54"/>
  <c r="AX13" i="54"/>
  <c r="AX12" i="54"/>
  <c r="AX11" i="54"/>
  <c r="AP11" i="54"/>
  <c r="AX10" i="54"/>
  <c r="AP10" i="54"/>
  <c r="AX9" i="54"/>
  <c r="AP9" i="54"/>
  <c r="AX8" i="54"/>
  <c r="AP8" i="54"/>
  <c r="AX7" i="54"/>
  <c r="AP7" i="54"/>
  <c r="G26" i="62"/>
  <c r="F26" i="62"/>
  <c r="E26" i="62"/>
  <c r="AJ16" i="62"/>
  <c r="AB15" i="62"/>
  <c r="AA15" i="62"/>
  <c r="Z15" i="62"/>
  <c r="W15" i="62"/>
  <c r="U15" i="62"/>
  <c r="T15" i="62"/>
  <c r="S15" i="62"/>
  <c r="O15" i="62"/>
  <c r="N15" i="62"/>
  <c r="M15" i="62"/>
  <c r="L15" i="62"/>
  <c r="K15" i="62"/>
  <c r="J15" i="62"/>
  <c r="I15" i="62"/>
  <c r="H15" i="62"/>
  <c r="G15" i="62"/>
  <c r="AD15" i="62" s="1"/>
  <c r="F15" i="62"/>
  <c r="E15" i="62"/>
  <c r="V14" i="62"/>
  <c r="V13" i="62"/>
  <c r="AB12" i="62"/>
  <c r="W12" i="62"/>
  <c r="O12" i="62"/>
  <c r="N12" i="62"/>
  <c r="M12" i="62"/>
  <c r="L12" i="62"/>
  <c r="K12" i="62"/>
  <c r="J12" i="62"/>
  <c r="I12" i="62"/>
  <c r="H12" i="62"/>
  <c r="G12" i="62"/>
  <c r="F12" i="62"/>
  <c r="E12" i="62"/>
  <c r="V11" i="62"/>
  <c r="V10" i="62"/>
  <c r="U10" i="56"/>
  <c r="U11" i="56"/>
  <c r="U12" i="56"/>
  <c r="U13" i="56"/>
  <c r="U14" i="56"/>
  <c r="U15" i="56"/>
  <c r="U16" i="56"/>
  <c r="U9" i="56"/>
  <c r="T10" i="56"/>
  <c r="AS10" i="56" s="1"/>
  <c r="T11" i="56"/>
  <c r="T12" i="56"/>
  <c r="T13" i="56"/>
  <c r="AS13" i="56" s="1"/>
  <c r="T14" i="56"/>
  <c r="AS14" i="56" s="1"/>
  <c r="T15" i="56"/>
  <c r="AS15" i="56" s="1"/>
  <c r="T16" i="56"/>
  <c r="AS16" i="56" s="1"/>
  <c r="T9" i="56"/>
  <c r="AS9" i="56" s="1"/>
  <c r="J17" i="56"/>
  <c r="K17" i="56"/>
  <c r="V10" i="61"/>
  <c r="V11" i="61"/>
  <c r="V12" i="61"/>
  <c r="V13" i="61"/>
  <c r="V14" i="61"/>
  <c r="V15" i="61"/>
  <c r="V16" i="61"/>
  <c r="V17" i="61"/>
  <c r="V18" i="61"/>
  <c r="V19" i="61"/>
  <c r="V20" i="61"/>
  <c r="V21" i="61"/>
  <c r="V22" i="61"/>
  <c r="V23" i="61"/>
  <c r="V24" i="61"/>
  <c r="V25" i="61"/>
  <c r="V26" i="61"/>
  <c r="V27" i="61"/>
  <c r="V28" i="61"/>
  <c r="V29" i="61"/>
  <c r="V30" i="61"/>
  <c r="V31" i="61"/>
  <c r="V32" i="61"/>
  <c r="V33" i="61"/>
  <c r="V34" i="61"/>
  <c r="V35" i="61"/>
  <c r="V36" i="61"/>
  <c r="V37" i="61"/>
  <c r="V38" i="61"/>
  <c r="V39" i="61"/>
  <c r="V40" i="61"/>
  <c r="V9" i="61"/>
  <c r="U10" i="61"/>
  <c r="AU10" i="61" s="1"/>
  <c r="U11" i="61"/>
  <c r="AU11" i="61" s="1"/>
  <c r="U12" i="61"/>
  <c r="AU12" i="61" s="1"/>
  <c r="U13" i="61"/>
  <c r="AU13" i="61" s="1"/>
  <c r="U14" i="61"/>
  <c r="AU14" i="61" s="1"/>
  <c r="U15" i="61"/>
  <c r="AU15" i="61" s="1"/>
  <c r="U16" i="61"/>
  <c r="AU16" i="61" s="1"/>
  <c r="U17" i="61"/>
  <c r="AU17" i="61" s="1"/>
  <c r="U18" i="61"/>
  <c r="AU18" i="61" s="1"/>
  <c r="U19" i="61"/>
  <c r="AU19" i="61" s="1"/>
  <c r="U20" i="61"/>
  <c r="AU20" i="61" s="1"/>
  <c r="U21" i="61"/>
  <c r="AU21" i="61" s="1"/>
  <c r="U22" i="61"/>
  <c r="AU22" i="61" s="1"/>
  <c r="U23" i="61"/>
  <c r="AU23" i="61" s="1"/>
  <c r="U24" i="61"/>
  <c r="AU24" i="61" s="1"/>
  <c r="U25" i="61"/>
  <c r="AU25" i="61" s="1"/>
  <c r="U26" i="61"/>
  <c r="AU26" i="61" s="1"/>
  <c r="U27" i="61"/>
  <c r="AU27" i="61" s="1"/>
  <c r="U28" i="61"/>
  <c r="AU28" i="61" s="1"/>
  <c r="U29" i="61"/>
  <c r="AU29" i="61" s="1"/>
  <c r="U30" i="61"/>
  <c r="AU30" i="61" s="1"/>
  <c r="U31" i="61"/>
  <c r="AU31" i="61" s="1"/>
  <c r="U32" i="61"/>
  <c r="AU32" i="61" s="1"/>
  <c r="U33" i="61"/>
  <c r="AU33" i="61" s="1"/>
  <c r="U34" i="61"/>
  <c r="AU34" i="61" s="1"/>
  <c r="U35" i="61"/>
  <c r="AU35" i="61" s="1"/>
  <c r="U36" i="61"/>
  <c r="AU36" i="61" s="1"/>
  <c r="U37" i="61"/>
  <c r="AU37" i="61" s="1"/>
  <c r="U38" i="61"/>
  <c r="AU38" i="61" s="1"/>
  <c r="U39" i="61"/>
  <c r="AU39" i="61" s="1"/>
  <c r="U40" i="61"/>
  <c r="AU40" i="61" s="1"/>
  <c r="U9" i="61"/>
  <c r="AU9" i="61" s="1"/>
  <c r="I41" i="61"/>
  <c r="J41" i="61"/>
  <c r="V8" i="60"/>
  <c r="V9" i="60"/>
  <c r="V10" i="60"/>
  <c r="AQ10" i="60" s="1"/>
  <c r="V11" i="60"/>
  <c r="AQ11" i="60" s="1"/>
  <c r="V12" i="60"/>
  <c r="V13" i="60"/>
  <c r="V14" i="60"/>
  <c r="AQ14" i="60" s="1"/>
  <c r="V15" i="60"/>
  <c r="AQ15" i="60" s="1"/>
  <c r="V16" i="60"/>
  <c r="V17" i="60"/>
  <c r="V18" i="60"/>
  <c r="AQ18" i="60" s="1"/>
  <c r="V19" i="60"/>
  <c r="AQ19" i="60" s="1"/>
  <c r="V20" i="60"/>
  <c r="V7" i="60"/>
  <c r="U8" i="60"/>
  <c r="AS8" i="60" s="1"/>
  <c r="U9" i="60"/>
  <c r="AS9" i="60" s="1"/>
  <c r="U10" i="60"/>
  <c r="U11" i="60"/>
  <c r="U12" i="60"/>
  <c r="AS12" i="60" s="1"/>
  <c r="U13" i="60"/>
  <c r="AS13" i="60" s="1"/>
  <c r="U14" i="60"/>
  <c r="U15" i="60"/>
  <c r="U16" i="60"/>
  <c r="AS16" i="60" s="1"/>
  <c r="U17" i="60"/>
  <c r="AS17" i="60" s="1"/>
  <c r="U18" i="60"/>
  <c r="U19" i="60"/>
  <c r="U20" i="60"/>
  <c r="AS20" i="60" s="1"/>
  <c r="U7" i="60"/>
  <c r="AS7" i="60" s="1"/>
  <c r="I21" i="60"/>
  <c r="J21" i="60"/>
  <c r="W10" i="59"/>
  <c r="W11" i="59"/>
  <c r="W12" i="59"/>
  <c r="W13" i="59"/>
  <c r="W14" i="59"/>
  <c r="W15" i="59"/>
  <c r="W16" i="59"/>
  <c r="W17" i="59"/>
  <c r="W18" i="59"/>
  <c r="W19" i="59"/>
  <c r="W20" i="59"/>
  <c r="W21" i="59"/>
  <c r="W22" i="59"/>
  <c r="W23" i="59"/>
  <c r="W24" i="59"/>
  <c r="W25" i="59"/>
  <c r="W26" i="59"/>
  <c r="W27" i="59"/>
  <c r="W28" i="59"/>
  <c r="W29" i="59"/>
  <c r="W30" i="59"/>
  <c r="W31" i="59"/>
  <c r="W32" i="59"/>
  <c r="W9" i="59"/>
  <c r="V10" i="59"/>
  <c r="AW10" i="59" s="1"/>
  <c r="V11" i="59"/>
  <c r="AW11" i="59" s="1"/>
  <c r="V12" i="59"/>
  <c r="AW12" i="59" s="1"/>
  <c r="V13" i="59"/>
  <c r="AW13" i="59" s="1"/>
  <c r="V14" i="59"/>
  <c r="AW14" i="59" s="1"/>
  <c r="V15" i="59"/>
  <c r="AW15" i="59" s="1"/>
  <c r="V16" i="59"/>
  <c r="AW16" i="59" s="1"/>
  <c r="V17" i="59"/>
  <c r="AW17" i="59" s="1"/>
  <c r="V18" i="59"/>
  <c r="AW18" i="59" s="1"/>
  <c r="V19" i="59"/>
  <c r="AW19" i="59" s="1"/>
  <c r="V20" i="59"/>
  <c r="AW20" i="59" s="1"/>
  <c r="V21" i="59"/>
  <c r="AW21" i="59" s="1"/>
  <c r="V22" i="59"/>
  <c r="AW22" i="59" s="1"/>
  <c r="V23" i="59"/>
  <c r="AW23" i="59" s="1"/>
  <c r="V24" i="59"/>
  <c r="AW24" i="59" s="1"/>
  <c r="V25" i="59"/>
  <c r="AW25" i="59" s="1"/>
  <c r="V26" i="59"/>
  <c r="AW26" i="59" s="1"/>
  <c r="V27" i="59"/>
  <c r="AW27" i="59" s="1"/>
  <c r="V28" i="59"/>
  <c r="AW28" i="59" s="1"/>
  <c r="V29" i="59"/>
  <c r="AW29" i="59" s="1"/>
  <c r="V30" i="59"/>
  <c r="AW30" i="59" s="1"/>
  <c r="V31" i="59"/>
  <c r="AW31" i="59" s="1"/>
  <c r="V32" i="59"/>
  <c r="AW32" i="59" s="1"/>
  <c r="V9" i="59"/>
  <c r="AW9" i="59" s="1"/>
  <c r="J33" i="59"/>
  <c r="K33" i="59"/>
  <c r="BI9" i="58"/>
  <c r="BI10" i="58"/>
  <c r="BI13" i="58"/>
  <c r="BI22" i="58"/>
  <c r="BI25" i="58"/>
  <c r="BI26" i="58"/>
  <c r="BI30" i="58"/>
  <c r="BI33" i="58"/>
  <c r="BI37" i="58"/>
  <c r="J39" i="57"/>
  <c r="V8" i="54"/>
  <c r="V9" i="54"/>
  <c r="V10" i="54"/>
  <c r="V11" i="54"/>
  <c r="V12" i="54"/>
  <c r="V13" i="54"/>
  <c r="V14" i="54"/>
  <c r="V15" i="54"/>
  <c r="V16" i="54"/>
  <c r="V17" i="54"/>
  <c r="V18" i="54"/>
  <c r="V19" i="54"/>
  <c r="V20" i="54"/>
  <c r="V21" i="54"/>
  <c r="V22" i="54"/>
  <c r="V23" i="54"/>
  <c r="V24" i="54"/>
  <c r="V25" i="54"/>
  <c r="V26" i="54"/>
  <c r="V27" i="54"/>
  <c r="V28" i="54"/>
  <c r="V29" i="54"/>
  <c r="V30" i="54"/>
  <c r="V31" i="54"/>
  <c r="V32" i="54"/>
  <c r="V33" i="54"/>
  <c r="V7" i="54"/>
  <c r="U8" i="54"/>
  <c r="U9" i="54"/>
  <c r="U10" i="54"/>
  <c r="U11" i="54"/>
  <c r="AW11" i="54" s="1"/>
  <c r="U12" i="54"/>
  <c r="U13" i="54"/>
  <c r="U14" i="54"/>
  <c r="U15" i="54"/>
  <c r="U16" i="54"/>
  <c r="U17" i="54"/>
  <c r="U18" i="54"/>
  <c r="U19" i="54"/>
  <c r="U20" i="54"/>
  <c r="U21" i="54"/>
  <c r="U22" i="54"/>
  <c r="U23" i="54"/>
  <c r="U24" i="54"/>
  <c r="U25" i="54"/>
  <c r="U26" i="54"/>
  <c r="U27" i="54"/>
  <c r="AW27" i="54" s="1"/>
  <c r="U28" i="54"/>
  <c r="U29" i="54"/>
  <c r="U30" i="54"/>
  <c r="U31" i="54"/>
  <c r="U32" i="54"/>
  <c r="U33" i="54"/>
  <c r="U7" i="54"/>
  <c r="I34" i="54"/>
  <c r="I36" i="54" s="1"/>
  <c r="J34" i="54"/>
  <c r="J36" i="54" s="1"/>
  <c r="V8" i="52"/>
  <c r="AV8" i="52" s="1"/>
  <c r="V9" i="52"/>
  <c r="V10" i="52"/>
  <c r="V11" i="52"/>
  <c r="V12" i="52"/>
  <c r="AV12" i="52" s="1"/>
  <c r="V13" i="52"/>
  <c r="V7" i="52"/>
  <c r="U8" i="52"/>
  <c r="U9" i="52"/>
  <c r="U10" i="52"/>
  <c r="U11" i="52"/>
  <c r="U12" i="52"/>
  <c r="U13" i="52"/>
  <c r="U7" i="52"/>
  <c r="J14" i="52"/>
  <c r="I14" i="52"/>
  <c r="F82" i="52"/>
  <c r="AR8" i="52"/>
  <c r="AR9" i="52"/>
  <c r="AR10" i="52"/>
  <c r="AR11" i="52"/>
  <c r="AR12" i="52"/>
  <c r="AR13" i="52"/>
  <c r="AR7" i="52"/>
  <c r="K14" i="52"/>
  <c r="L14" i="52"/>
  <c r="M14" i="52"/>
  <c r="N14" i="52"/>
  <c r="O14" i="52"/>
  <c r="P14" i="52"/>
  <c r="Q14" i="52"/>
  <c r="R14" i="52"/>
  <c r="L83" i="52" s="1"/>
  <c r="S14" i="52"/>
  <c r="T14" i="52"/>
  <c r="X14" i="52"/>
  <c r="AA14" i="52"/>
  <c r="AB14" i="52"/>
  <c r="AC14" i="52"/>
  <c r="AF14" i="52"/>
  <c r="AH14" i="39"/>
  <c r="AI14" i="39" s="1"/>
  <c r="AW25" i="52"/>
  <c r="AW27" i="52"/>
  <c r="AW28" i="52"/>
  <c r="AW29" i="52"/>
  <c r="AX25" i="52"/>
  <c r="AX26" i="52"/>
  <c r="AX27" i="52"/>
  <c r="AX28" i="52"/>
  <c r="AX29" i="52"/>
  <c r="AX30" i="52"/>
  <c r="AX24" i="52"/>
  <c r="G31" i="52"/>
  <c r="AV25" i="52"/>
  <c r="AV26" i="52"/>
  <c r="AV27" i="52"/>
  <c r="AV28" i="52"/>
  <c r="AV29" i="52"/>
  <c r="AV30" i="52"/>
  <c r="AV24" i="52"/>
  <c r="O97" i="52"/>
  <c r="O98" i="52"/>
  <c r="O99" i="52"/>
  <c r="O100" i="52"/>
  <c r="O101" i="52"/>
  <c r="O102" i="52"/>
  <c r="O96" i="52"/>
  <c r="N97" i="52"/>
  <c r="N98" i="52"/>
  <c r="N99" i="52"/>
  <c r="N100" i="52"/>
  <c r="N101" i="52"/>
  <c r="N102" i="52"/>
  <c r="N96" i="52"/>
  <c r="L110" i="52"/>
  <c r="L103" i="52"/>
  <c r="K103" i="52"/>
  <c r="K110" i="52" s="1"/>
  <c r="H103" i="52"/>
  <c r="G103" i="52"/>
  <c r="F103" i="52"/>
  <c r="E103" i="52"/>
  <c r="K56" i="52"/>
  <c r="L47" i="52"/>
  <c r="P47" i="52" s="1"/>
  <c r="K47" i="52"/>
  <c r="L31" i="52"/>
  <c r="V31" i="52" s="1"/>
  <c r="K31" i="52"/>
  <c r="Z8" i="52"/>
  <c r="Z9" i="52"/>
  <c r="Z10" i="52"/>
  <c r="Z11" i="52"/>
  <c r="Z12" i="52"/>
  <c r="Z13" i="52"/>
  <c r="Z7" i="52"/>
  <c r="Z14" i="52" s="1"/>
  <c r="Y8" i="52"/>
  <c r="Y9" i="52"/>
  <c r="Y10" i="52"/>
  <c r="Y11" i="52"/>
  <c r="Y12" i="52"/>
  <c r="Y13" i="52"/>
  <c r="Y7" i="52"/>
  <c r="D28" i="50"/>
  <c r="F28" i="50" s="1"/>
  <c r="D29" i="50"/>
  <c r="F29" i="50" s="1"/>
  <c r="D30" i="50"/>
  <c r="D31" i="50"/>
  <c r="D27" i="50"/>
  <c r="F27" i="50" s="1"/>
  <c r="F30" i="50"/>
  <c r="F31" i="50"/>
  <c r="E32" i="50"/>
  <c r="C32" i="50"/>
  <c r="I6" i="50"/>
  <c r="I7" i="50"/>
  <c r="I8" i="50"/>
  <c r="I9" i="50"/>
  <c r="I10" i="50"/>
  <c r="I11" i="50"/>
  <c r="I12" i="50"/>
  <c r="I13" i="50"/>
  <c r="I14" i="50"/>
  <c r="I15" i="50"/>
  <c r="I16" i="50"/>
  <c r="I17" i="50"/>
  <c r="I18" i="50"/>
  <c r="I5" i="50"/>
  <c r="H18" i="50"/>
  <c r="T41" i="61"/>
  <c r="S41" i="61"/>
  <c r="K77" i="61"/>
  <c r="L77" i="61"/>
  <c r="H87" i="61"/>
  <c r="H77" i="61"/>
  <c r="H78" i="61" s="1"/>
  <c r="AK41" i="61"/>
  <c r="AC41" i="61"/>
  <c r="AA41" i="61"/>
  <c r="X41" i="61"/>
  <c r="R41" i="61"/>
  <c r="Q41" i="61"/>
  <c r="P41" i="61"/>
  <c r="O41" i="61"/>
  <c r="N41" i="61"/>
  <c r="M41" i="61"/>
  <c r="L41" i="61"/>
  <c r="K41" i="61"/>
  <c r="G41" i="61"/>
  <c r="F41" i="61"/>
  <c r="AN40" i="61"/>
  <c r="AN39" i="61"/>
  <c r="AN38" i="61"/>
  <c r="AN37" i="61"/>
  <c r="AN36" i="61"/>
  <c r="AN35" i="61"/>
  <c r="AN34" i="61"/>
  <c r="AN33" i="61"/>
  <c r="AN32" i="61"/>
  <c r="AN31" i="61"/>
  <c r="AN30" i="61"/>
  <c r="AN29" i="61"/>
  <c r="AN28" i="61"/>
  <c r="AN27" i="61"/>
  <c r="AN20" i="61"/>
  <c r="AN19" i="61"/>
  <c r="AN18" i="61"/>
  <c r="AN17" i="61"/>
  <c r="AN16" i="61"/>
  <c r="AN14" i="61"/>
  <c r="AN13" i="61"/>
  <c r="AN12" i="61"/>
  <c r="AN11" i="61"/>
  <c r="AN10" i="61"/>
  <c r="AN9" i="61"/>
  <c r="K45" i="60"/>
  <c r="L45" i="60"/>
  <c r="H45" i="60"/>
  <c r="G45" i="60"/>
  <c r="F45" i="60"/>
  <c r="E45" i="60"/>
  <c r="G23" i="60"/>
  <c r="AJ21" i="60"/>
  <c r="AI21" i="60"/>
  <c r="Z21" i="60"/>
  <c r="X21" i="60"/>
  <c r="T21" i="60"/>
  <c r="S21" i="60"/>
  <c r="R21" i="60"/>
  <c r="Q21" i="60"/>
  <c r="P21" i="60"/>
  <c r="O21" i="60"/>
  <c r="N21" i="60"/>
  <c r="M21" i="60"/>
  <c r="L21" i="60"/>
  <c r="K21" i="60"/>
  <c r="H21" i="60"/>
  <c r="G21" i="60"/>
  <c r="F21" i="60"/>
  <c r="E21" i="60"/>
  <c r="AB20" i="60"/>
  <c r="AA20" i="60"/>
  <c r="AB19" i="60"/>
  <c r="AA19" i="60"/>
  <c r="AB18" i="60"/>
  <c r="AA18" i="60"/>
  <c r="AB17" i="60"/>
  <c r="AA17" i="60"/>
  <c r="AB16" i="60"/>
  <c r="AA16" i="60"/>
  <c r="AB15" i="60"/>
  <c r="AA15" i="60"/>
  <c r="AB14" i="60"/>
  <c r="AA14" i="60"/>
  <c r="AB13" i="60"/>
  <c r="AA13" i="60"/>
  <c r="AB12" i="60"/>
  <c r="AA12" i="60"/>
  <c r="AB11" i="60"/>
  <c r="AA11" i="60"/>
  <c r="AB10" i="60"/>
  <c r="AA10" i="60"/>
  <c r="AB9" i="60"/>
  <c r="AA9" i="60"/>
  <c r="AB8" i="60"/>
  <c r="AA8" i="60"/>
  <c r="AB7" i="60"/>
  <c r="AA7" i="60"/>
  <c r="L67" i="59"/>
  <c r="M67" i="59"/>
  <c r="I67" i="59"/>
  <c r="H67" i="59"/>
  <c r="G67" i="59"/>
  <c r="F67" i="59"/>
  <c r="E36" i="59"/>
  <c r="E35" i="59"/>
  <c r="BA33" i="59"/>
  <c r="AP33" i="59"/>
  <c r="Y33" i="59"/>
  <c r="U33" i="59"/>
  <c r="T33" i="59"/>
  <c r="S33" i="59"/>
  <c r="R33" i="59"/>
  <c r="Q33" i="59"/>
  <c r="P33" i="59"/>
  <c r="O33" i="59"/>
  <c r="N33" i="59"/>
  <c r="M33" i="59"/>
  <c r="L33" i="59"/>
  <c r="I33" i="59"/>
  <c r="H33" i="59"/>
  <c r="E34" i="59" s="1"/>
  <c r="G33" i="59"/>
  <c r="F33" i="59"/>
  <c r="AD32" i="59"/>
  <c r="AC32" i="59"/>
  <c r="AS31" i="59"/>
  <c r="AD31" i="59"/>
  <c r="AC31" i="59"/>
  <c r="AD30" i="59"/>
  <c r="AC30" i="59"/>
  <c r="AS29" i="59"/>
  <c r="AD29" i="59"/>
  <c r="AC29" i="59"/>
  <c r="AD28" i="59"/>
  <c r="AC28" i="59"/>
  <c r="AS27" i="59"/>
  <c r="AD27" i="59"/>
  <c r="AC27" i="59"/>
  <c r="AS26" i="59"/>
  <c r="AD26" i="59"/>
  <c r="AC26" i="59"/>
  <c r="AS25" i="59"/>
  <c r="AD25" i="59"/>
  <c r="AC25" i="59"/>
  <c r="AD24" i="59"/>
  <c r="AC24" i="59"/>
  <c r="AD23" i="59"/>
  <c r="AC23" i="59"/>
  <c r="AD22" i="59"/>
  <c r="AC22" i="59"/>
  <c r="AD21" i="59"/>
  <c r="AC21" i="59"/>
  <c r="AD20" i="59"/>
  <c r="AC20" i="59"/>
  <c r="AD19" i="59"/>
  <c r="AC19" i="59"/>
  <c r="AD18" i="59"/>
  <c r="AC18" i="59"/>
  <c r="AD17" i="59"/>
  <c r="AC17" i="59"/>
  <c r="AD16" i="59"/>
  <c r="AC16" i="59"/>
  <c r="AD15" i="59"/>
  <c r="AC15" i="59"/>
  <c r="AD14" i="59"/>
  <c r="AC14" i="59"/>
  <c r="AD13" i="59"/>
  <c r="AC13" i="59"/>
  <c r="AD12" i="59"/>
  <c r="AC12" i="59"/>
  <c r="AD11" i="59"/>
  <c r="AC11" i="59"/>
  <c r="AD10" i="59"/>
  <c r="AC10" i="59"/>
  <c r="AD9" i="59"/>
  <c r="AC9" i="59"/>
  <c r="G89" i="58"/>
  <c r="F89" i="58"/>
  <c r="E89" i="58"/>
  <c r="G66" i="58"/>
  <c r="F66" i="58"/>
  <c r="E66" i="58"/>
  <c r="AZ40" i="58"/>
  <c r="AK40" i="58"/>
  <c r="AG40" i="58"/>
  <c r="AF40" i="58"/>
  <c r="AA40" i="58"/>
  <c r="U40" i="58"/>
  <c r="O40" i="58"/>
  <c r="G43" i="58"/>
  <c r="F40" i="58"/>
  <c r="E40" i="58"/>
  <c r="AB39" i="57"/>
  <c r="O88" i="57"/>
  <c r="P88" i="57"/>
  <c r="P63" i="57"/>
  <c r="H88" i="57"/>
  <c r="G88" i="57"/>
  <c r="F88" i="57"/>
  <c r="E88" i="57"/>
  <c r="H63" i="57"/>
  <c r="G63" i="57"/>
  <c r="F63" i="57"/>
  <c r="BE39" i="57"/>
  <c r="BA39" i="57"/>
  <c r="AV39" i="57"/>
  <c r="AP39" i="57"/>
  <c r="AO39" i="57"/>
  <c r="AL39" i="57"/>
  <c r="AH39" i="57"/>
  <c r="AG39" i="57"/>
  <c r="V39" i="57"/>
  <c r="H39" i="57"/>
  <c r="H41" i="57" s="1"/>
  <c r="G39" i="57"/>
  <c r="F39" i="57"/>
  <c r="E39" i="57"/>
  <c r="BD38" i="57"/>
  <c r="AR38" i="57"/>
  <c r="BD37" i="57"/>
  <c r="AR37" i="57"/>
  <c r="BD36" i="57"/>
  <c r="AR36" i="57"/>
  <c r="BD35" i="57"/>
  <c r="AR35" i="57"/>
  <c r="BD34" i="57"/>
  <c r="AR34" i="57"/>
  <c r="BD33" i="57"/>
  <c r="AR33" i="57"/>
  <c r="BD32" i="57"/>
  <c r="AR32" i="57"/>
  <c r="BD31" i="57"/>
  <c r="AR31" i="57"/>
  <c r="BD30" i="57"/>
  <c r="AR30" i="57"/>
  <c r="BD29" i="57"/>
  <c r="AR29" i="57"/>
  <c r="BD28" i="57"/>
  <c r="AR28" i="57"/>
  <c r="BD27" i="57"/>
  <c r="AR27" i="57"/>
  <c r="BD26" i="57"/>
  <c r="AR26" i="57"/>
  <c r="BD25" i="57"/>
  <c r="AR25" i="57"/>
  <c r="AR24" i="57"/>
  <c r="AR23" i="57"/>
  <c r="AR22" i="57"/>
  <c r="BD21" i="57"/>
  <c r="AR21" i="57"/>
  <c r="BD20" i="57"/>
  <c r="AR20" i="57"/>
  <c r="BD19" i="57"/>
  <c r="AR19" i="57"/>
  <c r="BD18" i="57"/>
  <c r="AR18" i="57"/>
  <c r="A18" i="57"/>
  <c r="A19" i="57" s="1"/>
  <c r="A20" i="57" s="1"/>
  <c r="A21" i="57" s="1"/>
  <c r="A22" i="57" s="1"/>
  <c r="A23" i="57" s="1"/>
  <c r="A24" i="57" s="1"/>
  <c r="A25" i="57" s="1"/>
  <c r="A26" i="57" s="1"/>
  <c r="A27" i="57" s="1"/>
  <c r="A28" i="57" s="1"/>
  <c r="AR17" i="57"/>
  <c r="AR16" i="57"/>
  <c r="AR15" i="57"/>
  <c r="AR14" i="57"/>
  <c r="AR13" i="57"/>
  <c r="AR12" i="57"/>
  <c r="AR11" i="57"/>
  <c r="AR10" i="57"/>
  <c r="AR9" i="57"/>
  <c r="AR8" i="57"/>
  <c r="L30" i="56"/>
  <c r="M30" i="56"/>
  <c r="I30" i="56"/>
  <c r="H30" i="56"/>
  <c r="G30" i="56"/>
  <c r="F30" i="56"/>
  <c r="H18" i="56"/>
  <c r="AT17" i="56"/>
  <c r="AM17" i="56"/>
  <c r="AI17" i="56"/>
  <c r="AH17" i="56"/>
  <c r="Y17" i="56"/>
  <c r="X17" i="56"/>
  <c r="W17" i="56"/>
  <c r="S17" i="56"/>
  <c r="R17" i="56"/>
  <c r="Q17" i="56"/>
  <c r="P17" i="56"/>
  <c r="O17" i="56"/>
  <c r="N17" i="56"/>
  <c r="M17" i="56"/>
  <c r="L17" i="56"/>
  <c r="I17" i="56"/>
  <c r="H17" i="56"/>
  <c r="G17" i="56"/>
  <c r="F17" i="56"/>
  <c r="AL16" i="56"/>
  <c r="AA16" i="56"/>
  <c r="AG16" i="56" s="1"/>
  <c r="Z16" i="56"/>
  <c r="AA15" i="56"/>
  <c r="Z15" i="56"/>
  <c r="AA14" i="56"/>
  <c r="Z14" i="56"/>
  <c r="AL13" i="56"/>
  <c r="AA13" i="56"/>
  <c r="Z13" i="56"/>
  <c r="AA12" i="56"/>
  <c r="Z12" i="56"/>
  <c r="AG12" i="56" s="1"/>
  <c r="V12" i="56" s="1"/>
  <c r="AR12" i="56" s="1"/>
  <c r="AL11" i="56"/>
  <c r="AA11" i="56"/>
  <c r="Z11" i="56"/>
  <c r="AA10" i="56"/>
  <c r="Z10" i="56"/>
  <c r="AA9" i="56"/>
  <c r="Z9" i="56"/>
  <c r="I48" i="55"/>
  <c r="Q48" i="55" s="1"/>
  <c r="J48" i="55"/>
  <c r="H48" i="55"/>
  <c r="H64" i="55"/>
  <c r="G64" i="55"/>
  <c r="F64" i="55"/>
  <c r="H29" i="55"/>
  <c r="AF27" i="55"/>
  <c r="W27" i="55"/>
  <c r="V27" i="55"/>
  <c r="T27" i="55"/>
  <c r="P27" i="55"/>
  <c r="O27" i="55"/>
  <c r="N27" i="55"/>
  <c r="M27" i="55"/>
  <c r="L27" i="55"/>
  <c r="K27" i="55"/>
  <c r="J27" i="55"/>
  <c r="I27" i="55"/>
  <c r="H27" i="55"/>
  <c r="G27" i="55"/>
  <c r="F27" i="55"/>
  <c r="AB26" i="55"/>
  <c r="X26" i="55"/>
  <c r="AB25" i="55"/>
  <c r="X25" i="55"/>
  <c r="AB24" i="55"/>
  <c r="X24" i="55"/>
  <c r="AB23" i="55"/>
  <c r="X23" i="55"/>
  <c r="AB22" i="55"/>
  <c r="X22" i="55"/>
  <c r="AB21" i="55"/>
  <c r="X21" i="55"/>
  <c r="AB20" i="55"/>
  <c r="X20" i="55"/>
  <c r="AB19" i="55"/>
  <c r="X19" i="55"/>
  <c r="AB18" i="55"/>
  <c r="X18" i="55"/>
  <c r="AB17" i="55"/>
  <c r="X17" i="55"/>
  <c r="AB16" i="55"/>
  <c r="X16" i="55"/>
  <c r="AB15" i="55"/>
  <c r="X15" i="55"/>
  <c r="AB14" i="55"/>
  <c r="X14" i="55"/>
  <c r="AB13" i="55"/>
  <c r="X13" i="55"/>
  <c r="AB12" i="55"/>
  <c r="X12" i="55"/>
  <c r="AB11" i="55"/>
  <c r="X11" i="55"/>
  <c r="AB10" i="55"/>
  <c r="X10" i="55"/>
  <c r="AB9" i="55"/>
  <c r="X9" i="55"/>
  <c r="AB8" i="55"/>
  <c r="X8" i="55"/>
  <c r="V35" i="54"/>
  <c r="U35" i="54"/>
  <c r="S35" i="31"/>
  <c r="V35" i="31" s="1"/>
  <c r="R35" i="31"/>
  <c r="U35" i="31" s="1"/>
  <c r="AE23" i="31"/>
  <c r="AF21" i="31"/>
  <c r="W21" i="31" s="1"/>
  <c r="AI21" i="31" s="1"/>
  <c r="S21" i="31"/>
  <c r="V21" i="31" s="1"/>
  <c r="R21" i="31"/>
  <c r="U21" i="31" s="1"/>
  <c r="K34" i="54"/>
  <c r="K36" i="54" s="1"/>
  <c r="L34" i="54"/>
  <c r="L36" i="54" s="1"/>
  <c r="M34" i="54"/>
  <c r="M36" i="54" s="1"/>
  <c r="N34" i="54"/>
  <c r="N36" i="54" s="1"/>
  <c r="O34" i="54"/>
  <c r="O36" i="54" s="1"/>
  <c r="P34" i="54"/>
  <c r="P36" i="54" s="1"/>
  <c r="Q34" i="54"/>
  <c r="Q36" i="54" s="1"/>
  <c r="R34" i="54"/>
  <c r="R36" i="54" s="1"/>
  <c r="S34" i="54"/>
  <c r="S36" i="54" s="1"/>
  <c r="T34" i="54"/>
  <c r="T36" i="54" s="1"/>
  <c r="AA67" i="54"/>
  <c r="Z67" i="54"/>
  <c r="Y67" i="54"/>
  <c r="X67" i="54"/>
  <c r="T67" i="54"/>
  <c r="S67" i="54"/>
  <c r="H67" i="54"/>
  <c r="G67" i="54"/>
  <c r="F67" i="54"/>
  <c r="H34" i="54"/>
  <c r="H38" i="54" s="1"/>
  <c r="G34" i="54"/>
  <c r="F34" i="54"/>
  <c r="H47" i="52"/>
  <c r="G47" i="52"/>
  <c r="F47" i="52"/>
  <c r="E47" i="52"/>
  <c r="H14" i="52"/>
  <c r="G14" i="52"/>
  <c r="G16" i="52" s="1"/>
  <c r="F14" i="52"/>
  <c r="E14" i="52"/>
  <c r="AE13" i="52"/>
  <c r="AD13" i="52"/>
  <c r="AE12" i="52"/>
  <c r="AD12" i="52"/>
  <c r="AE11" i="52"/>
  <c r="AD11" i="52"/>
  <c r="AE10" i="52"/>
  <c r="AD10" i="52"/>
  <c r="AE9" i="52"/>
  <c r="AD9" i="52"/>
  <c r="AE8" i="52"/>
  <c r="AD8" i="52"/>
  <c r="AD14" i="52" s="1"/>
  <c r="AE7" i="52"/>
  <c r="AD7" i="52"/>
  <c r="BB40" i="49"/>
  <c r="BB39" i="49"/>
  <c r="BB41" i="49" s="1"/>
  <c r="BB38" i="49"/>
  <c r="BB42" i="49" s="1"/>
  <c r="BB37" i="49"/>
  <c r="BB36" i="49"/>
  <c r="AF37" i="49"/>
  <c r="AF36" i="49"/>
  <c r="BF42" i="49"/>
  <c r="BE42" i="49"/>
  <c r="AE42" i="49"/>
  <c r="BD41" i="49"/>
  <c r="AT41" i="49"/>
  <c r="AR41" i="49"/>
  <c r="AQ41" i="49"/>
  <c r="AP41" i="49"/>
  <c r="AO41" i="49"/>
  <c r="AM41" i="49"/>
  <c r="AL41" i="49"/>
  <c r="AK41" i="49"/>
  <c r="AJ41" i="49"/>
  <c r="AI41" i="49"/>
  <c r="AH41" i="49"/>
  <c r="AF41" i="49"/>
  <c r="AE41" i="49"/>
  <c r="AD41" i="49"/>
  <c r="AD42" i="49" s="1"/>
  <c r="AC41" i="49"/>
  <c r="AA41" i="49"/>
  <c r="Y41" i="49"/>
  <c r="X41" i="49"/>
  <c r="W41" i="49"/>
  <c r="S41" i="49"/>
  <c r="R41" i="49"/>
  <c r="Q41" i="49"/>
  <c r="P41" i="49"/>
  <c r="O41" i="49"/>
  <c r="N41" i="49"/>
  <c r="M41" i="49"/>
  <c r="L41" i="49"/>
  <c r="K41" i="49"/>
  <c r="J41" i="49"/>
  <c r="I41" i="49"/>
  <c r="H41" i="49"/>
  <c r="G41" i="49"/>
  <c r="F41" i="49"/>
  <c r="E41" i="49"/>
  <c r="AV40" i="49"/>
  <c r="AU40" i="49"/>
  <c r="AU41" i="49" s="1"/>
  <c r="AS40" i="49"/>
  <c r="AS41" i="49" s="1"/>
  <c r="AN40" i="49"/>
  <c r="AX40" i="49" s="1"/>
  <c r="AC40" i="49"/>
  <c r="AB40" i="49"/>
  <c r="Z40" i="49"/>
  <c r="U40" i="49"/>
  <c r="T40" i="49"/>
  <c r="AV39" i="49"/>
  <c r="AV41" i="49" s="1"/>
  <c r="AU39" i="49"/>
  <c r="AS39" i="49"/>
  <c r="AN39" i="49"/>
  <c r="AN41" i="49" s="1"/>
  <c r="AC39" i="49"/>
  <c r="AB39" i="49"/>
  <c r="Z39" i="49"/>
  <c r="U39" i="49"/>
  <c r="U41" i="49" s="1"/>
  <c r="T39" i="49"/>
  <c r="AT38" i="49"/>
  <c r="AR38" i="49"/>
  <c r="AR42" i="49" s="1"/>
  <c r="AQ38" i="49"/>
  <c r="AP38" i="49"/>
  <c r="AO38" i="49"/>
  <c r="AO42" i="49" s="1"/>
  <c r="AM38" i="49"/>
  <c r="AM42" i="49" s="1"/>
  <c r="AL38" i="49"/>
  <c r="AK38" i="49"/>
  <c r="AK42" i="49" s="1"/>
  <c r="AJ38" i="49"/>
  <c r="AJ42" i="49" s="1"/>
  <c r="AI38" i="49"/>
  <c r="AI42" i="49" s="1"/>
  <c r="AH38" i="49"/>
  <c r="AA38" i="49"/>
  <c r="AA42" i="49" s="1"/>
  <c r="Y38" i="49"/>
  <c r="Y42" i="49" s="1"/>
  <c r="X38" i="49"/>
  <c r="X42" i="49" s="1"/>
  <c r="W38" i="49"/>
  <c r="S38" i="49"/>
  <c r="R38" i="49"/>
  <c r="Q38" i="49"/>
  <c r="P38" i="49"/>
  <c r="P42" i="49" s="1"/>
  <c r="O38" i="49"/>
  <c r="O42" i="49" s="1"/>
  <c r="N38" i="49"/>
  <c r="N42" i="49" s="1"/>
  <c r="M38" i="49"/>
  <c r="L38" i="49"/>
  <c r="L42" i="49" s="1"/>
  <c r="K38" i="49"/>
  <c r="K42" i="49" s="1"/>
  <c r="J38" i="49"/>
  <c r="J42" i="49" s="1"/>
  <c r="I38" i="49"/>
  <c r="H38" i="49"/>
  <c r="H42" i="49" s="1"/>
  <c r="G38" i="49"/>
  <c r="G42" i="49" s="1"/>
  <c r="F38" i="49"/>
  <c r="F42" i="49" s="1"/>
  <c r="E38" i="49"/>
  <c r="BD37" i="49"/>
  <c r="AV37" i="49"/>
  <c r="AU37" i="49"/>
  <c r="AS37" i="49"/>
  <c r="AN37" i="49"/>
  <c r="AX37" i="49" s="1"/>
  <c r="AC37" i="49"/>
  <c r="AB37" i="49"/>
  <c r="Z37" i="49"/>
  <c r="U37" i="49"/>
  <c r="T37" i="49"/>
  <c r="BD36" i="49"/>
  <c r="BD38" i="49" s="1"/>
  <c r="BD42" i="49" s="1"/>
  <c r="AV36" i="49"/>
  <c r="AU36" i="49"/>
  <c r="AS36" i="49"/>
  <c r="AS38" i="49" s="1"/>
  <c r="AS42" i="49" s="1"/>
  <c r="AN36" i="49"/>
  <c r="AC36" i="49"/>
  <c r="AB36" i="49"/>
  <c r="Z36" i="49"/>
  <c r="Z38" i="49" s="1"/>
  <c r="U36" i="49"/>
  <c r="U38" i="49" s="1"/>
  <c r="T36" i="49"/>
  <c r="AV14" i="49"/>
  <c r="AV13" i="49"/>
  <c r="AO16" i="49"/>
  <c r="AP16" i="49"/>
  <c r="AT16" i="49"/>
  <c r="BE16" i="49"/>
  <c r="BF16" i="49"/>
  <c r="AU14" i="49"/>
  <c r="AU13" i="49"/>
  <c r="AU11" i="49"/>
  <c r="AU10" i="49"/>
  <c r="AS14" i="49"/>
  <c r="AS13" i="49"/>
  <c r="AS11" i="49"/>
  <c r="AS10" i="49"/>
  <c r="AN14" i="49"/>
  <c r="AN13" i="49"/>
  <c r="AB14" i="49"/>
  <c r="AB13" i="49"/>
  <c r="AC14" i="49"/>
  <c r="AG14" i="49" s="1"/>
  <c r="V14" i="49" s="1"/>
  <c r="AC13" i="49"/>
  <c r="AG13" i="49" s="1"/>
  <c r="V13" i="49" s="1"/>
  <c r="AZ13" i="49" s="1"/>
  <c r="W15" i="49"/>
  <c r="X15" i="49"/>
  <c r="Y15" i="49"/>
  <c r="AA15" i="49"/>
  <c r="AD15" i="49"/>
  <c r="AE15" i="49"/>
  <c r="AF15" i="49"/>
  <c r="AH15" i="49"/>
  <c r="AI15" i="49"/>
  <c r="AJ15" i="49"/>
  <c r="AK15" i="49"/>
  <c r="AL15" i="49"/>
  <c r="AM15" i="49"/>
  <c r="AO15" i="49"/>
  <c r="AP15" i="49"/>
  <c r="AQ15" i="49"/>
  <c r="AR15" i="49"/>
  <c r="AT15" i="49"/>
  <c r="BD15" i="49"/>
  <c r="Z14" i="49"/>
  <c r="Z13" i="49"/>
  <c r="Z15" i="49" s="1"/>
  <c r="BD11" i="49"/>
  <c r="BD10" i="49"/>
  <c r="BA10" i="49"/>
  <c r="AV11" i="49"/>
  <c r="AV10" i="49"/>
  <c r="AN11" i="49"/>
  <c r="AN10" i="49"/>
  <c r="AB11" i="49"/>
  <c r="AB10" i="49"/>
  <c r="AC11" i="49"/>
  <c r="AC10" i="49"/>
  <c r="Z11" i="49"/>
  <c r="Z10" i="49"/>
  <c r="W12" i="49"/>
  <c r="X12" i="49"/>
  <c r="Y12" i="49"/>
  <c r="AA12" i="49"/>
  <c r="AD12" i="49"/>
  <c r="AD16" i="49" s="1"/>
  <c r="AE12" i="49"/>
  <c r="AF12" i="49"/>
  <c r="AH12" i="49"/>
  <c r="AI12" i="49"/>
  <c r="AJ12" i="49"/>
  <c r="AK12" i="49"/>
  <c r="AL12" i="49"/>
  <c r="AM12" i="49"/>
  <c r="AO12" i="49"/>
  <c r="AP12" i="49"/>
  <c r="AQ12" i="49"/>
  <c r="AQ16" i="49" s="1"/>
  <c r="AR12" i="49"/>
  <c r="AR16" i="49" s="1"/>
  <c r="AT12" i="49"/>
  <c r="U14" i="49"/>
  <c r="U13" i="49"/>
  <c r="AY13" i="49" s="1"/>
  <c r="T13" i="49"/>
  <c r="BA13" i="49" s="1"/>
  <c r="U11" i="49"/>
  <c r="U10" i="49"/>
  <c r="T11" i="49"/>
  <c r="BA11" i="49" s="1"/>
  <c r="T10" i="49"/>
  <c r="R15" i="49"/>
  <c r="S15" i="49"/>
  <c r="R12" i="49"/>
  <c r="S12" i="49"/>
  <c r="AV9" i="42"/>
  <c r="AV10" i="42"/>
  <c r="AV11" i="42"/>
  <c r="AV12" i="42"/>
  <c r="AV13" i="42"/>
  <c r="AV14" i="42"/>
  <c r="AV15" i="42"/>
  <c r="AV16" i="42"/>
  <c r="AV17" i="42"/>
  <c r="AV18" i="42"/>
  <c r="AV19" i="42"/>
  <c r="AV20" i="42"/>
  <c r="AV21" i="42"/>
  <c r="AV22" i="42"/>
  <c r="AV23" i="42"/>
  <c r="AV24" i="42"/>
  <c r="AV25" i="42"/>
  <c r="AV26" i="42"/>
  <c r="AV8" i="42"/>
  <c r="AV27" i="42" s="1"/>
  <c r="AU19" i="42"/>
  <c r="AU20" i="42"/>
  <c r="AU24" i="42"/>
  <c r="AQ9" i="42"/>
  <c r="AQ10" i="42"/>
  <c r="AQ11" i="42"/>
  <c r="AQ12" i="42"/>
  <c r="AQ13" i="42"/>
  <c r="AQ14" i="42"/>
  <c r="AQ15" i="42"/>
  <c r="AQ16" i="42"/>
  <c r="AQ17" i="42"/>
  <c r="AQ18" i="42"/>
  <c r="AQ19" i="42"/>
  <c r="AQ20" i="42"/>
  <c r="AQ21" i="42"/>
  <c r="AQ22" i="42"/>
  <c r="AQ23" i="42"/>
  <c r="AQ24" i="42"/>
  <c r="AQ25" i="42"/>
  <c r="AQ26" i="42"/>
  <c r="AQ8" i="42"/>
  <c r="AP9" i="42"/>
  <c r="AP10" i="42"/>
  <c r="AP11" i="42"/>
  <c r="AP12" i="42"/>
  <c r="AP13" i="42"/>
  <c r="AP14" i="42"/>
  <c r="AP15" i="42"/>
  <c r="AP16" i="42"/>
  <c r="AP17" i="42"/>
  <c r="AP18" i="42"/>
  <c r="AP19" i="42"/>
  <c r="AP20" i="42"/>
  <c r="AP21" i="42"/>
  <c r="AP22" i="42"/>
  <c r="AP23" i="42"/>
  <c r="AP24" i="42"/>
  <c r="AP25" i="42"/>
  <c r="AP26" i="42"/>
  <c r="AP8" i="42"/>
  <c r="AN9" i="42"/>
  <c r="AN10" i="42"/>
  <c r="AN11" i="42"/>
  <c r="AN12" i="42"/>
  <c r="AN13" i="42"/>
  <c r="AN14" i="42"/>
  <c r="AN15" i="42"/>
  <c r="AN16" i="42"/>
  <c r="AN17" i="42"/>
  <c r="AN18" i="42"/>
  <c r="AN19" i="42"/>
  <c r="AN20" i="42"/>
  <c r="AN21" i="42"/>
  <c r="AN22" i="42"/>
  <c r="AN23" i="42"/>
  <c r="AN24" i="42"/>
  <c r="AN25" i="42"/>
  <c r="AN26" i="42"/>
  <c r="AN8" i="42"/>
  <c r="AC9" i="42"/>
  <c r="AC10" i="42"/>
  <c r="AC11" i="42"/>
  <c r="AC12" i="42"/>
  <c r="AC13" i="42"/>
  <c r="AC14" i="42"/>
  <c r="AC15" i="42"/>
  <c r="AC16" i="42"/>
  <c r="AC17" i="42"/>
  <c r="AC18" i="42"/>
  <c r="AC19" i="42"/>
  <c r="AC20" i="42"/>
  <c r="AC21" i="42"/>
  <c r="AC22" i="42"/>
  <c r="AC23" i="42"/>
  <c r="AC24" i="42"/>
  <c r="AC25" i="42"/>
  <c r="AC26" i="42"/>
  <c r="AC8" i="42"/>
  <c r="AE9" i="42"/>
  <c r="AF9" i="42" s="1"/>
  <c r="AE10" i="42"/>
  <c r="AF10" i="42" s="1"/>
  <c r="AE11" i="42"/>
  <c r="AF11" i="42" s="1"/>
  <c r="AE12" i="42"/>
  <c r="AF12" i="42" s="1"/>
  <c r="AE13" i="42"/>
  <c r="AF13" i="42" s="1"/>
  <c r="AE14" i="42"/>
  <c r="AF14" i="42" s="1"/>
  <c r="AE15" i="42"/>
  <c r="AF15" i="42" s="1"/>
  <c r="AE8" i="42"/>
  <c r="AF8" i="42" s="1"/>
  <c r="H29" i="42"/>
  <c r="AA9" i="42"/>
  <c r="AA10" i="42"/>
  <c r="AA11" i="42"/>
  <c r="AA12" i="42"/>
  <c r="AA13" i="42"/>
  <c r="AA14" i="42"/>
  <c r="AA15" i="42"/>
  <c r="AA16" i="42"/>
  <c r="AA17" i="42"/>
  <c r="AA18" i="42"/>
  <c r="AA19" i="42"/>
  <c r="AA20" i="42"/>
  <c r="AA21" i="42"/>
  <c r="AA22" i="42"/>
  <c r="AA23" i="42"/>
  <c r="AA24" i="42"/>
  <c r="AA25" i="42"/>
  <c r="AA26" i="42"/>
  <c r="AA8" i="42"/>
  <c r="AD9" i="42"/>
  <c r="AD10" i="42"/>
  <c r="AD11" i="42"/>
  <c r="AD12" i="42"/>
  <c r="AD13" i="42"/>
  <c r="AD14" i="42"/>
  <c r="AD15" i="42"/>
  <c r="AD16" i="42"/>
  <c r="AD17" i="42"/>
  <c r="AD18" i="42"/>
  <c r="AD19" i="42"/>
  <c r="AD20" i="42"/>
  <c r="AD21" i="42"/>
  <c r="AD22" i="42"/>
  <c r="AD23" i="42"/>
  <c r="AD24" i="42"/>
  <c r="AD25" i="42"/>
  <c r="AD26" i="42"/>
  <c r="AD8" i="42"/>
  <c r="Z9" i="42"/>
  <c r="Z10" i="42"/>
  <c r="Z11" i="42"/>
  <c r="Z12" i="42"/>
  <c r="Z13" i="42"/>
  <c r="Z14" i="42"/>
  <c r="Z15" i="42"/>
  <c r="Z16" i="42"/>
  <c r="Z17" i="42"/>
  <c r="Z18" i="42"/>
  <c r="Z19" i="42"/>
  <c r="Z20" i="42"/>
  <c r="Z21" i="42"/>
  <c r="Z22" i="42"/>
  <c r="Z23" i="42"/>
  <c r="Z24" i="42"/>
  <c r="Z25" i="42"/>
  <c r="Z26" i="42"/>
  <c r="Z8" i="42"/>
  <c r="AB9" i="42"/>
  <c r="AB27" i="42" s="1"/>
  <c r="AB10" i="42"/>
  <c r="AB11" i="42"/>
  <c r="AB12" i="42"/>
  <c r="AB13" i="42"/>
  <c r="AB14" i="42"/>
  <c r="AB15" i="42"/>
  <c r="AB16" i="42"/>
  <c r="AB17" i="42"/>
  <c r="AB18" i="42"/>
  <c r="AB19" i="42"/>
  <c r="AB20" i="42"/>
  <c r="AB21" i="42"/>
  <c r="AB22" i="42"/>
  <c r="AB23" i="42"/>
  <c r="AB24" i="42"/>
  <c r="AB25" i="42"/>
  <c r="AB26" i="42"/>
  <c r="AB8" i="42"/>
  <c r="V27" i="42"/>
  <c r="W27" i="42"/>
  <c r="X27" i="42"/>
  <c r="Y27" i="42"/>
  <c r="AH27" i="42"/>
  <c r="AI27" i="42"/>
  <c r="AJ27" i="42"/>
  <c r="AK27" i="42"/>
  <c r="AL27" i="42"/>
  <c r="AM27" i="42"/>
  <c r="AO27" i="42"/>
  <c r="T9" i="42"/>
  <c r="AU9" i="42" s="1"/>
  <c r="T10" i="42"/>
  <c r="T11" i="42"/>
  <c r="T12" i="42"/>
  <c r="AS12" i="42" s="1"/>
  <c r="T13" i="42"/>
  <c r="AU13" i="42" s="1"/>
  <c r="T14" i="42"/>
  <c r="T15" i="42"/>
  <c r="T16" i="42"/>
  <c r="AS16" i="42" s="1"/>
  <c r="T17" i="42"/>
  <c r="T18" i="42"/>
  <c r="T19" i="42"/>
  <c r="T20" i="42"/>
  <c r="AS20" i="42" s="1"/>
  <c r="T21" i="42"/>
  <c r="T22" i="42"/>
  <c r="T23" i="42"/>
  <c r="T24" i="42"/>
  <c r="AS24" i="42" s="1"/>
  <c r="T25" i="42"/>
  <c r="AU25" i="42" s="1"/>
  <c r="T26" i="42"/>
  <c r="T8" i="42"/>
  <c r="S9" i="42"/>
  <c r="S10" i="42"/>
  <c r="AU10" i="42" s="1"/>
  <c r="S11" i="42"/>
  <c r="AS11" i="42" s="1"/>
  <c r="S12" i="42"/>
  <c r="AU12" i="42" s="1"/>
  <c r="S13" i="42"/>
  <c r="S14" i="42"/>
  <c r="AU14" i="42" s="1"/>
  <c r="S15" i="42"/>
  <c r="AS15" i="42" s="1"/>
  <c r="S16" i="42"/>
  <c r="S17" i="42"/>
  <c r="S18" i="42"/>
  <c r="AU18" i="42" s="1"/>
  <c r="S19" i="42"/>
  <c r="AS19" i="42" s="1"/>
  <c r="S20" i="42"/>
  <c r="S21" i="42"/>
  <c r="S22" i="42"/>
  <c r="AU22" i="42" s="1"/>
  <c r="S23" i="42"/>
  <c r="AS23" i="42" s="1"/>
  <c r="S24" i="42"/>
  <c r="S25" i="42"/>
  <c r="S26" i="42"/>
  <c r="AU26" i="42" s="1"/>
  <c r="S8" i="42"/>
  <c r="AU8" i="42" s="1"/>
  <c r="Q27" i="42"/>
  <c r="R27" i="42"/>
  <c r="E92" i="43"/>
  <c r="F92" i="43"/>
  <c r="G92" i="43"/>
  <c r="H92" i="43"/>
  <c r="F44" i="42"/>
  <c r="G44" i="42"/>
  <c r="H44" i="42"/>
  <c r="BA10" i="48"/>
  <c r="BA11" i="48"/>
  <c r="BA12" i="48"/>
  <c r="BA13" i="48"/>
  <c r="BA14" i="48"/>
  <c r="BA15" i="48"/>
  <c r="BA16" i="48"/>
  <c r="BA9" i="48"/>
  <c r="AU10" i="48"/>
  <c r="AU11" i="48"/>
  <c r="AU12" i="48"/>
  <c r="AU13" i="48"/>
  <c r="AU14" i="48"/>
  <c r="AU15" i="48"/>
  <c r="AU16" i="48"/>
  <c r="AU9" i="48"/>
  <c r="AV10" i="48"/>
  <c r="AV11" i="48"/>
  <c r="AV12" i="48"/>
  <c r="AV13" i="48"/>
  <c r="AV14" i="48"/>
  <c r="AV15" i="48"/>
  <c r="AV16" i="48"/>
  <c r="AV9" i="48"/>
  <c r="AR12" i="48"/>
  <c r="AR10" i="48"/>
  <c r="AQ15" i="48"/>
  <c r="AR15" i="48" s="1"/>
  <c r="AQ14" i="48"/>
  <c r="AR14" i="48" s="1"/>
  <c r="AQ12" i="48"/>
  <c r="AQ10" i="48"/>
  <c r="AQ9" i="48"/>
  <c r="AR9" i="48" s="1"/>
  <c r="H18" i="48"/>
  <c r="AS11" i="48"/>
  <c r="AS13" i="48"/>
  <c r="AS16" i="48"/>
  <c r="AN10" i="48"/>
  <c r="AN11" i="48"/>
  <c r="AN12" i="48"/>
  <c r="AN13" i="48"/>
  <c r="AN14" i="48"/>
  <c r="AN15" i="48"/>
  <c r="AN16" i="48"/>
  <c r="AN9" i="48"/>
  <c r="AD10" i="48"/>
  <c r="AD11" i="48"/>
  <c r="AD12" i="48"/>
  <c r="AD13" i="48"/>
  <c r="AD14" i="48"/>
  <c r="AD15" i="48"/>
  <c r="AD16" i="48"/>
  <c r="AD9" i="48"/>
  <c r="AE10" i="48"/>
  <c r="AE11" i="48"/>
  <c r="AE12" i="48"/>
  <c r="AE13" i="48"/>
  <c r="AE14" i="48"/>
  <c r="AE15" i="48"/>
  <c r="AF15" i="48" s="1"/>
  <c r="AE16" i="48"/>
  <c r="AF16" i="48" s="1"/>
  <c r="AE9" i="48"/>
  <c r="AF9" i="48" s="1"/>
  <c r="AF10" i="48"/>
  <c r="AF11" i="48"/>
  <c r="AF12" i="48"/>
  <c r="AF13" i="48"/>
  <c r="AF14" i="48"/>
  <c r="AA10" i="48"/>
  <c r="AA11" i="48"/>
  <c r="AA12" i="48"/>
  <c r="AA13" i="48"/>
  <c r="AA14" i="48"/>
  <c r="AA15" i="48"/>
  <c r="AA16" i="48"/>
  <c r="AA9" i="48"/>
  <c r="AC10" i="48"/>
  <c r="AC11" i="48"/>
  <c r="AC12" i="48"/>
  <c r="AC13" i="48"/>
  <c r="AC14" i="48"/>
  <c r="AC15" i="48"/>
  <c r="AC16" i="48"/>
  <c r="AC9" i="48"/>
  <c r="AB10" i="48"/>
  <c r="AB11" i="48"/>
  <c r="AB12" i="48"/>
  <c r="AB13" i="48"/>
  <c r="AB14" i="48"/>
  <c r="AB15" i="48"/>
  <c r="AB16" i="48"/>
  <c r="AB9" i="48"/>
  <c r="AT17" i="48"/>
  <c r="AV17" i="48"/>
  <c r="BB17" i="48"/>
  <c r="BC17" i="48"/>
  <c r="AK17" i="48"/>
  <c r="AL17" i="48"/>
  <c r="AM17" i="48"/>
  <c r="AO17" i="48"/>
  <c r="AP17" i="48"/>
  <c r="BD8" i="46"/>
  <c r="BD9" i="46"/>
  <c r="BD10" i="46"/>
  <c r="BD11" i="46"/>
  <c r="BD12" i="46"/>
  <c r="BD13" i="46"/>
  <c r="BD14" i="46"/>
  <c r="BD15" i="46"/>
  <c r="BD16" i="46"/>
  <c r="BD17" i="46"/>
  <c r="BD18" i="46"/>
  <c r="BD19" i="46"/>
  <c r="BD20" i="46"/>
  <c r="BD7" i="46"/>
  <c r="BA8" i="46"/>
  <c r="BA12" i="46"/>
  <c r="BA16" i="46"/>
  <c r="BA20" i="46"/>
  <c r="AW17" i="46"/>
  <c r="AW21" i="46" s="1"/>
  <c r="AW18" i="46"/>
  <c r="AW16" i="46"/>
  <c r="G23" i="46"/>
  <c r="AY8" i="46"/>
  <c r="AY9" i="46"/>
  <c r="AY10" i="46"/>
  <c r="AY11" i="46"/>
  <c r="AY12" i="46"/>
  <c r="AY13" i="46"/>
  <c r="AY14" i="46"/>
  <c r="AY15" i="46"/>
  <c r="AY16" i="46"/>
  <c r="AY17" i="46"/>
  <c r="AY18" i="46"/>
  <c r="AY19" i="46"/>
  <c r="AY20" i="46"/>
  <c r="AY7" i="46"/>
  <c r="AX8" i="46"/>
  <c r="AX9" i="46"/>
  <c r="AX10" i="46"/>
  <c r="AX11" i="46"/>
  <c r="AX12" i="46"/>
  <c r="AX13" i="46"/>
  <c r="AX14" i="46"/>
  <c r="AX15" i="46"/>
  <c r="AX16" i="46"/>
  <c r="AX17" i="46"/>
  <c r="AX18" i="46"/>
  <c r="AX19" i="46"/>
  <c r="AX20" i="46"/>
  <c r="AX7" i="46"/>
  <c r="AU19" i="46"/>
  <c r="AU20" i="46"/>
  <c r="AT17" i="46"/>
  <c r="AU17" i="46" s="1"/>
  <c r="AT18" i="46"/>
  <c r="AU18" i="46" s="1"/>
  <c r="AV18" i="46" s="1"/>
  <c r="AT19" i="46"/>
  <c r="AT20" i="46"/>
  <c r="AT16" i="46"/>
  <c r="AU16" i="46" s="1"/>
  <c r="AR21" i="46"/>
  <c r="AS21" i="46"/>
  <c r="AV8" i="46"/>
  <c r="AV9" i="46"/>
  <c r="AV10" i="46"/>
  <c r="AV11" i="46"/>
  <c r="AV12" i="46"/>
  <c r="AV13" i="46"/>
  <c r="AV14" i="46"/>
  <c r="AV15" i="46"/>
  <c r="AV19" i="46"/>
  <c r="AV7" i="46"/>
  <c r="Z21" i="46"/>
  <c r="AB21" i="46"/>
  <c r="AK21" i="46"/>
  <c r="AL21" i="46"/>
  <c r="AM21" i="46"/>
  <c r="AN21" i="46"/>
  <c r="AO21" i="46"/>
  <c r="AP21" i="46"/>
  <c r="AQ8" i="46"/>
  <c r="AQ9" i="46"/>
  <c r="AQ10" i="46"/>
  <c r="AQ11" i="46"/>
  <c r="AQ12" i="46"/>
  <c r="AQ13" i="46"/>
  <c r="AQ14" i="46"/>
  <c r="AQ15" i="46"/>
  <c r="AQ16" i="46"/>
  <c r="AQ17" i="46"/>
  <c r="AQ18" i="46"/>
  <c r="AQ19" i="46"/>
  <c r="AQ20" i="46"/>
  <c r="AQ7" i="46"/>
  <c r="AG8" i="46"/>
  <c r="AG9" i="46"/>
  <c r="AG10" i="46"/>
  <c r="AG11" i="46"/>
  <c r="AG12" i="46"/>
  <c r="AG13" i="46"/>
  <c r="AG14" i="46"/>
  <c r="AG15" i="46"/>
  <c r="AG16" i="46"/>
  <c r="AG17" i="46"/>
  <c r="AG18" i="46"/>
  <c r="AG19" i="46"/>
  <c r="AG20" i="46"/>
  <c r="AG7" i="46"/>
  <c r="AG21" i="46" s="1"/>
  <c r="AD8" i="46"/>
  <c r="AD9" i="46"/>
  <c r="AD10" i="46"/>
  <c r="AD11" i="46"/>
  <c r="AD12" i="46"/>
  <c r="AD13" i="46"/>
  <c r="AD14" i="46"/>
  <c r="AD15" i="46"/>
  <c r="AD16" i="46"/>
  <c r="AD17" i="46"/>
  <c r="AD18" i="46"/>
  <c r="AD19" i="46"/>
  <c r="AD20" i="46"/>
  <c r="AD7" i="46"/>
  <c r="AD21" i="46" s="1"/>
  <c r="AI8" i="46"/>
  <c r="AI11" i="46"/>
  <c r="AI12" i="46"/>
  <c r="AI15" i="46"/>
  <c r="AI16" i="46"/>
  <c r="AI19" i="46"/>
  <c r="AI20" i="46"/>
  <c r="AH8" i="46"/>
  <c r="AH9" i="46"/>
  <c r="AI9" i="46" s="1"/>
  <c r="AH10" i="46"/>
  <c r="AI10" i="46" s="1"/>
  <c r="AH11" i="46"/>
  <c r="AH12" i="46"/>
  <c r="AH13" i="46"/>
  <c r="AI13" i="46" s="1"/>
  <c r="AH14" i="46"/>
  <c r="AI14" i="46" s="1"/>
  <c r="AH15" i="46"/>
  <c r="AH16" i="46"/>
  <c r="AH17" i="46"/>
  <c r="AI17" i="46" s="1"/>
  <c r="AH18" i="46"/>
  <c r="AI18" i="46" s="1"/>
  <c r="AH19" i="46"/>
  <c r="AH20" i="46"/>
  <c r="AH7" i="46"/>
  <c r="AH21" i="46" s="1"/>
  <c r="AF8" i="46"/>
  <c r="AF9" i="46"/>
  <c r="AF10" i="46"/>
  <c r="AF11" i="46"/>
  <c r="AF21" i="46" s="1"/>
  <c r="AF12" i="46"/>
  <c r="AF13" i="46"/>
  <c r="AF14" i="46"/>
  <c r="AF15" i="46"/>
  <c r="AF16" i="46"/>
  <c r="AF17" i="46"/>
  <c r="AF18" i="46"/>
  <c r="AF19" i="46"/>
  <c r="AF20" i="46"/>
  <c r="AF7" i="46"/>
  <c r="AE8" i="46"/>
  <c r="AE9" i="46"/>
  <c r="AE10" i="46"/>
  <c r="AE11" i="46"/>
  <c r="AE12" i="46"/>
  <c r="AE13" i="46"/>
  <c r="AE14" i="46"/>
  <c r="AE15" i="46"/>
  <c r="AE16" i="46"/>
  <c r="AE17" i="46"/>
  <c r="AE18" i="46"/>
  <c r="AE19" i="46"/>
  <c r="AE20" i="46"/>
  <c r="AE7" i="46"/>
  <c r="AE21" i="46" s="1"/>
  <c r="AA8" i="46"/>
  <c r="AA9" i="46"/>
  <c r="AA10" i="46"/>
  <c r="AA11" i="46"/>
  <c r="AA12" i="46"/>
  <c r="AA13" i="46"/>
  <c r="AA14" i="46"/>
  <c r="AA15" i="46"/>
  <c r="AA16" i="46"/>
  <c r="AA17" i="46"/>
  <c r="AA18" i="46"/>
  <c r="AA19" i="46"/>
  <c r="AA20" i="46"/>
  <c r="AA7" i="46"/>
  <c r="AA21" i="46" s="1"/>
  <c r="X8" i="46"/>
  <c r="X9" i="46"/>
  <c r="BC9" i="46" s="1"/>
  <c r="X10" i="46"/>
  <c r="BA10" i="46" s="1"/>
  <c r="X11" i="46"/>
  <c r="BA11" i="46" s="1"/>
  <c r="X12" i="46"/>
  <c r="X13" i="46"/>
  <c r="BC13" i="46" s="1"/>
  <c r="X14" i="46"/>
  <c r="BA14" i="46" s="1"/>
  <c r="X15" i="46"/>
  <c r="BA15" i="46" s="1"/>
  <c r="X16" i="46"/>
  <c r="X17" i="46"/>
  <c r="BC17" i="46" s="1"/>
  <c r="X18" i="46"/>
  <c r="BA18" i="46" s="1"/>
  <c r="X19" i="46"/>
  <c r="BA19" i="46" s="1"/>
  <c r="X20" i="46"/>
  <c r="X7" i="46"/>
  <c r="BA7" i="46" s="1"/>
  <c r="W8" i="46"/>
  <c r="BC8" i="46" s="1"/>
  <c r="W9" i="46"/>
  <c r="W10" i="46"/>
  <c r="W11" i="46"/>
  <c r="BC11" i="46" s="1"/>
  <c r="W12" i="46"/>
  <c r="BC12" i="46" s="1"/>
  <c r="W13" i="46"/>
  <c r="W14" i="46"/>
  <c r="W15" i="46"/>
  <c r="BC15" i="46" s="1"/>
  <c r="W16" i="46"/>
  <c r="BC16" i="46" s="1"/>
  <c r="W17" i="46"/>
  <c r="W18" i="46"/>
  <c r="W19" i="46"/>
  <c r="BC19" i="46" s="1"/>
  <c r="W20" i="46"/>
  <c r="BC20" i="46" s="1"/>
  <c r="W7" i="46"/>
  <c r="U21" i="46"/>
  <c r="V21" i="46"/>
  <c r="BD21" i="46" s="1"/>
  <c r="BI10" i="45"/>
  <c r="BI11" i="45"/>
  <c r="BI12" i="45"/>
  <c r="BI13" i="45"/>
  <c r="BI14" i="45"/>
  <c r="BI15" i="45"/>
  <c r="BI16" i="45"/>
  <c r="BI17" i="45"/>
  <c r="BI18" i="45"/>
  <c r="BI19" i="45"/>
  <c r="BI20" i="45"/>
  <c r="BI21" i="45"/>
  <c r="BI22" i="45"/>
  <c r="BI23" i="45"/>
  <c r="BI24" i="45"/>
  <c r="BI25" i="45"/>
  <c r="BI26" i="45"/>
  <c r="BI27" i="45"/>
  <c r="BI28" i="45"/>
  <c r="BI29" i="45"/>
  <c r="BI30" i="45"/>
  <c r="BI31" i="45"/>
  <c r="BI32" i="45"/>
  <c r="BI9" i="45"/>
  <c r="BF12" i="45"/>
  <c r="BF16" i="45"/>
  <c r="BF20" i="45"/>
  <c r="BF24" i="45"/>
  <c r="BF28" i="45"/>
  <c r="BF32" i="45"/>
  <c r="BD10" i="45"/>
  <c r="BD11" i="45"/>
  <c r="BD12" i="45"/>
  <c r="BD13" i="45"/>
  <c r="BD14" i="45"/>
  <c r="BD15" i="45"/>
  <c r="BD16" i="45"/>
  <c r="BD17" i="45"/>
  <c r="BD18" i="45"/>
  <c r="BD19" i="45"/>
  <c r="BD20" i="45"/>
  <c r="BD21" i="45"/>
  <c r="BD22" i="45"/>
  <c r="BD23" i="45"/>
  <c r="BD24" i="45"/>
  <c r="BD25" i="45"/>
  <c r="BD26" i="45"/>
  <c r="BD27" i="45"/>
  <c r="BD28" i="45"/>
  <c r="BD29" i="45"/>
  <c r="BD30" i="45"/>
  <c r="BD31" i="45"/>
  <c r="BD32" i="45"/>
  <c r="BD9" i="45"/>
  <c r="BC10" i="45"/>
  <c r="BC11" i="45"/>
  <c r="BC12" i="45"/>
  <c r="BC13" i="45"/>
  <c r="BC14" i="45"/>
  <c r="BC15" i="45"/>
  <c r="BC16" i="45"/>
  <c r="BC17" i="45"/>
  <c r="BC18" i="45"/>
  <c r="BC19" i="45"/>
  <c r="BC20" i="45"/>
  <c r="BC21" i="45"/>
  <c r="BC22" i="45"/>
  <c r="BC23" i="45"/>
  <c r="BC24" i="45"/>
  <c r="BC25" i="45"/>
  <c r="BC26" i="45"/>
  <c r="BC27" i="45"/>
  <c r="BC28" i="45"/>
  <c r="BC29" i="45"/>
  <c r="BC30" i="45"/>
  <c r="BC31" i="45"/>
  <c r="BC32" i="45"/>
  <c r="BC9" i="45"/>
  <c r="BB31" i="45"/>
  <c r="BB32" i="45"/>
  <c r="BB33" i="45" s="1"/>
  <c r="BB30" i="45"/>
  <c r="E36" i="45"/>
  <c r="AZ28" i="45"/>
  <c r="AZ10" i="45"/>
  <c r="AZ13" i="45"/>
  <c r="AZ14" i="45"/>
  <c r="AZ17" i="45"/>
  <c r="AZ18" i="45"/>
  <c r="AZ21" i="45"/>
  <c r="AZ22" i="45"/>
  <c r="AZ9" i="45"/>
  <c r="AY32" i="45"/>
  <c r="AZ32" i="45" s="1"/>
  <c r="AY30" i="45"/>
  <c r="AZ30" i="45" s="1"/>
  <c r="AY28" i="45"/>
  <c r="AY10" i="45"/>
  <c r="AY11" i="45"/>
  <c r="AY12" i="45"/>
  <c r="AZ12" i="45" s="1"/>
  <c r="AY13" i="45"/>
  <c r="AY14" i="45"/>
  <c r="AY15" i="45"/>
  <c r="AZ15" i="45" s="1"/>
  <c r="AY16" i="45"/>
  <c r="AZ16" i="45" s="1"/>
  <c r="AY17" i="45"/>
  <c r="AY18" i="45"/>
  <c r="AY19" i="45"/>
  <c r="AY20" i="45"/>
  <c r="AZ20" i="45" s="1"/>
  <c r="AY21" i="45"/>
  <c r="AY22" i="45"/>
  <c r="AY23" i="45"/>
  <c r="AZ23" i="45" s="1"/>
  <c r="AY24" i="45"/>
  <c r="AZ24" i="45" s="1"/>
  <c r="AY9" i="45"/>
  <c r="AW32" i="45"/>
  <c r="AW30" i="45"/>
  <c r="AW28" i="45"/>
  <c r="AW10" i="45"/>
  <c r="AW11" i="45"/>
  <c r="AW12" i="45"/>
  <c r="AW13" i="45"/>
  <c r="AW14" i="45"/>
  <c r="AW15" i="45"/>
  <c r="AW16" i="45"/>
  <c r="AW17" i="45"/>
  <c r="AW18" i="45"/>
  <c r="AW19" i="45"/>
  <c r="AW20" i="45"/>
  <c r="AW21" i="45"/>
  <c r="AW22" i="45"/>
  <c r="AW23" i="45"/>
  <c r="AW24" i="45"/>
  <c r="AW9" i="45"/>
  <c r="E35" i="45"/>
  <c r="BA29" i="45"/>
  <c r="BA13" i="45"/>
  <c r="BA21" i="45"/>
  <c r="BA25" i="45"/>
  <c r="BA26" i="45"/>
  <c r="BA27" i="45"/>
  <c r="BA31" i="45"/>
  <c r="AX33" i="45"/>
  <c r="BJ33" i="45"/>
  <c r="BK33" i="45"/>
  <c r="AU33" i="45"/>
  <c r="AV10" i="45"/>
  <c r="AV11" i="45"/>
  <c r="AV12" i="45"/>
  <c r="AV13" i="45"/>
  <c r="AV14" i="45"/>
  <c r="AV15" i="45"/>
  <c r="AV16" i="45"/>
  <c r="AV17" i="45"/>
  <c r="AV18" i="45"/>
  <c r="AV19" i="45"/>
  <c r="AV20" i="45"/>
  <c r="AV21" i="45"/>
  <c r="AV22" i="45"/>
  <c r="AV23" i="45"/>
  <c r="AV24" i="45"/>
  <c r="AV25" i="45"/>
  <c r="AV26" i="45"/>
  <c r="AV27" i="45"/>
  <c r="AV28" i="45"/>
  <c r="AV29" i="45"/>
  <c r="AV30" i="45"/>
  <c r="AV31" i="45"/>
  <c r="AV32" i="45"/>
  <c r="AV9" i="45"/>
  <c r="AK10" i="45"/>
  <c r="AK33" i="45" s="1"/>
  <c r="AK11" i="45"/>
  <c r="AK12" i="45"/>
  <c r="AK13" i="45"/>
  <c r="AK14" i="45"/>
  <c r="AK15" i="45"/>
  <c r="AK16" i="45"/>
  <c r="AK17" i="45"/>
  <c r="AK18" i="45"/>
  <c r="AK19" i="45"/>
  <c r="AK20" i="45"/>
  <c r="AK21" i="45"/>
  <c r="AK22" i="45"/>
  <c r="AK23" i="45"/>
  <c r="AK24" i="45"/>
  <c r="AK25" i="45"/>
  <c r="AK26" i="45"/>
  <c r="AO26" i="45" s="1"/>
  <c r="AB26" i="45" s="1"/>
  <c r="BG26" i="45" s="1"/>
  <c r="AK27" i="45"/>
  <c r="AK28" i="45"/>
  <c r="AK29" i="45"/>
  <c r="AK30" i="45"/>
  <c r="AK31" i="45"/>
  <c r="AK32" i="45"/>
  <c r="AK9" i="45"/>
  <c r="AO11" i="45"/>
  <c r="AO20" i="45"/>
  <c r="AN30" i="45"/>
  <c r="AO30" i="45" s="1"/>
  <c r="AN31" i="45"/>
  <c r="AN10" i="45"/>
  <c r="AO10" i="45" s="1"/>
  <c r="AN11" i="45"/>
  <c r="AN14" i="45"/>
  <c r="AO14" i="45" s="1"/>
  <c r="AN15" i="45"/>
  <c r="AN18" i="45"/>
  <c r="AO18" i="45" s="1"/>
  <c r="AN19" i="45"/>
  <c r="AN22" i="45"/>
  <c r="AO22" i="45" s="1"/>
  <c r="AN23" i="45"/>
  <c r="AM29" i="45"/>
  <c r="AM30" i="45"/>
  <c r="AM31" i="45"/>
  <c r="AM32" i="45"/>
  <c r="AN32" i="45" s="1"/>
  <c r="AO32" i="45" s="1"/>
  <c r="AM28" i="45"/>
  <c r="AN28" i="45" s="1"/>
  <c r="AO28" i="45" s="1"/>
  <c r="AM10" i="45"/>
  <c r="AM11" i="45"/>
  <c r="AM12" i="45"/>
  <c r="AN12" i="45" s="1"/>
  <c r="AO12" i="45" s="1"/>
  <c r="AM13" i="45"/>
  <c r="AN13" i="45" s="1"/>
  <c r="AM14" i="45"/>
  <c r="AM15" i="45"/>
  <c r="AM16" i="45"/>
  <c r="AN16" i="45" s="1"/>
  <c r="AO16" i="45" s="1"/>
  <c r="AM17" i="45"/>
  <c r="AN17" i="45" s="1"/>
  <c r="AM18" i="45"/>
  <c r="AM19" i="45"/>
  <c r="AM20" i="45"/>
  <c r="AN20" i="45" s="1"/>
  <c r="AM21" i="45"/>
  <c r="AN21" i="45" s="1"/>
  <c r="AM22" i="45"/>
  <c r="AM23" i="45"/>
  <c r="AM24" i="45"/>
  <c r="AN24" i="45" s="1"/>
  <c r="AO24" i="45" s="1"/>
  <c r="AM9" i="45"/>
  <c r="AN9" i="45" s="1"/>
  <c r="AD10" i="45"/>
  <c r="AD11" i="45"/>
  <c r="AD12" i="45"/>
  <c r="AD13" i="45"/>
  <c r="AD14" i="45"/>
  <c r="AD15" i="45"/>
  <c r="AD16" i="45"/>
  <c r="AD17" i="45"/>
  <c r="AD18" i="45"/>
  <c r="AD19" i="45"/>
  <c r="AD20" i="45"/>
  <c r="AD21" i="45"/>
  <c r="AD22" i="45"/>
  <c r="AD23" i="45"/>
  <c r="AD24" i="45"/>
  <c r="AD25" i="45"/>
  <c r="AD26" i="45"/>
  <c r="AD27" i="45"/>
  <c r="AD28" i="45"/>
  <c r="AD29" i="45"/>
  <c r="AD30" i="45"/>
  <c r="AD31" i="45"/>
  <c r="AD32" i="45"/>
  <c r="AD9" i="45"/>
  <c r="AJ10" i="45"/>
  <c r="AJ11" i="45"/>
  <c r="AJ12" i="45"/>
  <c r="AJ13" i="45"/>
  <c r="AJ14" i="45"/>
  <c r="AJ15" i="45"/>
  <c r="AJ16" i="45"/>
  <c r="AJ17" i="45"/>
  <c r="AJ18" i="45"/>
  <c r="AJ19" i="45"/>
  <c r="AJ20" i="45"/>
  <c r="AJ21" i="45"/>
  <c r="AJ22" i="45"/>
  <c r="AJ23" i="45"/>
  <c r="AJ24" i="45"/>
  <c r="AJ25" i="45"/>
  <c r="AO25" i="45" s="1"/>
  <c r="AB25" i="45" s="1"/>
  <c r="BG25" i="45" s="1"/>
  <c r="AJ26" i="45"/>
  <c r="AJ27" i="45"/>
  <c r="AJ28" i="45"/>
  <c r="AJ29" i="45"/>
  <c r="AJ30" i="45"/>
  <c r="AJ31" i="45"/>
  <c r="AJ32" i="45"/>
  <c r="AJ9" i="45"/>
  <c r="AI10" i="45"/>
  <c r="AI11" i="45"/>
  <c r="AI12" i="45"/>
  <c r="AI13" i="45"/>
  <c r="AI14" i="45"/>
  <c r="AI15" i="45"/>
  <c r="AI16" i="45"/>
  <c r="AI17" i="45"/>
  <c r="AI18" i="45"/>
  <c r="AI19" i="45"/>
  <c r="AI20" i="45"/>
  <c r="AI21" i="45"/>
  <c r="AI22" i="45"/>
  <c r="AI23" i="45"/>
  <c r="AI24" i="45"/>
  <c r="AI25" i="45"/>
  <c r="AI26" i="45"/>
  <c r="AI27" i="45"/>
  <c r="AI28" i="45"/>
  <c r="AI29" i="45"/>
  <c r="AI30" i="45"/>
  <c r="AI31" i="45"/>
  <c r="AI32" i="45"/>
  <c r="AI9" i="45"/>
  <c r="AH10" i="45"/>
  <c r="AH11" i="45"/>
  <c r="AH12" i="45"/>
  <c r="AH13" i="45"/>
  <c r="AH14" i="45"/>
  <c r="AH15" i="45"/>
  <c r="AH16" i="45"/>
  <c r="AH17" i="45"/>
  <c r="AH18" i="45"/>
  <c r="AH19" i="45"/>
  <c r="AH20" i="45"/>
  <c r="AH21" i="45"/>
  <c r="AH22" i="45"/>
  <c r="AH23" i="45"/>
  <c r="AH24" i="45"/>
  <c r="AH25" i="45"/>
  <c r="AH26" i="45"/>
  <c r="AH27" i="45"/>
  <c r="AH28" i="45"/>
  <c r="AH29" i="45"/>
  <c r="AH30" i="45"/>
  <c r="AH31" i="45"/>
  <c r="AH32" i="45"/>
  <c r="AH9" i="45"/>
  <c r="AG10" i="45"/>
  <c r="AG11" i="45"/>
  <c r="AG12" i="45"/>
  <c r="AG13" i="45"/>
  <c r="AG14" i="45"/>
  <c r="AG15" i="45"/>
  <c r="AG16" i="45"/>
  <c r="AG17" i="45"/>
  <c r="AG18" i="45"/>
  <c r="AG19" i="45"/>
  <c r="AG20" i="45"/>
  <c r="AG21" i="45"/>
  <c r="AG22" i="45"/>
  <c r="AG23" i="45"/>
  <c r="AG24" i="45"/>
  <c r="AG25" i="45"/>
  <c r="AG26" i="45"/>
  <c r="AG27" i="45"/>
  <c r="AG28" i="45"/>
  <c r="AG29" i="45"/>
  <c r="AG30" i="45"/>
  <c r="AG31" i="45"/>
  <c r="AG32" i="45"/>
  <c r="AG9" i="45"/>
  <c r="AF10" i="45"/>
  <c r="AF11" i="45"/>
  <c r="AF12" i="45"/>
  <c r="AF13" i="45"/>
  <c r="AF14" i="45"/>
  <c r="AF15" i="45"/>
  <c r="AF16" i="45"/>
  <c r="AF17" i="45"/>
  <c r="AF18" i="45"/>
  <c r="AF19" i="45"/>
  <c r="AF20" i="45"/>
  <c r="AF21" i="45"/>
  <c r="AF22" i="45"/>
  <c r="AF23" i="45"/>
  <c r="AF24" i="45"/>
  <c r="AF25" i="45"/>
  <c r="AF26" i="45"/>
  <c r="AF27" i="45"/>
  <c r="AF28" i="45"/>
  <c r="AF29" i="45"/>
  <c r="AF30" i="45"/>
  <c r="AF31" i="45"/>
  <c r="AF32" i="45"/>
  <c r="AF9" i="45"/>
  <c r="AE10" i="45"/>
  <c r="AE11" i="45"/>
  <c r="AE12" i="45"/>
  <c r="AE13" i="45"/>
  <c r="AE14" i="45"/>
  <c r="AE15" i="45"/>
  <c r="AE16" i="45"/>
  <c r="AE17" i="45"/>
  <c r="AE18" i="45"/>
  <c r="AE19" i="45"/>
  <c r="AE20" i="45"/>
  <c r="AE21" i="45"/>
  <c r="AE22" i="45"/>
  <c r="AE23" i="45"/>
  <c r="AE24" i="45"/>
  <c r="AE25" i="45"/>
  <c r="AE26" i="45"/>
  <c r="AE27" i="45"/>
  <c r="AE28" i="45"/>
  <c r="AE29" i="45"/>
  <c r="AE30" i="45"/>
  <c r="AE31" i="45"/>
  <c r="AE32" i="45"/>
  <c r="AE9" i="45"/>
  <c r="AC33" i="45"/>
  <c r="AL33" i="45"/>
  <c r="AP33" i="45"/>
  <c r="AQ33" i="45"/>
  <c r="AR33" i="45"/>
  <c r="AS33" i="45"/>
  <c r="AA10" i="45"/>
  <c r="BF10" i="45" s="1"/>
  <c r="AA11" i="45"/>
  <c r="BF11" i="45" s="1"/>
  <c r="AA12" i="45"/>
  <c r="AA13" i="45"/>
  <c r="AA14" i="45"/>
  <c r="BF14" i="45" s="1"/>
  <c r="AA15" i="45"/>
  <c r="BF15" i="45" s="1"/>
  <c r="AA16" i="45"/>
  <c r="AA17" i="45"/>
  <c r="AA18" i="45"/>
  <c r="BF18" i="45" s="1"/>
  <c r="AA19" i="45"/>
  <c r="BF19" i="45" s="1"/>
  <c r="AA20" i="45"/>
  <c r="AA21" i="45"/>
  <c r="AA22" i="45"/>
  <c r="BF22" i="45" s="1"/>
  <c r="AA23" i="45"/>
  <c r="BF23" i="45" s="1"/>
  <c r="AA24" i="45"/>
  <c r="AA25" i="45"/>
  <c r="AA26" i="45"/>
  <c r="BF26" i="45" s="1"/>
  <c r="AA27" i="45"/>
  <c r="BF27" i="45" s="1"/>
  <c r="AA28" i="45"/>
  <c r="AA29" i="45"/>
  <c r="AA30" i="45"/>
  <c r="BF30" i="45" s="1"/>
  <c r="AA31" i="45"/>
  <c r="BF31" i="45" s="1"/>
  <c r="AA32" i="45"/>
  <c r="AA9" i="45"/>
  <c r="Z10" i="45"/>
  <c r="Z11" i="45"/>
  <c r="BH11" i="45" s="1"/>
  <c r="Z12" i="45"/>
  <c r="BH12" i="45" s="1"/>
  <c r="Z13" i="45"/>
  <c r="Z14" i="45"/>
  <c r="Z15" i="45"/>
  <c r="BH15" i="45" s="1"/>
  <c r="Z16" i="45"/>
  <c r="BH16" i="45" s="1"/>
  <c r="Z17" i="45"/>
  <c r="Z18" i="45"/>
  <c r="Z19" i="45"/>
  <c r="BH19" i="45" s="1"/>
  <c r="Z20" i="45"/>
  <c r="BH20" i="45" s="1"/>
  <c r="Z21" i="45"/>
  <c r="Z22" i="45"/>
  <c r="Z23" i="45"/>
  <c r="BH23" i="45" s="1"/>
  <c r="Z24" i="45"/>
  <c r="BH24" i="45" s="1"/>
  <c r="Z25" i="45"/>
  <c r="Z26" i="45"/>
  <c r="Z27" i="45"/>
  <c r="BH27" i="45" s="1"/>
  <c r="Z28" i="45"/>
  <c r="BH28" i="45" s="1"/>
  <c r="Z29" i="45"/>
  <c r="Z30" i="45"/>
  <c r="Z31" i="45"/>
  <c r="BH31" i="45" s="1"/>
  <c r="Z32" i="45"/>
  <c r="BH32" i="45" s="1"/>
  <c r="Z9" i="45"/>
  <c r="X33" i="45"/>
  <c r="Y33" i="45"/>
  <c r="BC7" i="44"/>
  <c r="BC8" i="44"/>
  <c r="BC9" i="44"/>
  <c r="BC10" i="44"/>
  <c r="BC11" i="44"/>
  <c r="BC12" i="44"/>
  <c r="BC13" i="44"/>
  <c r="BC14" i="44"/>
  <c r="BC15" i="44"/>
  <c r="BC16" i="44"/>
  <c r="BC17" i="44"/>
  <c r="BC18" i="44"/>
  <c r="BC19" i="44"/>
  <c r="BC20" i="44"/>
  <c r="BC21" i="44"/>
  <c r="BC22" i="44"/>
  <c r="BC23" i="44"/>
  <c r="BC24" i="44"/>
  <c r="BC25" i="44"/>
  <c r="BC26" i="44"/>
  <c r="BC27" i="44"/>
  <c r="BC28" i="44"/>
  <c r="BC29" i="44"/>
  <c r="BC30" i="44"/>
  <c r="BC31" i="44"/>
  <c r="BC32" i="44"/>
  <c r="BC33" i="44"/>
  <c r="BC34" i="44"/>
  <c r="BC35" i="44"/>
  <c r="BC36" i="44"/>
  <c r="BC37" i="44"/>
  <c r="BC38" i="44"/>
  <c r="BC39" i="44"/>
  <c r="BC40" i="44"/>
  <c r="BC6" i="44"/>
  <c r="AW28" i="44"/>
  <c r="AW29" i="44"/>
  <c r="AW30" i="44"/>
  <c r="AW31" i="44"/>
  <c r="AW32" i="44"/>
  <c r="AW33" i="44"/>
  <c r="AW34" i="44"/>
  <c r="AW35" i="44"/>
  <c r="AW36" i="44"/>
  <c r="AW37" i="44"/>
  <c r="AW38" i="44"/>
  <c r="AW39" i="44"/>
  <c r="AW40" i="44"/>
  <c r="AW27" i="44"/>
  <c r="AW24" i="44"/>
  <c r="AW7" i="44"/>
  <c r="AW8" i="44"/>
  <c r="AW9" i="44"/>
  <c r="AW10" i="44"/>
  <c r="AW11" i="44"/>
  <c r="AW12" i="44"/>
  <c r="AW13" i="44"/>
  <c r="AW14" i="44"/>
  <c r="AW15" i="44"/>
  <c r="AW16" i="44"/>
  <c r="AW17" i="44"/>
  <c r="AW18" i="44"/>
  <c r="AW19" i="44"/>
  <c r="AW20" i="44"/>
  <c r="AW21" i="44"/>
  <c r="AW22" i="44"/>
  <c r="AW6" i="44"/>
  <c r="AX28" i="44"/>
  <c r="AX29" i="44"/>
  <c r="AX30" i="44"/>
  <c r="AX31" i="44"/>
  <c r="AX32" i="44"/>
  <c r="AX33" i="44"/>
  <c r="AX34" i="44"/>
  <c r="AX35" i="44"/>
  <c r="AX36" i="44"/>
  <c r="AX37" i="44"/>
  <c r="AX38" i="44"/>
  <c r="AX39" i="44"/>
  <c r="AX40" i="44"/>
  <c r="AX27" i="44"/>
  <c r="AX24" i="44"/>
  <c r="AX7" i="44"/>
  <c r="AX8" i="44"/>
  <c r="AX9" i="44"/>
  <c r="AX10" i="44"/>
  <c r="AX11" i="44"/>
  <c r="AX12" i="44"/>
  <c r="AX13" i="44"/>
  <c r="AX14" i="44"/>
  <c r="AX15" i="44"/>
  <c r="AX16" i="44"/>
  <c r="AX17" i="44"/>
  <c r="AX18" i="44"/>
  <c r="AX19" i="44"/>
  <c r="AX20" i="44"/>
  <c r="AX21" i="44"/>
  <c r="AX22" i="44"/>
  <c r="AX6" i="44"/>
  <c r="AT39" i="44"/>
  <c r="AT19" i="44"/>
  <c r="AT20" i="44"/>
  <c r="AS39" i="44"/>
  <c r="AS17" i="44"/>
  <c r="AT17" i="44" s="1"/>
  <c r="AS18" i="44"/>
  <c r="AT18" i="44" s="1"/>
  <c r="AU18" i="44" s="1"/>
  <c r="AS19" i="44"/>
  <c r="AS20" i="44"/>
  <c r="AS16" i="44"/>
  <c r="AT16" i="44" s="1"/>
  <c r="AQ39" i="44"/>
  <c r="AQ17" i="44"/>
  <c r="AQ18" i="44"/>
  <c r="AQ19" i="44"/>
  <c r="AQ20" i="44"/>
  <c r="AQ16" i="44"/>
  <c r="AU7" i="44"/>
  <c r="AU8" i="44"/>
  <c r="AU9" i="44"/>
  <c r="AU10" i="44"/>
  <c r="AU11" i="44"/>
  <c r="AU12" i="44"/>
  <c r="AU13" i="44"/>
  <c r="AU14" i="44"/>
  <c r="AU15" i="44"/>
  <c r="AU19" i="44"/>
  <c r="AU21" i="44"/>
  <c r="AU22" i="44"/>
  <c r="AU23" i="44"/>
  <c r="AU24" i="44"/>
  <c r="AU25" i="44"/>
  <c r="AU26" i="44"/>
  <c r="AU27" i="44"/>
  <c r="AU28" i="44"/>
  <c r="AU29" i="44"/>
  <c r="AU30" i="44"/>
  <c r="AU31" i="44"/>
  <c r="AU32" i="44"/>
  <c r="AU33" i="44"/>
  <c r="AU34" i="44"/>
  <c r="AU35" i="44"/>
  <c r="AU36" i="44"/>
  <c r="AU37" i="44"/>
  <c r="AU38" i="44"/>
  <c r="AU40" i="44"/>
  <c r="AU6" i="44"/>
  <c r="AL41" i="44"/>
  <c r="AM41" i="44"/>
  <c r="AN41" i="44"/>
  <c r="AO41" i="44"/>
  <c r="AR41" i="44"/>
  <c r="AV41" i="44"/>
  <c r="AP7" i="44"/>
  <c r="AP8" i="44"/>
  <c r="AP9" i="44"/>
  <c r="AP10" i="44"/>
  <c r="AP11" i="44"/>
  <c r="AP12" i="44"/>
  <c r="AP13" i="44"/>
  <c r="AP14" i="44"/>
  <c r="AP15" i="44"/>
  <c r="AP16" i="44"/>
  <c r="AP17" i="44"/>
  <c r="AP18" i="44"/>
  <c r="AP19" i="44"/>
  <c r="AP20" i="44"/>
  <c r="AP21" i="44"/>
  <c r="AP22" i="44"/>
  <c r="AP23" i="44"/>
  <c r="AP24" i="44"/>
  <c r="AP25" i="44"/>
  <c r="AP26" i="44"/>
  <c r="AP27" i="44"/>
  <c r="AP28" i="44"/>
  <c r="AP29" i="44"/>
  <c r="AP30" i="44"/>
  <c r="AP31" i="44"/>
  <c r="AP32" i="44"/>
  <c r="AP33" i="44"/>
  <c r="AP34" i="44"/>
  <c r="AP35" i="44"/>
  <c r="AP36" i="44"/>
  <c r="AP37" i="44"/>
  <c r="AP38" i="44"/>
  <c r="AP39" i="44"/>
  <c r="AP40" i="44"/>
  <c r="AP6" i="44"/>
  <c r="AE28" i="44"/>
  <c r="AE29" i="44"/>
  <c r="AE30" i="44"/>
  <c r="AE31" i="44"/>
  <c r="AE32" i="44"/>
  <c r="AE33" i="44"/>
  <c r="AE34" i="44"/>
  <c r="AE35" i="44"/>
  <c r="AE36" i="44"/>
  <c r="AE37" i="44"/>
  <c r="AE38" i="44"/>
  <c r="AE39" i="44"/>
  <c r="AE40" i="44"/>
  <c r="AE27" i="44"/>
  <c r="AE24" i="44"/>
  <c r="AE7" i="44"/>
  <c r="AE8" i="44"/>
  <c r="AE9" i="44"/>
  <c r="AE10" i="44"/>
  <c r="AE11" i="44"/>
  <c r="AE12" i="44"/>
  <c r="AE13" i="44"/>
  <c r="AE14" i="44"/>
  <c r="AE15" i="44"/>
  <c r="AE16" i="44"/>
  <c r="AE17" i="44"/>
  <c r="AE18" i="44"/>
  <c r="AE19" i="44"/>
  <c r="AE20" i="44"/>
  <c r="AE21" i="44"/>
  <c r="AE22" i="44"/>
  <c r="AE6" i="44"/>
  <c r="AH39" i="44"/>
  <c r="AH35" i="44"/>
  <c r="AH30" i="44"/>
  <c r="AH17" i="44"/>
  <c r="AH19" i="44"/>
  <c r="AH21" i="44"/>
  <c r="AH16" i="44"/>
  <c r="AG39" i="44"/>
  <c r="AG37" i="44"/>
  <c r="AH37" i="44" s="1"/>
  <c r="AG35" i="44"/>
  <c r="AG33" i="44"/>
  <c r="AH33" i="44" s="1"/>
  <c r="AG30" i="44"/>
  <c r="AG29" i="44"/>
  <c r="AH29" i="44" s="1"/>
  <c r="AG17" i="44"/>
  <c r="AG18" i="44"/>
  <c r="AH18" i="44" s="1"/>
  <c r="AG19" i="44"/>
  <c r="AG20" i="44"/>
  <c r="AH20" i="44" s="1"/>
  <c r="AG21" i="44"/>
  <c r="AG22" i="44"/>
  <c r="AH22" i="44" s="1"/>
  <c r="AG16" i="44"/>
  <c r="AC28" i="44"/>
  <c r="AC29" i="44"/>
  <c r="AC30" i="44"/>
  <c r="AC31" i="44"/>
  <c r="AC32" i="44"/>
  <c r="AC33" i="44"/>
  <c r="AC34" i="44"/>
  <c r="AC35" i="44"/>
  <c r="AC36" i="44"/>
  <c r="AC37" i="44"/>
  <c r="AC38" i="44"/>
  <c r="AC39" i="44"/>
  <c r="AC40" i="44"/>
  <c r="AC27" i="44"/>
  <c r="AC24" i="44"/>
  <c r="AC7" i="44"/>
  <c r="AC8" i="44"/>
  <c r="AC9" i="44"/>
  <c r="AC10" i="44"/>
  <c r="AC11" i="44"/>
  <c r="AC12" i="44"/>
  <c r="AC13" i="44"/>
  <c r="AC14" i="44"/>
  <c r="AC15" i="44"/>
  <c r="AC16" i="44"/>
  <c r="AC17" i="44"/>
  <c r="AC18" i="44"/>
  <c r="AC19" i="44"/>
  <c r="AC20" i="44"/>
  <c r="AC21" i="44"/>
  <c r="AC22" i="44"/>
  <c r="AC6" i="44"/>
  <c r="AD28" i="44"/>
  <c r="AD29" i="44"/>
  <c r="AD30" i="44"/>
  <c r="AD31" i="44"/>
  <c r="AD32" i="44"/>
  <c r="AD33" i="44"/>
  <c r="AD34" i="44"/>
  <c r="AD35" i="44"/>
  <c r="AD36" i="44"/>
  <c r="AD37" i="44"/>
  <c r="AD38" i="44"/>
  <c r="AD39" i="44"/>
  <c r="AD40" i="44"/>
  <c r="AD27" i="44"/>
  <c r="AD24" i="44"/>
  <c r="AD7" i="44"/>
  <c r="AD8" i="44"/>
  <c r="AD9" i="44"/>
  <c r="AD10" i="44"/>
  <c r="AD11" i="44"/>
  <c r="AD12" i="44"/>
  <c r="AD13" i="44"/>
  <c r="AD14" i="44"/>
  <c r="AD15" i="44"/>
  <c r="AD16" i="44"/>
  <c r="AD17" i="44"/>
  <c r="AD18" i="44"/>
  <c r="AD19" i="44"/>
  <c r="AD20" i="44"/>
  <c r="AD21" i="44"/>
  <c r="AD22" i="44"/>
  <c r="AD6" i="44"/>
  <c r="Z7" i="44"/>
  <c r="Z8" i="44"/>
  <c r="Z9" i="44"/>
  <c r="Z10" i="44"/>
  <c r="Z11" i="44"/>
  <c r="Z12" i="44"/>
  <c r="Z13" i="44"/>
  <c r="Z14" i="44"/>
  <c r="Z15" i="44"/>
  <c r="Z16" i="44"/>
  <c r="Z17" i="44"/>
  <c r="Z18" i="44"/>
  <c r="Z19" i="44"/>
  <c r="Z20" i="44"/>
  <c r="Z21" i="44"/>
  <c r="Z22" i="44"/>
  <c r="Z23" i="44"/>
  <c r="Z24" i="44"/>
  <c r="Z25" i="44"/>
  <c r="Z26" i="44"/>
  <c r="Z27" i="44"/>
  <c r="Z28" i="44"/>
  <c r="Z29" i="44"/>
  <c r="Z30" i="44"/>
  <c r="Z31" i="44"/>
  <c r="Z32" i="44"/>
  <c r="Z33" i="44"/>
  <c r="Z34" i="44"/>
  <c r="Z35" i="44"/>
  <c r="Z36" i="44"/>
  <c r="Z37" i="44"/>
  <c r="Z38" i="44"/>
  <c r="Z39" i="44"/>
  <c r="Z40" i="44"/>
  <c r="Z6" i="44"/>
  <c r="W7" i="44"/>
  <c r="AZ7" i="44" s="1"/>
  <c r="W8" i="44"/>
  <c r="W9" i="44"/>
  <c r="AZ9" i="44" s="1"/>
  <c r="W10" i="44"/>
  <c r="AZ10" i="44" s="1"/>
  <c r="W11" i="44"/>
  <c r="AZ11" i="44" s="1"/>
  <c r="W12" i="44"/>
  <c r="W13" i="44"/>
  <c r="AZ13" i="44" s="1"/>
  <c r="W14" i="44"/>
  <c r="AZ14" i="44" s="1"/>
  <c r="W15" i="44"/>
  <c r="AZ15" i="44" s="1"/>
  <c r="W16" i="44"/>
  <c r="W17" i="44"/>
  <c r="AZ17" i="44" s="1"/>
  <c r="W18" i="44"/>
  <c r="AZ18" i="44" s="1"/>
  <c r="W19" i="44"/>
  <c r="AZ19" i="44" s="1"/>
  <c r="W20" i="44"/>
  <c r="W21" i="44"/>
  <c r="AZ21" i="44" s="1"/>
  <c r="W22" i="44"/>
  <c r="AZ22" i="44" s="1"/>
  <c r="W23" i="44"/>
  <c r="AZ23" i="44" s="1"/>
  <c r="W24" i="44"/>
  <c r="W25" i="44"/>
  <c r="AZ25" i="44" s="1"/>
  <c r="W26" i="44"/>
  <c r="AZ26" i="44" s="1"/>
  <c r="W27" i="44"/>
  <c r="AZ27" i="44" s="1"/>
  <c r="W28" i="44"/>
  <c r="W29" i="44"/>
  <c r="AZ29" i="44" s="1"/>
  <c r="W30" i="44"/>
  <c r="AZ30" i="44" s="1"/>
  <c r="W31" i="44"/>
  <c r="AZ31" i="44" s="1"/>
  <c r="W32" i="44"/>
  <c r="W33" i="44"/>
  <c r="AZ33" i="44" s="1"/>
  <c r="W34" i="44"/>
  <c r="AZ34" i="44" s="1"/>
  <c r="W35" i="44"/>
  <c r="AZ35" i="44" s="1"/>
  <c r="W36" i="44"/>
  <c r="W37" i="44"/>
  <c r="AZ37" i="44" s="1"/>
  <c r="W38" i="44"/>
  <c r="AZ38" i="44" s="1"/>
  <c r="W39" i="44"/>
  <c r="AZ39" i="44" s="1"/>
  <c r="W40" i="44"/>
  <c r="W6" i="44"/>
  <c r="AZ6" i="44" s="1"/>
  <c r="T41" i="44"/>
  <c r="U41" i="44"/>
  <c r="V7" i="44"/>
  <c r="V8" i="44"/>
  <c r="V9" i="44"/>
  <c r="V10" i="44"/>
  <c r="V11" i="44"/>
  <c r="V12" i="44"/>
  <c r="V13" i="44"/>
  <c r="V14" i="44"/>
  <c r="V15" i="44"/>
  <c r="V16" i="44"/>
  <c r="BB16" i="44" s="1"/>
  <c r="V17" i="44"/>
  <c r="V18" i="44"/>
  <c r="V19" i="44"/>
  <c r="V20" i="44"/>
  <c r="BB20" i="44" s="1"/>
  <c r="V21" i="44"/>
  <c r="V22" i="44"/>
  <c r="V23" i="44"/>
  <c r="V24" i="44"/>
  <c r="BB24" i="44" s="1"/>
  <c r="V25" i="44"/>
  <c r="V26" i="44"/>
  <c r="V27" i="44"/>
  <c r="V28" i="44"/>
  <c r="V29" i="44"/>
  <c r="V30" i="44"/>
  <c r="V31" i="44"/>
  <c r="V32" i="44"/>
  <c r="BB32" i="44" s="1"/>
  <c r="V33" i="44"/>
  <c r="V34" i="44"/>
  <c r="V35" i="44"/>
  <c r="V36" i="44"/>
  <c r="BB36" i="44" s="1"/>
  <c r="V37" i="44"/>
  <c r="V38" i="44"/>
  <c r="V39" i="44"/>
  <c r="V40" i="44"/>
  <c r="BB40" i="44" s="1"/>
  <c r="V6" i="44"/>
  <c r="BE11" i="43"/>
  <c r="BE12" i="43"/>
  <c r="BE13" i="43"/>
  <c r="BE14" i="43"/>
  <c r="BE15" i="43"/>
  <c r="BE16" i="43"/>
  <c r="BE17" i="43"/>
  <c r="BE18" i="43"/>
  <c r="BE19" i="43"/>
  <c r="BE20" i="43"/>
  <c r="BE21" i="43"/>
  <c r="BE22" i="43"/>
  <c r="BE23" i="43"/>
  <c r="BE24" i="43"/>
  <c r="BE25" i="43"/>
  <c r="BE26" i="43"/>
  <c r="BE27" i="43"/>
  <c r="BE28" i="43"/>
  <c r="BE29" i="43"/>
  <c r="BE30" i="43"/>
  <c r="BE31" i="43"/>
  <c r="BE32" i="43"/>
  <c r="BE33" i="43"/>
  <c r="BE34" i="43"/>
  <c r="BE35" i="43"/>
  <c r="BE36" i="43"/>
  <c r="BE37" i="43"/>
  <c r="BE38" i="43"/>
  <c r="BE39" i="43"/>
  <c r="BE40" i="43"/>
  <c r="BE10" i="43"/>
  <c r="BD12" i="43"/>
  <c r="BD16" i="43"/>
  <c r="BD20" i="43"/>
  <c r="BD24" i="43"/>
  <c r="BD28" i="43"/>
  <c r="BD32" i="43"/>
  <c r="BD36" i="43"/>
  <c r="BD40" i="43"/>
  <c r="X11" i="43"/>
  <c r="BB11" i="43" s="1"/>
  <c r="X12" i="43"/>
  <c r="BB12" i="43" s="1"/>
  <c r="X13" i="43"/>
  <c r="BB13" i="43" s="1"/>
  <c r="X14" i="43"/>
  <c r="BB14" i="43" s="1"/>
  <c r="X15" i="43"/>
  <c r="BB15" i="43" s="1"/>
  <c r="X16" i="43"/>
  <c r="BB16" i="43" s="1"/>
  <c r="X17" i="43"/>
  <c r="BB17" i="43" s="1"/>
  <c r="X18" i="43"/>
  <c r="BB18" i="43" s="1"/>
  <c r="X19" i="43"/>
  <c r="BB19" i="43" s="1"/>
  <c r="X20" i="43"/>
  <c r="BB20" i="43" s="1"/>
  <c r="X21" i="43"/>
  <c r="BB21" i="43" s="1"/>
  <c r="X22" i="43"/>
  <c r="BB22" i="43" s="1"/>
  <c r="X23" i="43"/>
  <c r="BB23" i="43" s="1"/>
  <c r="X24" i="43"/>
  <c r="BB24" i="43" s="1"/>
  <c r="X25" i="43"/>
  <c r="BB25" i="43" s="1"/>
  <c r="X26" i="43"/>
  <c r="BB26" i="43" s="1"/>
  <c r="X27" i="43"/>
  <c r="BB27" i="43" s="1"/>
  <c r="X28" i="43"/>
  <c r="BB28" i="43" s="1"/>
  <c r="X29" i="43"/>
  <c r="BB29" i="43" s="1"/>
  <c r="X30" i="43"/>
  <c r="BB30" i="43" s="1"/>
  <c r="X31" i="43"/>
  <c r="BB31" i="43" s="1"/>
  <c r="X32" i="43"/>
  <c r="BB32" i="43" s="1"/>
  <c r="X33" i="43"/>
  <c r="BB33" i="43" s="1"/>
  <c r="X34" i="43"/>
  <c r="BB34" i="43" s="1"/>
  <c r="X35" i="43"/>
  <c r="BB35" i="43" s="1"/>
  <c r="X36" i="43"/>
  <c r="BB36" i="43" s="1"/>
  <c r="X37" i="43"/>
  <c r="BB37" i="43" s="1"/>
  <c r="X38" i="43"/>
  <c r="BB38" i="43" s="1"/>
  <c r="X39" i="43"/>
  <c r="BB39" i="43" s="1"/>
  <c r="X40" i="43"/>
  <c r="BB40" i="43" s="1"/>
  <c r="X10" i="43"/>
  <c r="BB10" i="43" s="1"/>
  <c r="W11" i="43"/>
  <c r="W12" i="43"/>
  <c r="W13" i="43"/>
  <c r="BD13" i="43" s="1"/>
  <c r="W14" i="43"/>
  <c r="W15" i="43"/>
  <c r="W16" i="43"/>
  <c r="W17" i="43"/>
  <c r="BD17" i="43" s="1"/>
  <c r="W18" i="43"/>
  <c r="W19" i="43"/>
  <c r="W20" i="43"/>
  <c r="W21" i="43"/>
  <c r="BD21" i="43" s="1"/>
  <c r="W22" i="43"/>
  <c r="W23" i="43"/>
  <c r="W24" i="43"/>
  <c r="W25" i="43"/>
  <c r="BD25" i="43" s="1"/>
  <c r="W26" i="43"/>
  <c r="W27" i="43"/>
  <c r="W28" i="43"/>
  <c r="W29" i="43"/>
  <c r="BD29" i="43" s="1"/>
  <c r="W30" i="43"/>
  <c r="W31" i="43"/>
  <c r="W32" i="43"/>
  <c r="W33" i="43"/>
  <c r="BD33" i="43" s="1"/>
  <c r="W34" i="43"/>
  <c r="W35" i="43"/>
  <c r="W36" i="43"/>
  <c r="W37" i="43"/>
  <c r="BD37" i="43" s="1"/>
  <c r="W38" i="43"/>
  <c r="W39" i="43"/>
  <c r="W40" i="43"/>
  <c r="W10" i="43"/>
  <c r="BD10" i="43" s="1"/>
  <c r="AZ11" i="43"/>
  <c r="AZ12" i="43"/>
  <c r="AZ13" i="43"/>
  <c r="AZ14" i="43"/>
  <c r="AZ15" i="43"/>
  <c r="AZ16" i="43"/>
  <c r="AZ17" i="43"/>
  <c r="AZ18" i="43"/>
  <c r="AZ19" i="43"/>
  <c r="AZ20" i="43"/>
  <c r="AZ21" i="43"/>
  <c r="AZ22" i="43"/>
  <c r="AZ23" i="43"/>
  <c r="AZ24" i="43"/>
  <c r="AZ25" i="43"/>
  <c r="AZ26" i="43"/>
  <c r="AZ27" i="43"/>
  <c r="AZ28" i="43"/>
  <c r="AZ29" i="43"/>
  <c r="AZ30" i="43"/>
  <c r="AZ31" i="43"/>
  <c r="AZ32" i="43"/>
  <c r="AZ33" i="43"/>
  <c r="AZ34" i="43"/>
  <c r="AZ35" i="43"/>
  <c r="AZ36" i="43"/>
  <c r="AZ37" i="43"/>
  <c r="AZ38" i="43"/>
  <c r="AZ39" i="43"/>
  <c r="AZ40" i="43"/>
  <c r="AZ10" i="43"/>
  <c r="AX41" i="43"/>
  <c r="AY11" i="43"/>
  <c r="AY12" i="43"/>
  <c r="AY13" i="43"/>
  <c r="AY14" i="43"/>
  <c r="AY15" i="43"/>
  <c r="AY16" i="43"/>
  <c r="AY17" i="43"/>
  <c r="AY18" i="43"/>
  <c r="AY19" i="43"/>
  <c r="AY20" i="43"/>
  <c r="AY21" i="43"/>
  <c r="AY22" i="43"/>
  <c r="AY23" i="43"/>
  <c r="AY24" i="43"/>
  <c r="AY25" i="43"/>
  <c r="AY26" i="43"/>
  <c r="AY27" i="43"/>
  <c r="AY28" i="43"/>
  <c r="AY29" i="43"/>
  <c r="AY30" i="43"/>
  <c r="AY31" i="43"/>
  <c r="AY32" i="43"/>
  <c r="AY33" i="43"/>
  <c r="AY34" i="43"/>
  <c r="AY35" i="43"/>
  <c r="AY36" i="43"/>
  <c r="AY37" i="43"/>
  <c r="AY38" i="43"/>
  <c r="AY39" i="43"/>
  <c r="AY40" i="43"/>
  <c r="AY10" i="43"/>
  <c r="AY41" i="43" s="1"/>
  <c r="AV25" i="43"/>
  <c r="AV24" i="43"/>
  <c r="AV12" i="43"/>
  <c r="AW12" i="43" s="1"/>
  <c r="AV14" i="43"/>
  <c r="AV16" i="43"/>
  <c r="AV18" i="43"/>
  <c r="AV10" i="43"/>
  <c r="AU25" i="43"/>
  <c r="AU26" i="43"/>
  <c r="AV26" i="43" s="1"/>
  <c r="AU24" i="43"/>
  <c r="AU11" i="43"/>
  <c r="AV11" i="43" s="1"/>
  <c r="AU12" i="43"/>
  <c r="AU13" i="43"/>
  <c r="AV13" i="43" s="1"/>
  <c r="AU14" i="43"/>
  <c r="AU15" i="43"/>
  <c r="AV15" i="43" s="1"/>
  <c r="AU16" i="43"/>
  <c r="AU17" i="43"/>
  <c r="AV17" i="43" s="1"/>
  <c r="AW17" i="43" s="1"/>
  <c r="AU18" i="43"/>
  <c r="AU19" i="43"/>
  <c r="AV19" i="43" s="1"/>
  <c r="AU10" i="43"/>
  <c r="AS26" i="43"/>
  <c r="AS25" i="43"/>
  <c r="AS24" i="43"/>
  <c r="AS11" i="43"/>
  <c r="AS12" i="43"/>
  <c r="AS13" i="43"/>
  <c r="AS14" i="43"/>
  <c r="AW14" i="43" s="1"/>
  <c r="AS15" i="43"/>
  <c r="AS16" i="43"/>
  <c r="AS17" i="43"/>
  <c r="AS18" i="43"/>
  <c r="AW18" i="43" s="1"/>
  <c r="AS19" i="43"/>
  <c r="AS10" i="43"/>
  <c r="AT41" i="43"/>
  <c r="AW13" i="43"/>
  <c r="AW20" i="43"/>
  <c r="AW21" i="43"/>
  <c r="AW22" i="43"/>
  <c r="AW23" i="43"/>
  <c r="AW27" i="43"/>
  <c r="AW28" i="43"/>
  <c r="AW29" i="43"/>
  <c r="AW30" i="43"/>
  <c r="AW31" i="43"/>
  <c r="AW32" i="43"/>
  <c r="AW33" i="43"/>
  <c r="AW34" i="43"/>
  <c r="AW35" i="43"/>
  <c r="AW36" i="43"/>
  <c r="AW37" i="43"/>
  <c r="AW38" i="43"/>
  <c r="AW39" i="43"/>
  <c r="AW40" i="43"/>
  <c r="AN41" i="43"/>
  <c r="AO41" i="43"/>
  <c r="AP41" i="43"/>
  <c r="AQ41" i="43"/>
  <c r="AR11" i="43"/>
  <c r="AR12" i="43"/>
  <c r="AR13" i="43"/>
  <c r="AR14" i="43"/>
  <c r="AR15" i="43"/>
  <c r="AR16" i="43"/>
  <c r="AR17" i="43"/>
  <c r="AR18" i="43"/>
  <c r="AR19" i="43"/>
  <c r="AR20" i="43"/>
  <c r="AR21" i="43"/>
  <c r="AR22" i="43"/>
  <c r="AR23" i="43"/>
  <c r="AR24" i="43"/>
  <c r="AR25" i="43"/>
  <c r="AR26" i="43"/>
  <c r="AR27" i="43"/>
  <c r="AR28" i="43"/>
  <c r="AR29" i="43"/>
  <c r="AR30" i="43"/>
  <c r="AR31" i="43"/>
  <c r="AR32" i="43"/>
  <c r="AR33" i="43"/>
  <c r="AR34" i="43"/>
  <c r="AR35" i="43"/>
  <c r="AR36" i="43"/>
  <c r="AR37" i="43"/>
  <c r="AR38" i="43"/>
  <c r="AR39" i="43"/>
  <c r="AR40" i="43"/>
  <c r="AR10" i="43"/>
  <c r="AG11" i="43"/>
  <c r="AG12" i="43"/>
  <c r="AG13" i="43"/>
  <c r="AG14" i="43"/>
  <c r="AG15" i="43"/>
  <c r="AG16" i="43"/>
  <c r="AG17" i="43"/>
  <c r="AG18" i="43"/>
  <c r="AG19" i="43"/>
  <c r="AG20" i="43"/>
  <c r="AG21" i="43"/>
  <c r="AG22" i="43"/>
  <c r="AG23" i="43"/>
  <c r="AG24" i="43"/>
  <c r="AG25" i="43"/>
  <c r="AG26" i="43"/>
  <c r="AG27" i="43"/>
  <c r="AG28" i="43"/>
  <c r="AG29" i="43"/>
  <c r="AG30" i="43"/>
  <c r="AG31" i="43"/>
  <c r="AG32" i="43"/>
  <c r="AG33" i="43"/>
  <c r="AG34" i="43"/>
  <c r="AG35" i="43"/>
  <c r="AG36" i="43"/>
  <c r="AG37" i="43"/>
  <c r="AG38" i="43"/>
  <c r="AG39" i="43"/>
  <c r="AG40" i="43"/>
  <c r="AG10" i="43"/>
  <c r="AI40" i="43"/>
  <c r="AJ40" i="43" s="1"/>
  <c r="AI25" i="43"/>
  <c r="AJ25" i="43" s="1"/>
  <c r="AI26" i="43"/>
  <c r="AJ26" i="43" s="1"/>
  <c r="AI24" i="43"/>
  <c r="AJ24" i="43" s="1"/>
  <c r="AI11" i="43"/>
  <c r="AJ11" i="43" s="1"/>
  <c r="AI12" i="43"/>
  <c r="AJ12" i="43" s="1"/>
  <c r="AI13" i="43"/>
  <c r="AI14" i="43"/>
  <c r="AI15" i="43"/>
  <c r="AJ15" i="43" s="1"/>
  <c r="AI16" i="43"/>
  <c r="AJ16" i="43" s="1"/>
  <c r="AI17" i="43"/>
  <c r="AJ17" i="43" s="1"/>
  <c r="AI18" i="43"/>
  <c r="AI19" i="43"/>
  <c r="AJ19" i="43" s="1"/>
  <c r="AI10" i="43"/>
  <c r="AJ10" i="43" s="1"/>
  <c r="AJ13" i="43"/>
  <c r="AJ14" i="43"/>
  <c r="AJ18" i="43"/>
  <c r="AF11" i="43"/>
  <c r="AF12" i="43"/>
  <c r="AF13" i="43"/>
  <c r="AF14" i="43"/>
  <c r="AF15" i="43"/>
  <c r="AF16" i="43"/>
  <c r="AF17" i="43"/>
  <c r="AF18" i="43"/>
  <c r="AF19" i="43"/>
  <c r="AF20" i="43"/>
  <c r="AF21" i="43"/>
  <c r="AF22" i="43"/>
  <c r="AF23" i="43"/>
  <c r="AF24" i="43"/>
  <c r="AF25" i="43"/>
  <c r="AF26" i="43"/>
  <c r="AF27" i="43"/>
  <c r="AF28" i="43"/>
  <c r="AF29" i="43"/>
  <c r="AF30" i="43"/>
  <c r="AF31" i="43"/>
  <c r="AF32" i="43"/>
  <c r="AF33" i="43"/>
  <c r="AF34" i="43"/>
  <c r="AF35" i="43"/>
  <c r="AF36" i="43"/>
  <c r="AF37" i="43"/>
  <c r="AF38" i="43"/>
  <c r="AF39" i="43"/>
  <c r="AF40" i="43"/>
  <c r="AF10" i="43"/>
  <c r="AE11" i="43"/>
  <c r="AE12" i="43"/>
  <c r="AE13" i="43"/>
  <c r="AE14" i="43"/>
  <c r="AE15" i="43"/>
  <c r="AE16" i="43"/>
  <c r="AE17" i="43"/>
  <c r="AE18" i="43"/>
  <c r="AE19" i="43"/>
  <c r="AE20" i="43"/>
  <c r="AE21" i="43"/>
  <c r="AE22" i="43"/>
  <c r="AE23" i="43"/>
  <c r="AE24" i="43"/>
  <c r="AE25" i="43"/>
  <c r="AE26" i="43"/>
  <c r="AE27" i="43"/>
  <c r="AE28" i="43"/>
  <c r="AE29" i="43"/>
  <c r="AE30" i="43"/>
  <c r="AE31" i="43"/>
  <c r="AE32" i="43"/>
  <c r="AE33" i="43"/>
  <c r="AE34" i="43"/>
  <c r="AE35" i="43"/>
  <c r="AE36" i="43"/>
  <c r="AE37" i="43"/>
  <c r="AE38" i="43"/>
  <c r="AE39" i="43"/>
  <c r="AE40" i="43"/>
  <c r="AE10" i="43"/>
  <c r="AH41" i="43"/>
  <c r="U41" i="43"/>
  <c r="V41" i="43"/>
  <c r="BA32" i="40"/>
  <c r="BA33" i="40"/>
  <c r="BA31" i="40"/>
  <c r="BA8" i="40"/>
  <c r="BA9" i="40"/>
  <c r="BA10" i="40"/>
  <c r="BA11" i="40"/>
  <c r="BA12" i="40"/>
  <c r="BA13" i="40"/>
  <c r="BA14" i="40"/>
  <c r="BA15" i="40"/>
  <c r="BA16" i="40"/>
  <c r="BA17" i="40"/>
  <c r="BA18" i="40"/>
  <c r="BA19" i="40"/>
  <c r="BA20" i="40"/>
  <c r="BA21" i="40"/>
  <c r="BA22" i="40"/>
  <c r="BA23" i="40"/>
  <c r="BA24" i="40"/>
  <c r="BA25" i="40"/>
  <c r="BA26" i="40"/>
  <c r="BA27" i="40"/>
  <c r="BA28" i="40"/>
  <c r="BA29" i="40"/>
  <c r="BA7" i="40"/>
  <c r="AZ32" i="40"/>
  <c r="AZ33" i="40"/>
  <c r="AZ31" i="40"/>
  <c r="AZ8" i="40"/>
  <c r="AZ9" i="40"/>
  <c r="AZ10" i="40"/>
  <c r="AZ11" i="40"/>
  <c r="AZ12" i="40"/>
  <c r="AZ13" i="40"/>
  <c r="AZ14" i="40"/>
  <c r="AZ15" i="40"/>
  <c r="AZ16" i="40"/>
  <c r="AZ17" i="40"/>
  <c r="AZ18" i="40"/>
  <c r="AZ19" i="40"/>
  <c r="AZ20" i="40"/>
  <c r="AZ21" i="40"/>
  <c r="AZ22" i="40"/>
  <c r="AZ23" i="40"/>
  <c r="AZ24" i="40"/>
  <c r="AZ25" i="40"/>
  <c r="AZ26" i="40"/>
  <c r="AZ27" i="40"/>
  <c r="AZ28" i="40"/>
  <c r="AZ29" i="40"/>
  <c r="AZ7" i="40"/>
  <c r="AI32" i="40"/>
  <c r="AI33" i="40"/>
  <c r="AI31" i="40"/>
  <c r="AI8" i="40"/>
  <c r="AI9" i="40"/>
  <c r="AI10" i="40"/>
  <c r="AI11" i="40"/>
  <c r="AI12" i="40"/>
  <c r="AI13" i="40"/>
  <c r="AI14" i="40"/>
  <c r="AI15" i="40"/>
  <c r="AI16" i="40"/>
  <c r="AI17" i="40"/>
  <c r="AI18" i="40"/>
  <c r="AI19" i="40"/>
  <c r="AI20" i="40"/>
  <c r="AI21" i="40"/>
  <c r="AI22" i="40"/>
  <c r="AI23" i="40"/>
  <c r="AI24" i="40"/>
  <c r="AI25" i="40"/>
  <c r="AI26" i="40"/>
  <c r="AI27" i="40"/>
  <c r="AI28" i="40"/>
  <c r="AI29" i="40"/>
  <c r="AI7" i="40"/>
  <c r="AH32" i="40"/>
  <c r="AH33" i="40"/>
  <c r="AH31" i="40"/>
  <c r="AH8" i="40"/>
  <c r="AH9" i="40"/>
  <c r="AH10" i="40"/>
  <c r="AH11" i="40"/>
  <c r="AH12" i="40"/>
  <c r="AH13" i="40"/>
  <c r="AH14" i="40"/>
  <c r="AH15" i="40"/>
  <c r="AH16" i="40"/>
  <c r="AH17" i="40"/>
  <c r="AH18" i="40"/>
  <c r="AH19" i="40"/>
  <c r="AH20" i="40"/>
  <c r="AH21" i="40"/>
  <c r="AH22" i="40"/>
  <c r="AH23" i="40"/>
  <c r="AH24" i="40"/>
  <c r="AH25" i="40"/>
  <c r="AH26" i="40"/>
  <c r="AH27" i="40"/>
  <c r="AH28" i="40"/>
  <c r="AH29" i="40"/>
  <c r="AH7" i="40"/>
  <c r="AG32" i="40"/>
  <c r="AG33" i="40"/>
  <c r="AG31" i="40"/>
  <c r="AG8" i="40"/>
  <c r="AG9" i="40"/>
  <c r="AG10" i="40"/>
  <c r="AG11" i="40"/>
  <c r="AG12" i="40"/>
  <c r="AG13" i="40"/>
  <c r="AG14" i="40"/>
  <c r="AG15" i="40"/>
  <c r="AG16" i="40"/>
  <c r="AG17" i="40"/>
  <c r="AG18" i="40"/>
  <c r="AG19" i="40"/>
  <c r="AG20" i="40"/>
  <c r="AG21" i="40"/>
  <c r="AG22" i="40"/>
  <c r="AG23" i="40"/>
  <c r="AG24" i="40"/>
  <c r="AG25" i="40"/>
  <c r="AG26" i="40"/>
  <c r="AG27" i="40"/>
  <c r="AG28" i="40"/>
  <c r="AG29" i="40"/>
  <c r="AG7" i="40"/>
  <c r="AE32" i="40"/>
  <c r="AE33" i="40"/>
  <c r="AE31" i="40"/>
  <c r="AE8" i="40"/>
  <c r="AE9" i="40"/>
  <c r="AE10" i="40"/>
  <c r="AE11" i="40"/>
  <c r="AE12" i="40"/>
  <c r="AE13" i="40"/>
  <c r="AE14" i="40"/>
  <c r="AE15" i="40"/>
  <c r="AE16" i="40"/>
  <c r="AE17" i="40"/>
  <c r="AE18" i="40"/>
  <c r="AE19" i="40"/>
  <c r="AE20" i="40"/>
  <c r="AE21" i="40"/>
  <c r="AE22" i="40"/>
  <c r="AE23" i="40"/>
  <c r="AE24" i="40"/>
  <c r="AE25" i="40"/>
  <c r="AE26" i="40"/>
  <c r="AE27" i="40"/>
  <c r="AE28" i="40"/>
  <c r="AE29" i="40"/>
  <c r="AE7" i="40"/>
  <c r="AD32" i="40"/>
  <c r="AD33" i="40"/>
  <c r="AD31" i="40"/>
  <c r="AD8" i="40"/>
  <c r="AD9" i="40"/>
  <c r="AD10" i="40"/>
  <c r="AD11" i="40"/>
  <c r="AD12" i="40"/>
  <c r="AD13" i="40"/>
  <c r="AD14" i="40"/>
  <c r="AD15" i="40"/>
  <c r="AD16" i="40"/>
  <c r="AD17" i="40"/>
  <c r="AD18" i="40"/>
  <c r="AD19" i="40"/>
  <c r="AD20" i="40"/>
  <c r="AD21" i="40"/>
  <c r="AD22" i="40"/>
  <c r="AD23" i="40"/>
  <c r="AD24" i="40"/>
  <c r="AD25" i="40"/>
  <c r="AD26" i="40"/>
  <c r="AD27" i="40"/>
  <c r="AD28" i="40"/>
  <c r="AD29" i="40"/>
  <c r="AD7" i="40"/>
  <c r="AC32" i="40"/>
  <c r="AC33" i="40"/>
  <c r="AC31" i="40"/>
  <c r="AC8" i="40"/>
  <c r="AC9" i="40"/>
  <c r="AC10" i="40"/>
  <c r="AC11" i="40"/>
  <c r="AC12" i="40"/>
  <c r="AC13" i="40"/>
  <c r="AC14" i="40"/>
  <c r="AC15" i="40"/>
  <c r="AC16" i="40"/>
  <c r="AC17" i="40"/>
  <c r="AC18" i="40"/>
  <c r="AC19" i="40"/>
  <c r="AC20" i="40"/>
  <c r="AC21" i="40"/>
  <c r="AC22" i="40"/>
  <c r="AC23" i="40"/>
  <c r="AC24" i="40"/>
  <c r="AC25" i="40"/>
  <c r="AC26" i="40"/>
  <c r="AC27" i="40"/>
  <c r="AC28" i="40"/>
  <c r="AC29" i="40"/>
  <c r="AC7" i="40"/>
  <c r="AA32" i="40"/>
  <c r="AA33" i="40"/>
  <c r="AA31" i="40"/>
  <c r="AA8" i="40"/>
  <c r="AA9" i="40"/>
  <c r="AA10" i="40"/>
  <c r="AA11" i="40"/>
  <c r="AA12" i="40"/>
  <c r="AA13" i="40"/>
  <c r="AA14" i="40"/>
  <c r="AA15" i="40"/>
  <c r="AA16" i="40"/>
  <c r="AA17" i="40"/>
  <c r="AA18" i="40"/>
  <c r="AL18" i="40" s="1"/>
  <c r="AA19" i="40"/>
  <c r="AA20" i="40"/>
  <c r="AA21" i="40"/>
  <c r="AA22" i="40"/>
  <c r="AA23" i="40"/>
  <c r="AA24" i="40"/>
  <c r="AA25" i="40"/>
  <c r="AA26" i="40"/>
  <c r="AA27" i="40"/>
  <c r="AA28" i="40"/>
  <c r="AA29" i="40"/>
  <c r="AA7" i="40"/>
  <c r="BF8" i="40"/>
  <c r="BF9" i="40"/>
  <c r="BF10" i="40"/>
  <c r="BF11" i="40"/>
  <c r="BF12" i="40"/>
  <c r="BF13" i="40"/>
  <c r="BF14" i="40"/>
  <c r="BF15" i="40"/>
  <c r="BF16" i="40"/>
  <c r="BF17" i="40"/>
  <c r="BF18" i="40"/>
  <c r="BF19" i="40"/>
  <c r="BF20" i="40"/>
  <c r="BF21" i="40"/>
  <c r="BF22" i="40"/>
  <c r="BF23" i="40"/>
  <c r="BF24" i="40"/>
  <c r="BF25" i="40"/>
  <c r="BF26" i="40"/>
  <c r="BF27" i="40"/>
  <c r="BF28" i="40"/>
  <c r="BF29" i="40"/>
  <c r="BF30" i="40"/>
  <c r="BF31" i="40"/>
  <c r="BF32" i="40"/>
  <c r="BF33" i="40"/>
  <c r="BF7" i="40"/>
  <c r="U34" i="40"/>
  <c r="V34" i="40"/>
  <c r="X8" i="40"/>
  <c r="X9" i="40"/>
  <c r="X10" i="40"/>
  <c r="X11" i="40"/>
  <c r="X12" i="40"/>
  <c r="X13" i="40"/>
  <c r="X14" i="40"/>
  <c r="X15" i="40"/>
  <c r="X16" i="40"/>
  <c r="X17" i="40"/>
  <c r="X18" i="40"/>
  <c r="X19" i="40"/>
  <c r="X20" i="40"/>
  <c r="X21" i="40"/>
  <c r="X22" i="40"/>
  <c r="X23" i="40"/>
  <c r="X24" i="40"/>
  <c r="X25" i="40"/>
  <c r="X26" i="40"/>
  <c r="BE26" i="40" s="1"/>
  <c r="X27" i="40"/>
  <c r="X28" i="40"/>
  <c r="X29" i="40"/>
  <c r="X30" i="40"/>
  <c r="BC30" i="40" s="1"/>
  <c r="X31" i="40"/>
  <c r="X32" i="40"/>
  <c r="X33" i="40"/>
  <c r="X7" i="40"/>
  <c r="W8" i="40"/>
  <c r="W9" i="40"/>
  <c r="W10" i="40"/>
  <c r="W11" i="40"/>
  <c r="BC11" i="40" s="1"/>
  <c r="W12" i="40"/>
  <c r="W13" i="40"/>
  <c r="W14" i="40"/>
  <c r="W15" i="40"/>
  <c r="W16" i="40"/>
  <c r="W17" i="40"/>
  <c r="W18" i="40"/>
  <c r="W19" i="40"/>
  <c r="BC19" i="40" s="1"/>
  <c r="W20" i="40"/>
  <c r="W21" i="40"/>
  <c r="W22" i="40"/>
  <c r="W23" i="40"/>
  <c r="W24" i="40"/>
  <c r="W25" i="40"/>
  <c r="W26" i="40"/>
  <c r="W27" i="40"/>
  <c r="W28" i="40"/>
  <c r="W29" i="40"/>
  <c r="W30" i="40"/>
  <c r="W31" i="40"/>
  <c r="W32" i="40"/>
  <c r="W33" i="40"/>
  <c r="W7" i="40"/>
  <c r="BE10" i="40"/>
  <c r="BE18" i="40"/>
  <c r="BE21" i="40"/>
  <c r="BE30" i="40"/>
  <c r="BC10" i="40"/>
  <c r="BC14" i="40"/>
  <c r="BC18" i="40"/>
  <c r="BC27" i="40"/>
  <c r="AT27" i="40"/>
  <c r="AT28" i="40"/>
  <c r="AT29" i="40"/>
  <c r="AT26" i="40"/>
  <c r="AT24" i="40"/>
  <c r="AT17" i="40"/>
  <c r="AT13" i="40"/>
  <c r="AT12" i="40"/>
  <c r="AV27" i="40"/>
  <c r="AW27" i="40" s="1"/>
  <c r="AV28" i="40"/>
  <c r="AV29" i="40"/>
  <c r="AW29" i="40" s="1"/>
  <c r="AV26" i="40"/>
  <c r="AW26" i="40" s="1"/>
  <c r="AV24" i="40"/>
  <c r="AV17" i="40"/>
  <c r="AW17" i="40" s="1"/>
  <c r="AV13" i="40"/>
  <c r="AW13" i="40" s="1"/>
  <c r="AV12" i="40"/>
  <c r="AW12" i="40" s="1"/>
  <c r="AW28" i="40"/>
  <c r="AX28" i="40" s="1"/>
  <c r="AW24" i="40"/>
  <c r="AX8" i="40"/>
  <c r="AX9" i="40"/>
  <c r="AX10" i="40"/>
  <c r="AX11" i="40"/>
  <c r="AX14" i="40"/>
  <c r="AX15" i="40"/>
  <c r="AX16" i="40"/>
  <c r="AX18" i="40"/>
  <c r="AX19" i="40"/>
  <c r="AX20" i="40"/>
  <c r="AX21" i="40"/>
  <c r="AX22" i="40"/>
  <c r="AX23" i="40"/>
  <c r="AX25" i="40"/>
  <c r="AX30" i="40"/>
  <c r="AX31" i="40"/>
  <c r="AX32" i="40"/>
  <c r="AX33" i="40"/>
  <c r="AX7" i="40"/>
  <c r="AS8" i="40"/>
  <c r="AS9" i="40"/>
  <c r="AS10" i="40"/>
  <c r="AS11" i="40"/>
  <c r="AS12" i="40"/>
  <c r="AS13" i="40"/>
  <c r="AS14" i="40"/>
  <c r="AS15" i="40"/>
  <c r="AS16" i="40"/>
  <c r="AS17" i="40"/>
  <c r="AS18" i="40"/>
  <c r="AS19" i="40"/>
  <c r="AS20" i="40"/>
  <c r="AS21" i="40"/>
  <c r="AS22" i="40"/>
  <c r="AS23" i="40"/>
  <c r="AS24" i="40"/>
  <c r="AS25" i="40"/>
  <c r="AS26" i="40"/>
  <c r="AS27" i="40"/>
  <c r="AS28" i="40"/>
  <c r="AS29" i="40"/>
  <c r="AS30" i="40"/>
  <c r="AS31" i="40"/>
  <c r="AS32" i="40"/>
  <c r="AS33" i="40"/>
  <c r="AS7" i="40"/>
  <c r="AL22" i="40"/>
  <c r="Y22" i="40" s="1"/>
  <c r="BD22" i="40" s="1"/>
  <c r="AL30" i="40"/>
  <c r="Y30" i="40" s="1"/>
  <c r="BD30" i="40" s="1"/>
  <c r="AJ20" i="40"/>
  <c r="AJ21" i="40"/>
  <c r="AK21" i="40" s="1"/>
  <c r="AJ22" i="40"/>
  <c r="AJ23" i="40"/>
  <c r="AJ24" i="40"/>
  <c r="AK24" i="40" s="1"/>
  <c r="AJ25" i="40"/>
  <c r="AK25" i="40" s="1"/>
  <c r="AJ26" i="40"/>
  <c r="AJ27" i="40"/>
  <c r="AJ28" i="40"/>
  <c r="AJ29" i="40"/>
  <c r="AJ19" i="40"/>
  <c r="AJ8" i="40"/>
  <c r="AJ9" i="40"/>
  <c r="AJ10" i="40"/>
  <c r="AJ11" i="40"/>
  <c r="AJ12" i="40"/>
  <c r="AK12" i="40" s="1"/>
  <c r="AJ13" i="40"/>
  <c r="AK13" i="40" s="1"/>
  <c r="AJ14" i="40"/>
  <c r="AK14" i="40" s="1"/>
  <c r="AJ15" i="40"/>
  <c r="AJ16" i="40"/>
  <c r="AJ17" i="40"/>
  <c r="AK17" i="40" s="1"/>
  <c r="AJ7" i="40"/>
  <c r="AK7" i="40" s="1"/>
  <c r="AK20" i="40"/>
  <c r="AK22" i="40"/>
  <c r="AK23" i="40"/>
  <c r="AK26" i="40"/>
  <c r="AL26" i="40" s="1"/>
  <c r="AK27" i="40"/>
  <c r="AK28" i="40"/>
  <c r="AK29" i="40"/>
  <c r="AK19" i="40"/>
  <c r="AK8" i="40"/>
  <c r="AK9" i="40"/>
  <c r="AK10" i="40"/>
  <c r="AL10" i="40" s="1"/>
  <c r="Y10" i="40" s="1"/>
  <c r="BD10" i="40" s="1"/>
  <c r="AK11" i="40"/>
  <c r="AK15" i="40"/>
  <c r="AK16" i="40"/>
  <c r="BF8" i="39"/>
  <c r="BF9" i="39"/>
  <c r="BF10" i="39"/>
  <c r="BF11" i="39"/>
  <c r="BF12" i="39"/>
  <c r="BF13" i="39"/>
  <c r="BF14" i="39"/>
  <c r="BF7" i="39"/>
  <c r="BE8" i="39"/>
  <c r="BE9" i="39"/>
  <c r="BE10" i="39"/>
  <c r="BE11" i="39"/>
  <c r="BE12" i="39"/>
  <c r="BE13" i="39"/>
  <c r="BE14" i="39"/>
  <c r="BE7" i="39"/>
  <c r="BD8" i="39"/>
  <c r="BD9" i="39"/>
  <c r="BD10" i="39"/>
  <c r="BD11" i="39"/>
  <c r="BD12" i="39"/>
  <c r="BD13" i="39"/>
  <c r="BD7" i="39"/>
  <c r="AY28" i="40"/>
  <c r="AY29" i="40"/>
  <c r="AY27" i="40"/>
  <c r="AY17" i="40"/>
  <c r="H46" i="40"/>
  <c r="AF34" i="40"/>
  <c r="AM34" i="40"/>
  <c r="Z34" i="40"/>
  <c r="AB34" i="40"/>
  <c r="AN34" i="40"/>
  <c r="AO34" i="40"/>
  <c r="AP34" i="40"/>
  <c r="AQ34" i="40"/>
  <c r="AR34" i="40"/>
  <c r="AT22" i="47"/>
  <c r="AU22" i="47" s="1"/>
  <c r="AT23" i="47"/>
  <c r="AT24" i="47"/>
  <c r="AT25" i="47"/>
  <c r="AT26" i="47"/>
  <c r="AU26" i="47" s="1"/>
  <c r="AT21" i="47"/>
  <c r="AU21" i="47" s="1"/>
  <c r="AT15" i="47"/>
  <c r="AU15" i="47" s="1"/>
  <c r="AR22" i="47"/>
  <c r="AR23" i="47"/>
  <c r="AR24" i="47"/>
  <c r="AR25" i="47"/>
  <c r="AR26" i="47"/>
  <c r="AR21" i="47"/>
  <c r="AR15" i="47"/>
  <c r="I41" i="47"/>
  <c r="J41" i="47"/>
  <c r="K41" i="47"/>
  <c r="L41" i="47"/>
  <c r="M41" i="47"/>
  <c r="N41" i="47"/>
  <c r="O41" i="47"/>
  <c r="P41" i="47"/>
  <c r="Q41" i="47"/>
  <c r="R41" i="47"/>
  <c r="S41" i="47"/>
  <c r="T41" i="47"/>
  <c r="U41" i="47"/>
  <c r="V41" i="47"/>
  <c r="Z41" i="47"/>
  <c r="AB41" i="47"/>
  <c r="AD41" i="47"/>
  <c r="AK41" i="47"/>
  <c r="AL41" i="47"/>
  <c r="AM41" i="47"/>
  <c r="AN41" i="47"/>
  <c r="AO41" i="47"/>
  <c r="AP41" i="47"/>
  <c r="AV9" i="47"/>
  <c r="AV13" i="47"/>
  <c r="AV14" i="47"/>
  <c r="AV16" i="47"/>
  <c r="AV17" i="47"/>
  <c r="AV20" i="47"/>
  <c r="AV29" i="47"/>
  <c r="AV30" i="47"/>
  <c r="AV33" i="47"/>
  <c r="AV34" i="47"/>
  <c r="AV37" i="47"/>
  <c r="AV38" i="47"/>
  <c r="BD10" i="47"/>
  <c r="BD11" i="47"/>
  <c r="BD12" i="47"/>
  <c r="BD13" i="47"/>
  <c r="BD14" i="47"/>
  <c r="BD15" i="47"/>
  <c r="BD16" i="47"/>
  <c r="BD17" i="47"/>
  <c r="BD18" i="47"/>
  <c r="BD19" i="47"/>
  <c r="BD20" i="47"/>
  <c r="BD21" i="47"/>
  <c r="BD22" i="47"/>
  <c r="BD23" i="47"/>
  <c r="BD24" i="47"/>
  <c r="BD25" i="47"/>
  <c r="BD26" i="47"/>
  <c r="BD27" i="47"/>
  <c r="BD28" i="47"/>
  <c r="BD29" i="47"/>
  <c r="BD30" i="47"/>
  <c r="BD31" i="47"/>
  <c r="BD32" i="47"/>
  <c r="BD33" i="47"/>
  <c r="BD34" i="47"/>
  <c r="BD35" i="47"/>
  <c r="BD36" i="47"/>
  <c r="BD37" i="47"/>
  <c r="BD38" i="47"/>
  <c r="BD39" i="47"/>
  <c r="BD40" i="47"/>
  <c r="BD9" i="47"/>
  <c r="AY10" i="47"/>
  <c r="AY11" i="47"/>
  <c r="AY12" i="47"/>
  <c r="AY13" i="47"/>
  <c r="AY14" i="47"/>
  <c r="AY15" i="47"/>
  <c r="AY16" i="47"/>
  <c r="AY17" i="47"/>
  <c r="AY18" i="47"/>
  <c r="AY19" i="47"/>
  <c r="AY20" i="47"/>
  <c r="AY21" i="47"/>
  <c r="AY22" i="47"/>
  <c r="AY23" i="47"/>
  <c r="AY24" i="47"/>
  <c r="AY25" i="47"/>
  <c r="AY26" i="47"/>
  <c r="AY27" i="47"/>
  <c r="AY28" i="47"/>
  <c r="AY29" i="47"/>
  <c r="AY30" i="47"/>
  <c r="AY31" i="47"/>
  <c r="AY32" i="47"/>
  <c r="AY33" i="47"/>
  <c r="AY34" i="47"/>
  <c r="AY35" i="47"/>
  <c r="AY36" i="47"/>
  <c r="AY37" i="47"/>
  <c r="AY38" i="47"/>
  <c r="AY39" i="47"/>
  <c r="AY40" i="47"/>
  <c r="AY9" i="47"/>
  <c r="AX10" i="47"/>
  <c r="AX11" i="47"/>
  <c r="AX12" i="47"/>
  <c r="AX13" i="47"/>
  <c r="AX14" i="47"/>
  <c r="AX15" i="47"/>
  <c r="AX16" i="47"/>
  <c r="AX17" i="47"/>
  <c r="AX18" i="47"/>
  <c r="AX19" i="47"/>
  <c r="AX20" i="47"/>
  <c r="AX21" i="47"/>
  <c r="AX22" i="47"/>
  <c r="AX23" i="47"/>
  <c r="AX24" i="47"/>
  <c r="AX25" i="47"/>
  <c r="AX26" i="47"/>
  <c r="AX27" i="47"/>
  <c r="AX28" i="47"/>
  <c r="AX29" i="47"/>
  <c r="AX30" i="47"/>
  <c r="AX31" i="47"/>
  <c r="AX32" i="47"/>
  <c r="AX33" i="47"/>
  <c r="AX34" i="47"/>
  <c r="AX35" i="47"/>
  <c r="AX36" i="47"/>
  <c r="AX37" i="47"/>
  <c r="AX38" i="47"/>
  <c r="AX39" i="47"/>
  <c r="AX40" i="47"/>
  <c r="AX9" i="47"/>
  <c r="AW23" i="47"/>
  <c r="AW24" i="47"/>
  <c r="AW25" i="47"/>
  <c r="AW22" i="47"/>
  <c r="AW15" i="47"/>
  <c r="H55" i="47"/>
  <c r="AU23" i="47"/>
  <c r="AU24" i="47"/>
  <c r="AU25" i="47"/>
  <c r="AV10" i="47"/>
  <c r="AV11" i="47"/>
  <c r="AV12" i="47"/>
  <c r="AV18" i="47"/>
  <c r="AV19" i="47"/>
  <c r="AV27" i="47"/>
  <c r="AV28" i="47"/>
  <c r="AV31" i="47"/>
  <c r="AV32" i="47"/>
  <c r="AV35" i="47"/>
  <c r="AV36" i="47"/>
  <c r="AV39" i="47"/>
  <c r="AV40" i="47"/>
  <c r="BC8" i="39"/>
  <c r="BC9" i="39"/>
  <c r="BC10" i="39"/>
  <c r="BC11" i="39"/>
  <c r="BC12" i="39"/>
  <c r="BC13" i="39"/>
  <c r="BC7" i="39"/>
  <c r="AW15" i="39"/>
  <c r="AX8" i="39"/>
  <c r="BQ8" i="39" s="1"/>
  <c r="AX9" i="39"/>
  <c r="BQ9" i="39" s="1"/>
  <c r="AX10" i="39"/>
  <c r="BQ10" i="39" s="1"/>
  <c r="AX11" i="39"/>
  <c r="BQ11" i="39" s="1"/>
  <c r="AX12" i="39"/>
  <c r="BQ12" i="39" s="1"/>
  <c r="AX13" i="39"/>
  <c r="BQ13" i="39" s="1"/>
  <c r="AX14" i="39"/>
  <c r="BQ14" i="39" s="1"/>
  <c r="AX7" i="39"/>
  <c r="BQ7" i="39" s="1"/>
  <c r="BQ15" i="39" s="1"/>
  <c r="AQ10" i="47"/>
  <c r="AQ11" i="47"/>
  <c r="AQ12" i="47"/>
  <c r="AQ13" i="47"/>
  <c r="AQ14" i="47"/>
  <c r="AQ15" i="47"/>
  <c r="AQ16" i="47"/>
  <c r="AQ17" i="47"/>
  <c r="AQ18" i="47"/>
  <c r="AQ19" i="47"/>
  <c r="AQ20" i="47"/>
  <c r="AQ21" i="47"/>
  <c r="AQ22" i="47"/>
  <c r="AQ23" i="47"/>
  <c r="AQ24" i="47"/>
  <c r="AQ25" i="47"/>
  <c r="AQ26" i="47"/>
  <c r="AQ27" i="47"/>
  <c r="AQ28" i="47"/>
  <c r="AQ29" i="47"/>
  <c r="AQ30" i="47"/>
  <c r="AQ31" i="47"/>
  <c r="AQ32" i="47"/>
  <c r="AQ33" i="47"/>
  <c r="AQ34" i="47"/>
  <c r="AQ35" i="47"/>
  <c r="AQ36" i="47"/>
  <c r="AQ37" i="47"/>
  <c r="AQ38" i="47"/>
  <c r="AQ39" i="47"/>
  <c r="AQ40" i="47"/>
  <c r="AQ9" i="47"/>
  <c r="AQ41" i="47" s="1"/>
  <c r="AG10" i="47"/>
  <c r="AG11" i="47"/>
  <c r="AG12" i="47"/>
  <c r="AG13" i="47"/>
  <c r="AG14" i="47"/>
  <c r="AG15" i="47"/>
  <c r="AG16" i="47"/>
  <c r="AG17" i="47"/>
  <c r="AG18" i="47"/>
  <c r="AG19" i="47"/>
  <c r="AG20" i="47"/>
  <c r="AG21" i="47"/>
  <c r="AG22" i="47"/>
  <c r="AG23" i="47"/>
  <c r="AG24" i="47"/>
  <c r="AG25" i="47"/>
  <c r="AG26" i="47"/>
  <c r="AG27" i="47"/>
  <c r="AG28" i="47"/>
  <c r="AG29" i="47"/>
  <c r="AG30" i="47"/>
  <c r="AG31" i="47"/>
  <c r="AG32" i="47"/>
  <c r="AG33" i="47"/>
  <c r="AG34" i="47"/>
  <c r="AG35" i="47"/>
  <c r="AG36" i="47"/>
  <c r="AG37" i="47"/>
  <c r="AG38" i="47"/>
  <c r="AG39" i="47"/>
  <c r="AG40" i="47"/>
  <c r="AG9" i="47"/>
  <c r="AG41" i="47" s="1"/>
  <c r="AH40" i="47"/>
  <c r="AI40" i="47" s="1"/>
  <c r="AH39" i="47"/>
  <c r="AI39" i="47" s="1"/>
  <c r="AH35" i="47"/>
  <c r="AI35" i="47" s="1"/>
  <c r="AH34" i="47"/>
  <c r="AI34" i="47" s="1"/>
  <c r="AH32" i="47"/>
  <c r="AI32" i="47" s="1"/>
  <c r="AH31" i="47"/>
  <c r="AI31" i="47" s="1"/>
  <c r="AH16" i="47"/>
  <c r="AI16" i="47" s="1"/>
  <c r="AH17" i="47"/>
  <c r="AI17" i="47" s="1"/>
  <c r="AH18" i="47"/>
  <c r="AI18" i="47" s="1"/>
  <c r="AH19" i="47"/>
  <c r="AI19" i="47" s="1"/>
  <c r="AH20" i="47"/>
  <c r="AI20" i="47" s="1"/>
  <c r="AH21" i="47"/>
  <c r="AI21" i="47" s="1"/>
  <c r="AH22" i="47"/>
  <c r="AI22" i="47" s="1"/>
  <c r="AH23" i="47"/>
  <c r="AI23" i="47" s="1"/>
  <c r="AH24" i="47"/>
  <c r="AI24" i="47" s="1"/>
  <c r="AH25" i="47"/>
  <c r="AI25" i="47" s="1"/>
  <c r="AH26" i="47"/>
  <c r="AI26" i="47" s="1"/>
  <c r="AH15" i="47"/>
  <c r="AI15" i="47" s="1"/>
  <c r="AH11" i="47"/>
  <c r="AI11" i="47" s="1"/>
  <c r="AH12" i="47"/>
  <c r="AI12" i="47" s="1"/>
  <c r="AH13" i="47"/>
  <c r="AI13" i="47" s="1"/>
  <c r="AH10" i="47"/>
  <c r="AI10" i="47" s="1"/>
  <c r="AI41" i="47" s="1"/>
  <c r="BO8" i="39"/>
  <c r="BO9" i="39"/>
  <c r="BO10" i="39"/>
  <c r="BO11" i="39"/>
  <c r="BO12" i="39"/>
  <c r="BO13" i="39"/>
  <c r="BO14" i="39"/>
  <c r="BO7" i="39"/>
  <c r="BO15" i="39" s="1"/>
  <c r="G52" i="39"/>
  <c r="AN8" i="39"/>
  <c r="AO8" i="39" s="1"/>
  <c r="AN9" i="39"/>
  <c r="AO9" i="39" s="1"/>
  <c r="AN10" i="39"/>
  <c r="AO10" i="39" s="1"/>
  <c r="AN11" i="39"/>
  <c r="AO11" i="39" s="1"/>
  <c r="AN12" i="39"/>
  <c r="AO12" i="39" s="1"/>
  <c r="AN13" i="39"/>
  <c r="AO13" i="39" s="1"/>
  <c r="AN14" i="39"/>
  <c r="AO14" i="39" s="1"/>
  <c r="AN7" i="39"/>
  <c r="AO7" i="39" s="1"/>
  <c r="BH8" i="39"/>
  <c r="BH9" i="39"/>
  <c r="BH10" i="39"/>
  <c r="BH11" i="39"/>
  <c r="BH12" i="39"/>
  <c r="BH13" i="39"/>
  <c r="BH7" i="39"/>
  <c r="BG14" i="39"/>
  <c r="BI14" i="39" s="1"/>
  <c r="BG13" i="39"/>
  <c r="BG8" i="39"/>
  <c r="BG9" i="39"/>
  <c r="BG10" i="39"/>
  <c r="BG11" i="39"/>
  <c r="BG12" i="39"/>
  <c r="BG7" i="39"/>
  <c r="BI7" i="39" s="1"/>
  <c r="I15" i="39"/>
  <c r="J15" i="39"/>
  <c r="K15" i="39"/>
  <c r="L15" i="39"/>
  <c r="M15" i="39"/>
  <c r="N15" i="39"/>
  <c r="O15" i="39"/>
  <c r="P15" i="39"/>
  <c r="Q15" i="39"/>
  <c r="R15" i="39"/>
  <c r="S15" i="39"/>
  <c r="T15" i="39"/>
  <c r="U15" i="39"/>
  <c r="V15" i="39"/>
  <c r="Z15" i="39"/>
  <c r="AB15" i="39"/>
  <c r="AC15" i="39"/>
  <c r="AD15" i="39"/>
  <c r="AG15" i="39"/>
  <c r="AJ15" i="39"/>
  <c r="AM15" i="39"/>
  <c r="AT15" i="39"/>
  <c r="AU15" i="39"/>
  <c r="AV15" i="39"/>
  <c r="AY15" i="39"/>
  <c r="G9" i="50"/>
  <c r="G13" i="50"/>
  <c r="G17" i="50"/>
  <c r="G5" i="50"/>
  <c r="F5" i="50"/>
  <c r="D6" i="50"/>
  <c r="G6" i="50" s="1"/>
  <c r="D7" i="50"/>
  <c r="D8" i="50"/>
  <c r="G8" i="50" s="1"/>
  <c r="D9" i="50"/>
  <c r="D10" i="50"/>
  <c r="G10" i="50" s="1"/>
  <c r="D11" i="50"/>
  <c r="D12" i="50"/>
  <c r="G12" i="50" s="1"/>
  <c r="D13" i="50"/>
  <c r="D14" i="50"/>
  <c r="G14" i="50" s="1"/>
  <c r="D15" i="50"/>
  <c r="D16" i="50"/>
  <c r="G16" i="50" s="1"/>
  <c r="D17" i="50"/>
  <c r="D5" i="50"/>
  <c r="F6" i="50"/>
  <c r="F7" i="50"/>
  <c r="G7" i="50" s="1"/>
  <c r="F8" i="50"/>
  <c r="F9" i="50"/>
  <c r="F10" i="50"/>
  <c r="F11" i="50"/>
  <c r="G11" i="50" s="1"/>
  <c r="F12" i="50"/>
  <c r="F13" i="50"/>
  <c r="F14" i="50"/>
  <c r="F15" i="50"/>
  <c r="G15" i="50" s="1"/>
  <c r="F16" i="50"/>
  <c r="F17" i="50"/>
  <c r="E18" i="50"/>
  <c r="F18" i="50" s="1"/>
  <c r="C18" i="50"/>
  <c r="D18" i="50" s="1"/>
  <c r="AQ8" i="39"/>
  <c r="AQ9" i="39"/>
  <c r="AQ10" i="39"/>
  <c r="AQ11" i="39"/>
  <c r="AQ12" i="39"/>
  <c r="AQ13" i="39"/>
  <c r="AQ14" i="39"/>
  <c r="AR14" i="39" s="1"/>
  <c r="AQ7" i="39"/>
  <c r="AP8" i="39"/>
  <c r="AR8" i="39" s="1"/>
  <c r="AP9" i="39"/>
  <c r="AR9" i="39" s="1"/>
  <c r="AP10" i="39"/>
  <c r="AR10" i="39" s="1"/>
  <c r="AP11" i="39"/>
  <c r="AR11" i="39" s="1"/>
  <c r="AP12" i="39"/>
  <c r="AR12" i="39" s="1"/>
  <c r="AP13" i="39"/>
  <c r="AR13" i="39" s="1"/>
  <c r="AP7" i="39"/>
  <c r="AS41" i="47"/>
  <c r="AF10" i="47"/>
  <c r="AF11" i="47"/>
  <c r="AF12" i="47"/>
  <c r="AF13" i="47"/>
  <c r="AF14" i="47"/>
  <c r="AF15" i="47"/>
  <c r="AF16" i="47"/>
  <c r="AF17" i="47"/>
  <c r="AF18" i="47"/>
  <c r="AF19" i="47"/>
  <c r="AF20" i="47"/>
  <c r="AF21" i="47"/>
  <c r="AF22" i="47"/>
  <c r="AF23" i="47"/>
  <c r="AF24" i="47"/>
  <c r="AF25" i="47"/>
  <c r="AF26" i="47"/>
  <c r="AF27" i="47"/>
  <c r="AF28" i="47"/>
  <c r="AF29" i="47"/>
  <c r="AF30" i="47"/>
  <c r="AF31" i="47"/>
  <c r="AF32" i="47"/>
  <c r="AF33" i="47"/>
  <c r="AF34" i="47"/>
  <c r="AF35" i="47"/>
  <c r="AF36" i="47"/>
  <c r="AF37" i="47"/>
  <c r="AF38" i="47"/>
  <c r="AF39" i="47"/>
  <c r="AF40" i="47"/>
  <c r="AF9" i="47"/>
  <c r="AF41" i="47" s="1"/>
  <c r="AE10" i="47"/>
  <c r="AE11" i="47"/>
  <c r="AE12" i="47"/>
  <c r="AE13" i="47"/>
  <c r="AE14" i="47"/>
  <c r="AE15" i="47"/>
  <c r="AE16" i="47"/>
  <c r="AE17" i="47"/>
  <c r="AE18" i="47"/>
  <c r="AE19" i="47"/>
  <c r="AE20" i="47"/>
  <c r="AE21" i="47"/>
  <c r="AE22" i="47"/>
  <c r="AE23" i="47"/>
  <c r="AE24" i="47"/>
  <c r="AE25" i="47"/>
  <c r="AE26" i="47"/>
  <c r="AE27" i="47"/>
  <c r="AE28" i="47"/>
  <c r="AE29" i="47"/>
  <c r="AE30" i="47"/>
  <c r="AE31" i="47"/>
  <c r="AE32" i="47"/>
  <c r="AE33" i="47"/>
  <c r="AE34" i="47"/>
  <c r="AE35" i="47"/>
  <c r="AE36" i="47"/>
  <c r="AE37" i="47"/>
  <c r="AE38" i="47"/>
  <c r="AE39" i="47"/>
  <c r="AE40" i="47"/>
  <c r="AE9" i="47"/>
  <c r="AE41" i="47" s="1"/>
  <c r="AA10" i="47"/>
  <c r="AA11" i="47"/>
  <c r="AA12" i="47"/>
  <c r="AA13" i="47"/>
  <c r="AA14" i="47"/>
  <c r="AA15" i="47"/>
  <c r="AA16" i="47"/>
  <c r="AA17" i="47"/>
  <c r="AA18" i="47"/>
  <c r="AA19" i="47"/>
  <c r="AA20" i="47"/>
  <c r="AA21" i="47"/>
  <c r="AA22" i="47"/>
  <c r="AA23" i="47"/>
  <c r="AA24" i="47"/>
  <c r="AA25" i="47"/>
  <c r="AA26" i="47"/>
  <c r="AA27" i="47"/>
  <c r="AA28" i="47"/>
  <c r="AA29" i="47"/>
  <c r="AA30" i="47"/>
  <c r="AA31" i="47"/>
  <c r="AA32" i="47"/>
  <c r="AA33" i="47"/>
  <c r="AA34" i="47"/>
  <c r="AA35" i="47"/>
  <c r="AA36" i="47"/>
  <c r="AA37" i="47"/>
  <c r="AA38" i="47"/>
  <c r="AA39" i="47"/>
  <c r="AA40" i="47"/>
  <c r="AA9" i="47"/>
  <c r="AA41" i="47" s="1"/>
  <c r="X10" i="47"/>
  <c r="X11" i="47"/>
  <c r="X12" i="47"/>
  <c r="BA12" i="47" s="1"/>
  <c r="X13" i="47"/>
  <c r="BA13" i="47" s="1"/>
  <c r="X14" i="47"/>
  <c r="X15" i="47"/>
  <c r="X16" i="47"/>
  <c r="BA16" i="47" s="1"/>
  <c r="X17" i="47"/>
  <c r="BA17" i="47" s="1"/>
  <c r="X18" i="47"/>
  <c r="X19" i="47"/>
  <c r="X20" i="47"/>
  <c r="BA20" i="47" s="1"/>
  <c r="X21" i="47"/>
  <c r="BA21" i="47" s="1"/>
  <c r="X22" i="47"/>
  <c r="X23" i="47"/>
  <c r="X24" i="47"/>
  <c r="BA24" i="47" s="1"/>
  <c r="X25" i="47"/>
  <c r="BA25" i="47" s="1"/>
  <c r="X26" i="47"/>
  <c r="X27" i="47"/>
  <c r="X28" i="47"/>
  <c r="BA28" i="47" s="1"/>
  <c r="X29" i="47"/>
  <c r="BA29" i="47" s="1"/>
  <c r="X30" i="47"/>
  <c r="X31" i="47"/>
  <c r="X32" i="47"/>
  <c r="BA32" i="47" s="1"/>
  <c r="X33" i="47"/>
  <c r="BA33" i="47" s="1"/>
  <c r="X34" i="47"/>
  <c r="X35" i="47"/>
  <c r="X36" i="47"/>
  <c r="BA36" i="47" s="1"/>
  <c r="X37" i="47"/>
  <c r="BA37" i="47" s="1"/>
  <c r="X38" i="47"/>
  <c r="X39" i="47"/>
  <c r="X40" i="47"/>
  <c r="BA40" i="47" s="1"/>
  <c r="X9" i="47"/>
  <c r="X41" i="47" s="1"/>
  <c r="W10" i="47"/>
  <c r="W11" i="47"/>
  <c r="BC11" i="47" s="1"/>
  <c r="W12" i="47"/>
  <c r="BC12" i="47" s="1"/>
  <c r="W13" i="47"/>
  <c r="BC13" i="47" s="1"/>
  <c r="W14" i="47"/>
  <c r="BC14" i="47" s="1"/>
  <c r="W15" i="47"/>
  <c r="BC15" i="47" s="1"/>
  <c r="W16" i="47"/>
  <c r="BC16" i="47" s="1"/>
  <c r="W17" i="47"/>
  <c r="BC17" i="47" s="1"/>
  <c r="W18" i="47"/>
  <c r="W19" i="47"/>
  <c r="BC19" i="47" s="1"/>
  <c r="W20" i="47"/>
  <c r="BC20" i="47" s="1"/>
  <c r="W21" i="47"/>
  <c r="BC21" i="47" s="1"/>
  <c r="W22" i="47"/>
  <c r="BC22" i="47" s="1"/>
  <c r="W23" i="47"/>
  <c r="BC23" i="47" s="1"/>
  <c r="W24" i="47"/>
  <c r="BC24" i="47" s="1"/>
  <c r="W25" i="47"/>
  <c r="BC25" i="47" s="1"/>
  <c r="W26" i="47"/>
  <c r="W27" i="47"/>
  <c r="BC27" i="47" s="1"/>
  <c r="W28" i="47"/>
  <c r="BC28" i="47" s="1"/>
  <c r="W29" i="47"/>
  <c r="BC29" i="47" s="1"/>
  <c r="W30" i="47"/>
  <c r="BC30" i="47" s="1"/>
  <c r="W31" i="47"/>
  <c r="BC31" i="47" s="1"/>
  <c r="W32" i="47"/>
  <c r="BC32" i="47" s="1"/>
  <c r="W33" i="47"/>
  <c r="BC33" i="47" s="1"/>
  <c r="W34" i="47"/>
  <c r="W35" i="47"/>
  <c r="BC35" i="47" s="1"/>
  <c r="W36" i="47"/>
  <c r="BC36" i="47" s="1"/>
  <c r="W37" i="47"/>
  <c r="BC37" i="47" s="1"/>
  <c r="W38" i="47"/>
  <c r="BC38" i="47" s="1"/>
  <c r="W39" i="47"/>
  <c r="BC39" i="47" s="1"/>
  <c r="W40" i="47"/>
  <c r="BC40" i="47" s="1"/>
  <c r="W9" i="47"/>
  <c r="BC9" i="47" s="1"/>
  <c r="BA13" i="39"/>
  <c r="AZ8" i="39"/>
  <c r="BA8" i="39" s="1"/>
  <c r="AZ9" i="39"/>
  <c r="BA9" i="39" s="1"/>
  <c r="AZ10" i="39"/>
  <c r="BA10" i="39" s="1"/>
  <c r="BB10" i="39" s="1"/>
  <c r="AZ11" i="39"/>
  <c r="BA11" i="39" s="1"/>
  <c r="BB11" i="39" s="1"/>
  <c r="AZ12" i="39"/>
  <c r="BA12" i="39" s="1"/>
  <c r="AZ13" i="39"/>
  <c r="AZ7" i="39"/>
  <c r="H15" i="39"/>
  <c r="BB14" i="39"/>
  <c r="X8" i="39"/>
  <c r="BK8" i="39" s="1"/>
  <c r="X9" i="39"/>
  <c r="BK9" i="39" s="1"/>
  <c r="X10" i="39"/>
  <c r="X11" i="39"/>
  <c r="X12" i="39"/>
  <c r="BK12" i="39" s="1"/>
  <c r="X13" i="39"/>
  <c r="BK13" i="39" s="1"/>
  <c r="X14" i="39"/>
  <c r="X7" i="39"/>
  <c r="W8" i="39"/>
  <c r="BM8" i="39" s="1"/>
  <c r="W9" i="39"/>
  <c r="BM9" i="39" s="1"/>
  <c r="W10" i="39"/>
  <c r="BM10" i="39" s="1"/>
  <c r="W11" i="39"/>
  <c r="BM11" i="39" s="1"/>
  <c r="W12" i="39"/>
  <c r="BM12" i="39" s="1"/>
  <c r="W13" i="39"/>
  <c r="BM13" i="39" s="1"/>
  <c r="W14" i="39"/>
  <c r="BM14" i="39" s="1"/>
  <c r="W7" i="39"/>
  <c r="BM7" i="39" s="1"/>
  <c r="AK8" i="39"/>
  <c r="AL8" i="39" s="1"/>
  <c r="AK9" i="39"/>
  <c r="AL9" i="39" s="1"/>
  <c r="AK10" i="39"/>
  <c r="AL10" i="39" s="1"/>
  <c r="AK11" i="39"/>
  <c r="AL11" i="39" s="1"/>
  <c r="AK12" i="39"/>
  <c r="AL12" i="39" s="1"/>
  <c r="AK13" i="39"/>
  <c r="AL13" i="39" s="1"/>
  <c r="AK14" i="39"/>
  <c r="AL14" i="39" s="1"/>
  <c r="AK7" i="39"/>
  <c r="AH8" i="39"/>
  <c r="AI8" i="39" s="1"/>
  <c r="AH9" i="39"/>
  <c r="AI9" i="39" s="1"/>
  <c r="AH10" i="39"/>
  <c r="AH11" i="39"/>
  <c r="AI11" i="39" s="1"/>
  <c r="AH12" i="39"/>
  <c r="AI12" i="39" s="1"/>
  <c r="AH13" i="39"/>
  <c r="AI13" i="39" s="1"/>
  <c r="AH7" i="39"/>
  <c r="AI7" i="39" s="1"/>
  <c r="G18" i="39"/>
  <c r="AE8" i="39"/>
  <c r="AE9" i="39"/>
  <c r="AE10" i="39"/>
  <c r="AE11" i="39"/>
  <c r="AE12" i="39"/>
  <c r="AE13" i="39"/>
  <c r="AE7" i="39"/>
  <c r="AA8" i="39"/>
  <c r="AA9" i="39"/>
  <c r="AA10" i="39"/>
  <c r="AA11" i="39"/>
  <c r="AA12" i="39"/>
  <c r="AA13" i="39"/>
  <c r="AA14" i="39"/>
  <c r="AA7" i="39"/>
  <c r="AF8" i="39"/>
  <c r="AF9" i="39"/>
  <c r="AF10" i="39"/>
  <c r="AF11" i="39"/>
  <c r="AF12" i="39"/>
  <c r="AF13" i="39"/>
  <c r="T14" i="49"/>
  <c r="BA14" i="49" s="1"/>
  <c r="H15" i="49"/>
  <c r="I15" i="49"/>
  <c r="J15" i="49"/>
  <c r="K15" i="49"/>
  <c r="L15" i="49"/>
  <c r="M15" i="49"/>
  <c r="N15" i="49"/>
  <c r="O15" i="49"/>
  <c r="P15" i="49"/>
  <c r="Q15" i="49"/>
  <c r="H12" i="49"/>
  <c r="I12" i="49"/>
  <c r="J12" i="49"/>
  <c r="K12" i="49"/>
  <c r="L12" i="49"/>
  <c r="M12" i="49"/>
  <c r="N12" i="49"/>
  <c r="O12" i="49"/>
  <c r="P12" i="49"/>
  <c r="Q12" i="49"/>
  <c r="Q26" i="49"/>
  <c r="P26" i="49"/>
  <c r="G26" i="49"/>
  <c r="F26" i="49"/>
  <c r="E26" i="49"/>
  <c r="G15" i="49"/>
  <c r="F15" i="49"/>
  <c r="E15" i="49"/>
  <c r="AI16" i="49"/>
  <c r="X16" i="49"/>
  <c r="G12" i="49"/>
  <c r="F12" i="49"/>
  <c r="E12" i="49"/>
  <c r="U10" i="48"/>
  <c r="U11" i="48"/>
  <c r="U12" i="48"/>
  <c r="U13" i="48"/>
  <c r="U14" i="48"/>
  <c r="U15" i="48"/>
  <c r="U16" i="48"/>
  <c r="AX16" i="48" s="1"/>
  <c r="U9" i="48"/>
  <c r="T10" i="48"/>
  <c r="T11" i="48"/>
  <c r="T12" i="48"/>
  <c r="T13" i="48"/>
  <c r="T14" i="48"/>
  <c r="T15" i="48"/>
  <c r="T16" i="48"/>
  <c r="T9" i="48"/>
  <c r="P17" i="48"/>
  <c r="Q17" i="48"/>
  <c r="R17" i="48"/>
  <c r="S17" i="48"/>
  <c r="J17" i="48"/>
  <c r="K17" i="48"/>
  <c r="L17" i="48"/>
  <c r="M17" i="48"/>
  <c r="N17" i="48"/>
  <c r="O17" i="48"/>
  <c r="I42" i="48"/>
  <c r="H42" i="48"/>
  <c r="G42" i="48"/>
  <c r="F42" i="48"/>
  <c r="I30" i="48"/>
  <c r="H30" i="48"/>
  <c r="G30" i="48"/>
  <c r="F30" i="48"/>
  <c r="Y17" i="48"/>
  <c r="X17" i="48"/>
  <c r="W17" i="48"/>
  <c r="I17" i="48"/>
  <c r="H17" i="48"/>
  <c r="G17" i="48"/>
  <c r="F17" i="48"/>
  <c r="Z16" i="48"/>
  <c r="Z15" i="48"/>
  <c r="Z14" i="48"/>
  <c r="Z13" i="48"/>
  <c r="Z12" i="48"/>
  <c r="Z11" i="48"/>
  <c r="Z10" i="48"/>
  <c r="AI17" i="48"/>
  <c r="AH17" i="48"/>
  <c r="Z9" i="48"/>
  <c r="H41" i="47"/>
  <c r="G41" i="47"/>
  <c r="F41" i="47"/>
  <c r="AC40" i="47"/>
  <c r="AC39" i="47"/>
  <c r="AC38" i="47"/>
  <c r="AC37" i="47"/>
  <c r="AC36" i="47"/>
  <c r="AC35" i="47"/>
  <c r="AC34" i="47"/>
  <c r="AC33" i="47"/>
  <c r="AC32" i="47"/>
  <c r="AC31" i="47"/>
  <c r="AC30" i="47"/>
  <c r="AC29" i="47"/>
  <c r="AC28" i="47"/>
  <c r="AC27" i="47"/>
  <c r="AC26" i="47"/>
  <c r="AC25" i="47"/>
  <c r="AC24" i="47"/>
  <c r="AC23" i="47"/>
  <c r="AC22" i="47"/>
  <c r="AC21" i="47"/>
  <c r="AC20" i="47"/>
  <c r="AC19" i="47"/>
  <c r="AC18" i="47"/>
  <c r="AC17" i="47"/>
  <c r="AC16" i="47"/>
  <c r="AC15" i="47"/>
  <c r="AC14" i="47"/>
  <c r="AC13" i="47"/>
  <c r="AC12" i="47"/>
  <c r="AC11" i="47"/>
  <c r="AC10" i="47"/>
  <c r="AC9" i="47"/>
  <c r="AC41" i="47" s="1"/>
  <c r="M21" i="46"/>
  <c r="N21" i="46"/>
  <c r="O21" i="46"/>
  <c r="P21" i="46"/>
  <c r="Q21" i="46"/>
  <c r="R21" i="46"/>
  <c r="S21" i="46"/>
  <c r="T21" i="46"/>
  <c r="H61" i="46"/>
  <c r="G61" i="46"/>
  <c r="F61" i="46"/>
  <c r="E61" i="46"/>
  <c r="H45" i="46"/>
  <c r="G45" i="46"/>
  <c r="F45" i="46"/>
  <c r="E45" i="46"/>
  <c r="Z22" i="46"/>
  <c r="L21" i="46"/>
  <c r="K21" i="46"/>
  <c r="J21" i="46"/>
  <c r="I21" i="46"/>
  <c r="H21" i="46"/>
  <c r="G21" i="46"/>
  <c r="F21" i="46"/>
  <c r="E21" i="46"/>
  <c r="AC20" i="46"/>
  <c r="AC19" i="46"/>
  <c r="AC18" i="46"/>
  <c r="AC17" i="46"/>
  <c r="AC16" i="46"/>
  <c r="AC15" i="46"/>
  <c r="AC14" i="46"/>
  <c r="AC13" i="46"/>
  <c r="AC12" i="46"/>
  <c r="AC11" i="46"/>
  <c r="AC10" i="46"/>
  <c r="AC9" i="46"/>
  <c r="AC8" i="46"/>
  <c r="AC7" i="46"/>
  <c r="P27" i="42"/>
  <c r="O27" i="42"/>
  <c r="S34" i="40"/>
  <c r="T34" i="40"/>
  <c r="S41" i="43"/>
  <c r="T41" i="43"/>
  <c r="R41" i="44"/>
  <c r="S41" i="44"/>
  <c r="V33" i="45"/>
  <c r="W33" i="45"/>
  <c r="J33" i="45"/>
  <c r="K33" i="45"/>
  <c r="L33" i="45"/>
  <c r="M33" i="45"/>
  <c r="N33" i="45"/>
  <c r="O33" i="45"/>
  <c r="P33" i="45"/>
  <c r="Q33" i="45"/>
  <c r="I95" i="45"/>
  <c r="H95" i="45"/>
  <c r="G95" i="45"/>
  <c r="I67" i="45"/>
  <c r="H67" i="45"/>
  <c r="G67" i="45"/>
  <c r="F67" i="45"/>
  <c r="U33" i="45"/>
  <c r="T33" i="45"/>
  <c r="S33" i="45"/>
  <c r="R33" i="45"/>
  <c r="I33" i="45"/>
  <c r="H33" i="45"/>
  <c r="E34" i="45" s="1"/>
  <c r="G33" i="45"/>
  <c r="F33" i="45"/>
  <c r="F21" i="50" l="1"/>
  <c r="G18" i="50"/>
  <c r="AZ16" i="48"/>
  <c r="AC21" i="46"/>
  <c r="AZ14" i="48"/>
  <c r="AZ10" i="48"/>
  <c r="AX14" i="48"/>
  <c r="AX10" i="48"/>
  <c r="O16" i="49"/>
  <c r="K16" i="49"/>
  <c r="BK11" i="39"/>
  <c r="BA39" i="47"/>
  <c r="BA35" i="47"/>
  <c r="BA31" i="47"/>
  <c r="BA27" i="47"/>
  <c r="BA23" i="47"/>
  <c r="BA19" i="47"/>
  <c r="BA15" i="47"/>
  <c r="BA11" i="47"/>
  <c r="AH41" i="47"/>
  <c r="BC33" i="40"/>
  <c r="BC29" i="40"/>
  <c r="BC25" i="40"/>
  <c r="BC17" i="40"/>
  <c r="BC9" i="40"/>
  <c r="AX12" i="48"/>
  <c r="AZ9" i="48"/>
  <c r="AZ13" i="48"/>
  <c r="AX9" i="48"/>
  <c r="AX13" i="48"/>
  <c r="BK14" i="39"/>
  <c r="BK10" i="39"/>
  <c r="BA38" i="47"/>
  <c r="BA34" i="47"/>
  <c r="BA30" i="47"/>
  <c r="BA26" i="47"/>
  <c r="BA22" i="47"/>
  <c r="BA18" i="47"/>
  <c r="BA14" i="47"/>
  <c r="BA10" i="47"/>
  <c r="AS8" i="39"/>
  <c r="BC31" i="40"/>
  <c r="BA9" i="47"/>
  <c r="W41" i="47"/>
  <c r="AZ12" i="48"/>
  <c r="AZ15" i="48"/>
  <c r="AZ11" i="48"/>
  <c r="AX15" i="48"/>
  <c r="AX11" i="48"/>
  <c r="P16" i="49"/>
  <c r="L16" i="49"/>
  <c r="H16" i="49"/>
  <c r="J16" i="49"/>
  <c r="BI10" i="39"/>
  <c r="AR41" i="47"/>
  <c r="BE29" i="40"/>
  <c r="BB30" i="40"/>
  <c r="BB22" i="40"/>
  <c r="BB10" i="40"/>
  <c r="BE33" i="40"/>
  <c r="Y18" i="40"/>
  <c r="BD18" i="40" s="1"/>
  <c r="AL14" i="40"/>
  <c r="Y14" i="40" s="1"/>
  <c r="BD14" i="40" s="1"/>
  <c r="BE22" i="40"/>
  <c r="BB39" i="44"/>
  <c r="BB35" i="44"/>
  <c r="BB31" i="44"/>
  <c r="BB27" i="44"/>
  <c r="BB23" i="44"/>
  <c r="BB19" i="44"/>
  <c r="BB15" i="44"/>
  <c r="BB11" i="44"/>
  <c r="BB7" i="44"/>
  <c r="AZ40" i="44"/>
  <c r="AZ36" i="44"/>
  <c r="AZ32" i="44"/>
  <c r="AZ28" i="44"/>
  <c r="AZ24" i="44"/>
  <c r="AZ20" i="44"/>
  <c r="AZ16" i="44"/>
  <c r="AZ12" i="44"/>
  <c r="AZ8" i="44"/>
  <c r="BB28" i="44"/>
  <c r="BB12" i="44"/>
  <c r="AI33" i="45"/>
  <c r="AO19" i="45"/>
  <c r="AO31" i="45"/>
  <c r="AB31" i="45" s="1"/>
  <c r="AO27" i="45"/>
  <c r="AB27" i="45" s="1"/>
  <c r="AO15" i="45"/>
  <c r="AV33" i="45"/>
  <c r="AJ15" i="46"/>
  <c r="Y15" i="46" s="1"/>
  <c r="BB15" i="46" s="1"/>
  <c r="AG14" i="48"/>
  <c r="BB38" i="44"/>
  <c r="BB34" i="44"/>
  <c r="BB30" i="44"/>
  <c r="BB26" i="44"/>
  <c r="BB22" i="44"/>
  <c r="BB18" i="44"/>
  <c r="BB14" i="44"/>
  <c r="BB10" i="44"/>
  <c r="AQ42" i="44"/>
  <c r="AQ41" i="44"/>
  <c r="BB8" i="44"/>
  <c r="AO9" i="45"/>
  <c r="AO21" i="45"/>
  <c r="AB21" i="45" s="1"/>
  <c r="BG21" i="45" s="1"/>
  <c r="AO17" i="45"/>
  <c r="AO13" i="45"/>
  <c r="AB13" i="45" s="1"/>
  <c r="BG13" i="45" s="1"/>
  <c r="AM33" i="45"/>
  <c r="AN29" i="45"/>
  <c r="AO29" i="45" s="1"/>
  <c r="AB29" i="45" s="1"/>
  <c r="BG29" i="45" s="1"/>
  <c r="AG12" i="48"/>
  <c r="AG13" i="48"/>
  <c r="V13" i="48" s="1"/>
  <c r="AY13" i="48" s="1"/>
  <c r="AW14" i="49"/>
  <c r="AZ14" i="49"/>
  <c r="AL27" i="40"/>
  <c r="AL11" i="40"/>
  <c r="Y11" i="40" s="1"/>
  <c r="BD11" i="40" s="1"/>
  <c r="BD39" i="43"/>
  <c r="BD35" i="43"/>
  <c r="BD31" i="43"/>
  <c r="BD27" i="43"/>
  <c r="BD23" i="43"/>
  <c r="BD19" i="43"/>
  <c r="BD15" i="43"/>
  <c r="BD11" i="43"/>
  <c r="BD41" i="43" s="1"/>
  <c r="BB6" i="44"/>
  <c r="BB37" i="44"/>
  <c r="BB33" i="44"/>
  <c r="BB29" i="44"/>
  <c r="BB25" i="44"/>
  <c r="BB21" i="44"/>
  <c r="BB17" i="44"/>
  <c r="BB13" i="44"/>
  <c r="BB9" i="44"/>
  <c r="BC41" i="44"/>
  <c r="AU16" i="44"/>
  <c r="BE26" i="45"/>
  <c r="AO23" i="45"/>
  <c r="BA24" i="45"/>
  <c r="AB24" i="45" s="1"/>
  <c r="BA20" i="45"/>
  <c r="BA16" i="45"/>
  <c r="AB16" i="45" s="1"/>
  <c r="BA12" i="45"/>
  <c r="AB12" i="45" s="1"/>
  <c r="AJ18" i="46"/>
  <c r="Y18" i="46" s="1"/>
  <c r="AJ14" i="46"/>
  <c r="Y14" i="46" s="1"/>
  <c r="AJ10" i="46"/>
  <c r="Y10" i="46" s="1"/>
  <c r="AJ19" i="46"/>
  <c r="Y19" i="46" s="1"/>
  <c r="BB19" i="46" s="1"/>
  <c r="AJ11" i="46"/>
  <c r="Y11" i="46" s="1"/>
  <c r="BB11" i="46" s="1"/>
  <c r="AV16" i="46"/>
  <c r="AU21" i="46"/>
  <c r="AG11" i="48"/>
  <c r="V11" i="48" s="1"/>
  <c r="AY11" i="48" s="1"/>
  <c r="AG16" i="48"/>
  <c r="V16" i="48" s="1"/>
  <c r="AY16" i="48" s="1"/>
  <c r="BD38" i="43"/>
  <c r="BD34" i="43"/>
  <c r="BD30" i="43"/>
  <c r="BD26" i="43"/>
  <c r="BD22" i="43"/>
  <c r="BD18" i="43"/>
  <c r="BD14" i="43"/>
  <c r="BH9" i="45"/>
  <c r="BE29" i="45"/>
  <c r="BH29" i="45"/>
  <c r="BE25" i="45"/>
  <c r="BH25" i="45"/>
  <c r="BE21" i="45"/>
  <c r="BH21" i="45"/>
  <c r="BH17" i="45"/>
  <c r="BE13" i="45"/>
  <c r="BH13" i="45"/>
  <c r="BF9" i="45"/>
  <c r="BF29" i="45"/>
  <c r="BF25" i="45"/>
  <c r="BF21" i="45"/>
  <c r="BF17" i="45"/>
  <c r="BF13" i="45"/>
  <c r="AB20" i="45"/>
  <c r="BG20" i="45" s="1"/>
  <c r="BA19" i="45"/>
  <c r="AZ19" i="45"/>
  <c r="AZ11" i="45"/>
  <c r="BA11" i="45" s="1"/>
  <c r="AB11" i="45" s="1"/>
  <c r="AJ17" i="46"/>
  <c r="AJ13" i="46"/>
  <c r="Y13" i="46" s="1"/>
  <c r="AJ9" i="46"/>
  <c r="Y9" i="46" s="1"/>
  <c r="AJ20" i="46"/>
  <c r="AJ16" i="46"/>
  <c r="AJ12" i="46"/>
  <c r="Y12" i="46" s="1"/>
  <c r="BB12" i="46" s="1"/>
  <c r="AJ8" i="46"/>
  <c r="Y8" i="46" s="1"/>
  <c r="BB8" i="46" s="1"/>
  <c r="AY14" i="49"/>
  <c r="AY15" i="49" s="1"/>
  <c r="AJ33" i="45"/>
  <c r="BH30" i="45"/>
  <c r="BH26" i="45"/>
  <c r="BH22" i="45"/>
  <c r="BH18" i="45"/>
  <c r="BH14" i="45"/>
  <c r="BH10" i="45"/>
  <c r="BI33" i="45"/>
  <c r="BA17" i="46"/>
  <c r="BA13" i="46"/>
  <c r="BA9" i="46"/>
  <c r="BC18" i="46"/>
  <c r="BC14" i="46"/>
  <c r="BC10" i="46"/>
  <c r="AG15" i="48"/>
  <c r="AS26" i="42"/>
  <c r="AS22" i="42"/>
  <c r="AS18" i="42"/>
  <c r="AS14" i="42"/>
  <c r="AS10" i="42"/>
  <c r="AG23" i="42"/>
  <c r="U23" i="42" s="1"/>
  <c r="AG19" i="42"/>
  <c r="U19" i="42" s="1"/>
  <c r="AT19" i="42" s="1"/>
  <c r="AR14" i="42"/>
  <c r="AU15" i="42"/>
  <c r="AW13" i="49"/>
  <c r="AN38" i="49"/>
  <c r="AX36" i="49"/>
  <c r="AX38" i="49" s="1"/>
  <c r="AX42" i="49" s="1"/>
  <c r="BA39" i="49"/>
  <c r="AX39" i="49"/>
  <c r="AX41" i="49" s="1"/>
  <c r="BC7" i="46"/>
  <c r="BC21" i="46" s="1"/>
  <c r="AG10" i="48"/>
  <c r="AG15" i="42"/>
  <c r="U15" i="42" s="1"/>
  <c r="AT15" i="42" s="1"/>
  <c r="AG11" i="42"/>
  <c r="U11" i="42" s="1"/>
  <c r="AT11" i="42" s="1"/>
  <c r="AR18" i="42"/>
  <c r="AE33" i="45"/>
  <c r="AZ12" i="46"/>
  <c r="AS25" i="42"/>
  <c r="AS21" i="42"/>
  <c r="AS17" i="42"/>
  <c r="AS13" i="42"/>
  <c r="AS9" i="42"/>
  <c r="AG26" i="42"/>
  <c r="U26" i="42" s="1"/>
  <c r="AT26" i="42" s="1"/>
  <c r="AG22" i="42"/>
  <c r="U22" i="42" s="1"/>
  <c r="AT22" i="42" s="1"/>
  <c r="AG18" i="42"/>
  <c r="U18" i="42" s="1"/>
  <c r="AT18" i="42" s="1"/>
  <c r="AG14" i="42"/>
  <c r="U14" i="42" s="1"/>
  <c r="AT14" i="42" s="1"/>
  <c r="AG10" i="42"/>
  <c r="U10" i="42" s="1"/>
  <c r="AT10" i="42" s="1"/>
  <c r="AR11" i="42"/>
  <c r="AU23" i="42"/>
  <c r="AU17" i="42"/>
  <c r="AY10" i="49"/>
  <c r="AV12" i="49"/>
  <c r="AF16" i="49"/>
  <c r="AB38" i="49"/>
  <c r="AU38" i="49"/>
  <c r="AU42" i="49" s="1"/>
  <c r="AB41" i="49"/>
  <c r="AI7" i="46"/>
  <c r="AV20" i="46"/>
  <c r="AZ19" i="46"/>
  <c r="AZ11" i="46"/>
  <c r="AS8" i="42"/>
  <c r="AR15" i="42"/>
  <c r="AU21" i="42"/>
  <c r="AU16" i="42"/>
  <c r="AU11" i="42"/>
  <c r="AY11" i="49"/>
  <c r="AC38" i="49"/>
  <c r="AC42" i="49" s="1"/>
  <c r="AV38" i="49"/>
  <c r="AV42" i="49" s="1"/>
  <c r="AQ42" i="49"/>
  <c r="AY39" i="49"/>
  <c r="AT42" i="49"/>
  <c r="V16" i="56"/>
  <c r="AR16" i="56" s="1"/>
  <c r="AL10" i="52"/>
  <c r="W10" i="52" s="1"/>
  <c r="AW10" i="52" s="1"/>
  <c r="P48" i="55"/>
  <c r="X31" i="52"/>
  <c r="N103" i="52"/>
  <c r="AX31" i="52"/>
  <c r="U14" i="52"/>
  <c r="AX7" i="52"/>
  <c r="AU7" i="52"/>
  <c r="AX10" i="52"/>
  <c r="AV13" i="52"/>
  <c r="AV9" i="52"/>
  <c r="AS39" i="61"/>
  <c r="AS35" i="61"/>
  <c r="AS31" i="61"/>
  <c r="AS27" i="61"/>
  <c r="AS23" i="61"/>
  <c r="AS19" i="61"/>
  <c r="AS15" i="61"/>
  <c r="AS11" i="61"/>
  <c r="AL24" i="55"/>
  <c r="AL20" i="55"/>
  <c r="AL16" i="55"/>
  <c r="AL12" i="55"/>
  <c r="AL13" i="52"/>
  <c r="W13" i="52" s="1"/>
  <c r="AW13" i="52" s="1"/>
  <c r="AL9" i="52"/>
  <c r="W9" i="52" s="1"/>
  <c r="AW9" i="52" s="1"/>
  <c r="AM14" i="52"/>
  <c r="AM16" i="52" s="1"/>
  <c r="AQ7" i="52"/>
  <c r="AH14" i="58"/>
  <c r="AF65" i="58"/>
  <c r="AD65" i="58"/>
  <c r="AX13" i="52"/>
  <c r="AU13" i="52"/>
  <c r="AX9" i="52"/>
  <c r="AS38" i="61"/>
  <c r="AS34" i="61"/>
  <c r="AS30" i="61"/>
  <c r="AS26" i="61"/>
  <c r="AS22" i="61"/>
  <c r="AS18" i="61"/>
  <c r="AS14" i="61"/>
  <c r="AS10" i="61"/>
  <c r="AP12" i="56"/>
  <c r="AJ8" i="55"/>
  <c r="AL23" i="55"/>
  <c r="AL19" i="55"/>
  <c r="AL15" i="55"/>
  <c r="AL11" i="55"/>
  <c r="AL12" i="52"/>
  <c r="W12" i="52" s="1"/>
  <c r="AW12" i="52" s="1"/>
  <c r="U12" i="49"/>
  <c r="AG10" i="49"/>
  <c r="AU15" i="49"/>
  <c r="E42" i="49"/>
  <c r="I42" i="49"/>
  <c r="M42" i="49"/>
  <c r="Q42" i="49"/>
  <c r="W42" i="49"/>
  <c r="AG39" i="49"/>
  <c r="BC39" i="49" s="1"/>
  <c r="AG40" i="49"/>
  <c r="AP42" i="49"/>
  <c r="AE14" i="52"/>
  <c r="S69" i="54"/>
  <c r="AN67" i="54"/>
  <c r="T30" i="56"/>
  <c r="AD67" i="59"/>
  <c r="AC77" i="61"/>
  <c r="Y14" i="52"/>
  <c r="AX12" i="52"/>
  <c r="AX8" i="52"/>
  <c r="AV11" i="52"/>
  <c r="AS19" i="60"/>
  <c r="AS15" i="60"/>
  <c r="AS11" i="60"/>
  <c r="AQ7" i="60"/>
  <c r="AQ17" i="60"/>
  <c r="AQ13" i="60"/>
  <c r="AQ9" i="60"/>
  <c r="AS9" i="61"/>
  <c r="AS37" i="61"/>
  <c r="AS33" i="61"/>
  <c r="AS29" i="61"/>
  <c r="AS25" i="61"/>
  <c r="AS21" i="61"/>
  <c r="AS17" i="61"/>
  <c r="AS13" i="61"/>
  <c r="AQ11" i="56"/>
  <c r="AS11" i="56"/>
  <c r="AS17" i="56" s="1"/>
  <c r="AL26" i="55"/>
  <c r="AL22" i="55"/>
  <c r="AL18" i="55"/>
  <c r="AL14" i="55"/>
  <c r="AL10" i="55"/>
  <c r="AI13" i="61"/>
  <c r="W13" i="61" s="1"/>
  <c r="AT13" i="61" s="1"/>
  <c r="AI32" i="61"/>
  <c r="W32" i="61" s="1"/>
  <c r="AT32" i="61" s="1"/>
  <c r="AI40" i="61"/>
  <c r="W40" i="61" s="1"/>
  <c r="AT40" i="61" s="1"/>
  <c r="AL11" i="52"/>
  <c r="W11" i="52" s="1"/>
  <c r="AW11" i="52" s="1"/>
  <c r="AS14" i="52"/>
  <c r="AH27" i="58"/>
  <c r="T69" i="54"/>
  <c r="AM67" i="54"/>
  <c r="Z45" i="60"/>
  <c r="O103" i="52"/>
  <c r="O110" i="52" s="1"/>
  <c r="AV31" i="52"/>
  <c r="AX11" i="52"/>
  <c r="AU11" i="52"/>
  <c r="AV7" i="52"/>
  <c r="AV10" i="52"/>
  <c r="AS18" i="60"/>
  <c r="AS14" i="60"/>
  <c r="AS10" i="60"/>
  <c r="AQ20" i="60"/>
  <c r="AQ16" i="60"/>
  <c r="AQ12" i="60"/>
  <c r="AQ8" i="60"/>
  <c r="AS40" i="61"/>
  <c r="AS36" i="61"/>
  <c r="AS32" i="61"/>
  <c r="AS28" i="61"/>
  <c r="AS24" i="61"/>
  <c r="AS20" i="61"/>
  <c r="AS16" i="61"/>
  <c r="AS12" i="61"/>
  <c r="U89" i="58"/>
  <c r="AI25" i="61"/>
  <c r="AI21" i="61"/>
  <c r="AI17" i="61"/>
  <c r="W17" i="61" s="1"/>
  <c r="AT17" i="61" s="1"/>
  <c r="N30" i="56"/>
  <c r="AS12" i="56"/>
  <c r="AC11" i="62"/>
  <c r="R11" i="62" s="1"/>
  <c r="AH11" i="62" s="1"/>
  <c r="AI14" i="52"/>
  <c r="AL7" i="52"/>
  <c r="W7" i="52" s="1"/>
  <c r="AW7" i="52" s="1"/>
  <c r="AH19" i="58"/>
  <c r="AH7" i="58"/>
  <c r="BI24" i="58"/>
  <c r="M26" i="62"/>
  <c r="AC10" i="62"/>
  <c r="R10" i="62" s="1"/>
  <c r="AG14" i="52"/>
  <c r="AJ14" i="52"/>
  <c r="AW54" i="52"/>
  <c r="AI12" i="57"/>
  <c r="AI35" i="57"/>
  <c r="BK35" i="57" s="1"/>
  <c r="AI31" i="57"/>
  <c r="BK31" i="57" s="1"/>
  <c r="AI27" i="57"/>
  <c r="BK27" i="57" s="1"/>
  <c r="AJ8" i="57"/>
  <c r="AJ19" i="57"/>
  <c r="BI19" i="57" s="1"/>
  <c r="AJ15" i="57"/>
  <c r="AI37" i="57"/>
  <c r="AI33" i="57"/>
  <c r="AI29" i="57"/>
  <c r="BI29" i="57" s="1"/>
  <c r="AI25" i="57"/>
  <c r="AI17" i="57"/>
  <c r="Z49" i="57"/>
  <c r="X75" i="57"/>
  <c r="Z75" i="57"/>
  <c r="X84" i="57"/>
  <c r="Z84" i="57"/>
  <c r="X80" i="57"/>
  <c r="Z80" i="57"/>
  <c r="X76" i="57"/>
  <c r="Z76" i="57"/>
  <c r="Y85" i="57"/>
  <c r="Y81" i="57"/>
  <c r="Y77" i="57"/>
  <c r="AI7" i="58"/>
  <c r="AF60" i="58"/>
  <c r="AD60" i="58"/>
  <c r="AE65" i="58"/>
  <c r="AE61" i="58"/>
  <c r="AE57" i="58"/>
  <c r="AF56" i="58"/>
  <c r="AD56" i="58"/>
  <c r="AF64" i="58"/>
  <c r="AD64" i="58"/>
  <c r="W76" i="58"/>
  <c r="Y76" i="58"/>
  <c r="Y85" i="58"/>
  <c r="Y81" i="58"/>
  <c r="Y77" i="58"/>
  <c r="U25" i="52"/>
  <c r="U31" i="52" s="1"/>
  <c r="W30" i="52"/>
  <c r="W67" i="54"/>
  <c r="AL67" i="54" s="1"/>
  <c r="AL45" i="54"/>
  <c r="L35" i="63"/>
  <c r="Q35" i="63" s="1"/>
  <c r="AK14" i="52"/>
  <c r="AL8" i="52"/>
  <c r="W8" i="52" s="1"/>
  <c r="AW8" i="52" s="1"/>
  <c r="AI38" i="57"/>
  <c r="AI34" i="57"/>
  <c r="AI30" i="57"/>
  <c r="BK30" i="57" s="1"/>
  <c r="AI26" i="57"/>
  <c r="BK26" i="57" s="1"/>
  <c r="BK20" i="57"/>
  <c r="AI16" i="57"/>
  <c r="AJ38" i="57"/>
  <c r="AJ34" i="57"/>
  <c r="BI34" i="57" s="1"/>
  <c r="AJ30" i="57"/>
  <c r="AJ26" i="57"/>
  <c r="AJ22" i="57"/>
  <c r="AJ18" i="57"/>
  <c r="AJ14" i="57"/>
  <c r="AJ10" i="57"/>
  <c r="X87" i="57"/>
  <c r="Z87" i="57"/>
  <c r="X83" i="57"/>
  <c r="Z83" i="57"/>
  <c r="X79" i="57"/>
  <c r="Z79" i="57"/>
  <c r="L17" i="58"/>
  <c r="AH17" i="58" s="1"/>
  <c r="R16" i="58"/>
  <c r="AH16" i="58" s="1"/>
  <c r="BI16" i="58" s="1"/>
  <c r="AF53" i="58"/>
  <c r="AD53" i="58"/>
  <c r="AF59" i="58"/>
  <c r="AD59" i="58"/>
  <c r="AF57" i="58"/>
  <c r="AD57" i="58"/>
  <c r="AF61" i="58"/>
  <c r="AD61" i="58"/>
  <c r="O48" i="55"/>
  <c r="AC67" i="59"/>
  <c r="O26" i="62"/>
  <c r="AI24" i="57"/>
  <c r="AI19" i="57"/>
  <c r="BI37" i="57"/>
  <c r="AJ21" i="57"/>
  <c r="BI21" i="57" s="1"/>
  <c r="AJ17" i="57"/>
  <c r="BI17" i="57" s="1"/>
  <c r="N39" i="57"/>
  <c r="Z86" i="57"/>
  <c r="X86" i="57"/>
  <c r="Z82" i="57"/>
  <c r="X82" i="57"/>
  <c r="Z78" i="57"/>
  <c r="X78" i="57"/>
  <c r="Y87" i="57"/>
  <c r="Y83" i="57"/>
  <c r="Y79" i="57"/>
  <c r="AE59" i="58"/>
  <c r="X88" i="58"/>
  <c r="X84" i="58"/>
  <c r="X80" i="58"/>
  <c r="U29" i="52"/>
  <c r="W26" i="52"/>
  <c r="AU26" i="52" s="1"/>
  <c r="BK32" i="57"/>
  <c r="X85" i="57"/>
  <c r="Z85" i="57"/>
  <c r="X81" i="57"/>
  <c r="Z81" i="57"/>
  <c r="X77" i="57"/>
  <c r="Z77" i="57"/>
  <c r="W24" i="52"/>
  <c r="AW24" i="52" s="1"/>
  <c r="M45" i="60"/>
  <c r="Y45" i="60" s="1"/>
  <c r="Y62" i="57"/>
  <c r="P66" i="58"/>
  <c r="AD63" i="58"/>
  <c r="AD55" i="58"/>
  <c r="AB52" i="61"/>
  <c r="AB77" i="61" s="1"/>
  <c r="P31" i="63"/>
  <c r="P36" i="63" s="1"/>
  <c r="L34" i="63"/>
  <c r="Q34" i="63" s="1"/>
  <c r="AA11" i="63"/>
  <c r="M40" i="52"/>
  <c r="O40" i="52" s="1"/>
  <c r="U79" i="57"/>
  <c r="U88" i="57" s="1"/>
  <c r="AD62" i="58"/>
  <c r="AD58" i="58"/>
  <c r="L31" i="63"/>
  <c r="Q31" i="63" s="1"/>
  <c r="AB11" i="63"/>
  <c r="Y58" i="57"/>
  <c r="AE11" i="63"/>
  <c r="Y43" i="60"/>
  <c r="AA45" i="60"/>
  <c r="Z61" i="57"/>
  <c r="Z57" i="57"/>
  <c r="W88" i="57"/>
  <c r="L32" i="63"/>
  <c r="Q32" i="63" s="1"/>
  <c r="L33" i="63"/>
  <c r="Q33" i="63" s="1"/>
  <c r="W89" i="58"/>
  <c r="T89" i="58"/>
  <c r="Q47" i="52"/>
  <c r="O47" i="52"/>
  <c r="M47" i="52"/>
  <c r="L8" i="63"/>
  <c r="L10" i="63"/>
  <c r="L9" i="63"/>
  <c r="Z11" i="63"/>
  <c r="L7" i="63"/>
  <c r="R36" i="63"/>
  <c r="L6" i="63"/>
  <c r="AC33" i="59"/>
  <c r="AX9" i="59"/>
  <c r="AX29" i="59"/>
  <c r="AX25" i="59"/>
  <c r="AX21" i="59"/>
  <c r="AX17" i="59"/>
  <c r="AX13" i="59"/>
  <c r="AX30" i="59"/>
  <c r="AX26" i="59"/>
  <c r="AX22" i="59"/>
  <c r="AX18" i="59"/>
  <c r="AX14" i="59"/>
  <c r="AX10" i="59"/>
  <c r="AX31" i="59"/>
  <c r="AX27" i="59"/>
  <c r="AX23" i="59"/>
  <c r="AX19" i="59"/>
  <c r="AX15" i="59"/>
  <c r="AX11" i="59"/>
  <c r="AD33" i="59"/>
  <c r="AX32" i="59"/>
  <c r="AX28" i="59"/>
  <c r="AX24" i="59"/>
  <c r="AX20" i="59"/>
  <c r="AX16" i="59"/>
  <c r="AX12" i="59"/>
  <c r="N67" i="59"/>
  <c r="Y60" i="57"/>
  <c r="AA60" i="57"/>
  <c r="BI38" i="57"/>
  <c r="AI10" i="57"/>
  <c r="BK10" i="57" s="1"/>
  <c r="AI14" i="57"/>
  <c r="BK14" i="57" s="1"/>
  <c r="AJ13" i="57"/>
  <c r="BI16" i="57"/>
  <c r="BK16" i="57"/>
  <c r="AI8" i="57"/>
  <c r="M39" i="57"/>
  <c r="Z59" i="57"/>
  <c r="Z51" i="57"/>
  <c r="AI13" i="57"/>
  <c r="AI9" i="57"/>
  <c r="BI31" i="57"/>
  <c r="BI27" i="57"/>
  <c r="AJ23" i="57"/>
  <c r="BI20" i="57"/>
  <c r="Z60" i="57"/>
  <c r="BI36" i="57"/>
  <c r="BK36" i="57"/>
  <c r="BK28" i="57"/>
  <c r="BI28" i="57"/>
  <c r="AI11" i="57"/>
  <c r="BK11" i="57" s="1"/>
  <c r="AI15" i="57"/>
  <c r="BK15" i="57" s="1"/>
  <c r="AI22" i="57"/>
  <c r="BI22" i="57" s="1"/>
  <c r="AI18" i="57"/>
  <c r="Q53" i="57"/>
  <c r="AA53" i="57" s="1"/>
  <c r="AA49" i="57"/>
  <c r="Z62" i="57"/>
  <c r="Z58" i="57"/>
  <c r="Z54" i="57"/>
  <c r="Z50" i="57"/>
  <c r="AQ39" i="57"/>
  <c r="AJ9" i="57"/>
  <c r="Y51" i="57"/>
  <c r="Y55" i="57"/>
  <c r="Q55" i="57"/>
  <c r="AA55" i="57" s="1"/>
  <c r="Q51" i="57"/>
  <c r="AA51" i="57" s="1"/>
  <c r="AA62" i="57"/>
  <c r="AA58" i="57"/>
  <c r="Q56" i="57"/>
  <c r="AA56" i="57" s="1"/>
  <c r="Q52" i="57"/>
  <c r="AA52" i="57" s="1"/>
  <c r="Y50" i="57"/>
  <c r="Y54" i="57"/>
  <c r="Y59" i="57"/>
  <c r="M31" i="52"/>
  <c r="W31" i="52" s="1"/>
  <c r="O89" i="58"/>
  <c r="X89" i="58" s="1"/>
  <c r="N89" i="58"/>
  <c r="L66" i="58"/>
  <c r="N54" i="58"/>
  <c r="AE54" i="58" s="1"/>
  <c r="O66" i="58"/>
  <c r="BI12" i="58"/>
  <c r="BI8" i="58"/>
  <c r="AE40" i="58"/>
  <c r="AD40" i="58"/>
  <c r="Y40" i="58"/>
  <c r="BI20" i="58"/>
  <c r="X40" i="58"/>
  <c r="S40" i="58"/>
  <c r="R40" i="58"/>
  <c r="BI32" i="58"/>
  <c r="Q88" i="57"/>
  <c r="R88" i="57"/>
  <c r="Y88" i="57" s="1"/>
  <c r="R63" i="57"/>
  <c r="BK37" i="57"/>
  <c r="BK33" i="57"/>
  <c r="BK29" i="57"/>
  <c r="BK25" i="57"/>
  <c r="BK17" i="57"/>
  <c r="BK21" i="57"/>
  <c r="BI33" i="57"/>
  <c r="BI25" i="57"/>
  <c r="BI26" i="57"/>
  <c r="AF39" i="57"/>
  <c r="AE39" i="57"/>
  <c r="Y39" i="57"/>
  <c r="Z39" i="57"/>
  <c r="T39" i="57"/>
  <c r="S39" i="57"/>
  <c r="BI27" i="58"/>
  <c r="BI17" i="58"/>
  <c r="BI14" i="58"/>
  <c r="BI18" i="58"/>
  <c r="P39" i="57"/>
  <c r="BK8" i="57"/>
  <c r="BK23" i="57"/>
  <c r="T40" i="58"/>
  <c r="BI34" i="58"/>
  <c r="BI21" i="58"/>
  <c r="BI28" i="58"/>
  <c r="BI29" i="58"/>
  <c r="BI36" i="58"/>
  <c r="BI38" i="58"/>
  <c r="BG19" i="58"/>
  <c r="Z40" i="58"/>
  <c r="BG7" i="58"/>
  <c r="O63" i="57"/>
  <c r="U39" i="57"/>
  <c r="BI13" i="57"/>
  <c r="O39" i="57"/>
  <c r="BK12" i="57"/>
  <c r="BK24" i="57"/>
  <c r="I39" i="57"/>
  <c r="AA39" i="57"/>
  <c r="K83" i="52"/>
  <c r="AO14" i="52"/>
  <c r="AH14" i="52"/>
  <c r="AP19" i="60"/>
  <c r="AP15" i="60"/>
  <c r="O45" i="60"/>
  <c r="AP14" i="60"/>
  <c r="AP10" i="60"/>
  <c r="AH19" i="60"/>
  <c r="W19" i="60" s="1"/>
  <c r="AR19" i="60" s="1"/>
  <c r="AH15" i="60"/>
  <c r="W15" i="60" s="1"/>
  <c r="AH11" i="60"/>
  <c r="W11" i="60" s="1"/>
  <c r="AP11" i="60" s="1"/>
  <c r="AH7" i="60"/>
  <c r="W7" i="60" s="1"/>
  <c r="AP7" i="60" s="1"/>
  <c r="AH17" i="60"/>
  <c r="W17" i="60" s="1"/>
  <c r="AR17" i="60" s="1"/>
  <c r="AH13" i="60"/>
  <c r="W13" i="60" s="1"/>
  <c r="AP13" i="60" s="1"/>
  <c r="AH8" i="60"/>
  <c r="W8" i="60" s="1"/>
  <c r="AP8" i="60" s="1"/>
  <c r="AH9" i="60"/>
  <c r="W9" i="60" s="1"/>
  <c r="AP9" i="60" s="1"/>
  <c r="AH18" i="60"/>
  <c r="W18" i="60" s="1"/>
  <c r="AP18" i="60" s="1"/>
  <c r="AH14" i="60"/>
  <c r="W14" i="60" s="1"/>
  <c r="AH10" i="60"/>
  <c r="W10" i="60" s="1"/>
  <c r="AH20" i="60"/>
  <c r="W20" i="60" s="1"/>
  <c r="AP20" i="60" s="1"/>
  <c r="AH16" i="60"/>
  <c r="W16" i="60" s="1"/>
  <c r="AP16" i="60" s="1"/>
  <c r="AH12" i="60"/>
  <c r="W12" i="60" s="1"/>
  <c r="AP12" i="60" s="1"/>
  <c r="K48" i="55"/>
  <c r="AI12" i="62"/>
  <c r="Z12" i="62"/>
  <c r="Z16" i="62" s="1"/>
  <c r="U16" i="62"/>
  <c r="P12" i="62"/>
  <c r="L26" i="62"/>
  <c r="Q12" i="62"/>
  <c r="T16" i="62"/>
  <c r="E16" i="62"/>
  <c r="AB16" i="62"/>
  <c r="V15" i="62"/>
  <c r="P15" i="62"/>
  <c r="AE12" i="62"/>
  <c r="S16" i="62"/>
  <c r="J26" i="62"/>
  <c r="Y12" i="62"/>
  <c r="Q15" i="62"/>
  <c r="Y15" i="62"/>
  <c r="AE15" i="62"/>
  <c r="X12" i="62"/>
  <c r="AD12" i="62"/>
  <c r="F16" i="62"/>
  <c r="X15" i="62"/>
  <c r="AI13" i="62"/>
  <c r="AG11" i="62"/>
  <c r="V30" i="56"/>
  <c r="AD17" i="56"/>
  <c r="S25" i="56"/>
  <c r="S30" i="56" s="1"/>
  <c r="Z17" i="56"/>
  <c r="AN17" i="56"/>
  <c r="AR13" i="61"/>
  <c r="AU41" i="61"/>
  <c r="AI39" i="61"/>
  <c r="W39" i="61" s="1"/>
  <c r="AI31" i="61"/>
  <c r="W31" i="61" s="1"/>
  <c r="AI23" i="61"/>
  <c r="AI15" i="61"/>
  <c r="W10" i="61"/>
  <c r="AI28" i="61"/>
  <c r="W28" i="61" s="1"/>
  <c r="AT28" i="61" s="1"/>
  <c r="Z41" i="61"/>
  <c r="AI24" i="61"/>
  <c r="AI20" i="61"/>
  <c r="W20" i="61" s="1"/>
  <c r="AT20" i="61" s="1"/>
  <c r="AI16" i="61"/>
  <c r="W16" i="61" s="1"/>
  <c r="AT16" i="61" s="1"/>
  <c r="AI9" i="61"/>
  <c r="AI37" i="61"/>
  <c r="W37" i="61" s="1"/>
  <c r="AT37" i="61" s="1"/>
  <c r="AI33" i="61"/>
  <c r="W33" i="61" s="1"/>
  <c r="AT33" i="61" s="1"/>
  <c r="AI29" i="61"/>
  <c r="W29" i="61" s="1"/>
  <c r="AT29" i="61" s="1"/>
  <c r="AR40" i="61"/>
  <c r="AR32" i="61"/>
  <c r="AR28" i="61"/>
  <c r="AR16" i="61"/>
  <c r="AI35" i="61"/>
  <c r="AI27" i="61"/>
  <c r="W27" i="61" s="1"/>
  <c r="AI19" i="61"/>
  <c r="W19" i="61" s="1"/>
  <c r="AI11" i="61"/>
  <c r="W11" i="61" s="1"/>
  <c r="W14" i="61"/>
  <c r="AI36" i="61"/>
  <c r="W36" i="61" s="1"/>
  <c r="AT36" i="61" s="1"/>
  <c r="W35" i="61"/>
  <c r="AI12" i="61"/>
  <c r="W12" i="61" s="1"/>
  <c r="AT12" i="61" s="1"/>
  <c r="AI34" i="61"/>
  <c r="W34" i="61" s="1"/>
  <c r="AI38" i="61"/>
  <c r="W38" i="61" s="1"/>
  <c r="AI30" i="61"/>
  <c r="W30" i="61" s="1"/>
  <c r="AI26" i="61"/>
  <c r="AI22" i="61"/>
  <c r="AI18" i="61"/>
  <c r="W18" i="61" s="1"/>
  <c r="AI14" i="61"/>
  <c r="AI10" i="61"/>
  <c r="W9" i="61"/>
  <c r="AT9" i="61" s="1"/>
  <c r="AH41" i="61"/>
  <c r="AN27" i="59"/>
  <c r="X27" i="59" s="1"/>
  <c r="AY27" i="59" s="1"/>
  <c r="AN23" i="59"/>
  <c r="AN19" i="59"/>
  <c r="AN15" i="59"/>
  <c r="AN11" i="59"/>
  <c r="AN31" i="59"/>
  <c r="X31" i="59" s="1"/>
  <c r="AY31" i="59" s="1"/>
  <c r="AN24" i="59"/>
  <c r="AN20" i="59"/>
  <c r="AN16" i="59"/>
  <c r="AN12" i="59"/>
  <c r="AN32" i="59"/>
  <c r="AN25" i="59"/>
  <c r="X25" i="59" s="1"/>
  <c r="AY25" i="59" s="1"/>
  <c r="AN9" i="59"/>
  <c r="AN21" i="59"/>
  <c r="AN17" i="59"/>
  <c r="AN13" i="59"/>
  <c r="AN28" i="59"/>
  <c r="AN29" i="59"/>
  <c r="X29" i="59" s="1"/>
  <c r="AY29" i="59" s="1"/>
  <c r="AN30" i="59"/>
  <c r="AN26" i="59"/>
  <c r="X26" i="59" s="1"/>
  <c r="AY26" i="59" s="1"/>
  <c r="AN22" i="59"/>
  <c r="AN18" i="59"/>
  <c r="AN14" i="59"/>
  <c r="AN10" i="59"/>
  <c r="AS10" i="59"/>
  <c r="AS24" i="59"/>
  <c r="AH33" i="59"/>
  <c r="AJ33" i="59"/>
  <c r="AI33" i="59"/>
  <c r="AL33" i="59"/>
  <c r="AG33" i="59"/>
  <c r="AF33" i="59"/>
  <c r="AE33" i="59"/>
  <c r="AA33" i="59"/>
  <c r="AS13" i="59"/>
  <c r="AS15" i="59"/>
  <c r="AS22" i="59"/>
  <c r="AS11" i="59"/>
  <c r="AS30" i="59"/>
  <c r="AS12" i="59"/>
  <c r="AS16" i="59"/>
  <c r="AS20" i="59"/>
  <c r="AS23" i="59"/>
  <c r="BG24" i="58"/>
  <c r="BG12" i="58"/>
  <c r="BG8" i="58"/>
  <c r="BG37" i="58"/>
  <c r="BG33" i="58"/>
  <c r="BG25" i="58"/>
  <c r="BG13" i="58"/>
  <c r="BG9" i="58"/>
  <c r="BG30" i="58"/>
  <c r="BG26" i="58"/>
  <c r="BG22" i="58"/>
  <c r="BG10" i="58"/>
  <c r="BG39" i="58"/>
  <c r="BG35" i="58"/>
  <c r="BG31" i="58"/>
  <c r="BG23" i="58"/>
  <c r="BG15" i="58"/>
  <c r="BG11" i="58"/>
  <c r="BI39" i="58"/>
  <c r="BI35" i="58"/>
  <c r="BI31" i="58"/>
  <c r="BI23" i="58"/>
  <c r="BI15" i="58"/>
  <c r="BI11" i="58"/>
  <c r="BI7" i="58"/>
  <c r="BC17" i="58"/>
  <c r="AX28" i="58"/>
  <c r="AJ28" i="58" s="1"/>
  <c r="BH28" i="58" s="1"/>
  <c r="AX36" i="58"/>
  <c r="AJ36" i="58" s="1"/>
  <c r="BH36" i="58" s="1"/>
  <c r="AX27" i="58"/>
  <c r="AJ27" i="58" s="1"/>
  <c r="BH27" i="58" s="1"/>
  <c r="AX7" i="58"/>
  <c r="AJ7" i="58" s="1"/>
  <c r="BH7" i="58" s="1"/>
  <c r="AX37" i="58"/>
  <c r="AJ37" i="58" s="1"/>
  <c r="BH37" i="58" s="1"/>
  <c r="AX33" i="58"/>
  <c r="AJ33" i="58" s="1"/>
  <c r="BH33" i="58" s="1"/>
  <c r="AX25" i="58"/>
  <c r="AJ25" i="58" s="1"/>
  <c r="BH25" i="58" s="1"/>
  <c r="AX13" i="58"/>
  <c r="AJ13" i="58" s="1"/>
  <c r="BH13" i="58" s="1"/>
  <c r="AX9" i="58"/>
  <c r="AJ9" i="58" s="1"/>
  <c r="BH9" i="58" s="1"/>
  <c r="AX21" i="58"/>
  <c r="AJ21" i="58" s="1"/>
  <c r="BH21" i="58" s="1"/>
  <c r="AX17" i="58"/>
  <c r="AJ17" i="58" s="1"/>
  <c r="BH17" i="58" s="1"/>
  <c r="AX32" i="58"/>
  <c r="AJ32" i="58" s="1"/>
  <c r="BH32" i="58" s="1"/>
  <c r="AX35" i="58"/>
  <c r="AJ35" i="58" s="1"/>
  <c r="BH35" i="58" s="1"/>
  <c r="AX23" i="58"/>
  <c r="AJ23" i="58" s="1"/>
  <c r="BH23" i="58" s="1"/>
  <c r="AX11" i="58"/>
  <c r="AJ11" i="58" s="1"/>
  <c r="BH11" i="58" s="1"/>
  <c r="AX38" i="58"/>
  <c r="AX34" i="58"/>
  <c r="AJ34" i="58" s="1"/>
  <c r="BH34" i="58" s="1"/>
  <c r="AX30" i="58"/>
  <c r="AJ30" i="58" s="1"/>
  <c r="BH30" i="58" s="1"/>
  <c r="AX26" i="58"/>
  <c r="AJ26" i="58" s="1"/>
  <c r="BH26" i="58" s="1"/>
  <c r="AX22" i="58"/>
  <c r="AJ22" i="58" s="1"/>
  <c r="BH22" i="58" s="1"/>
  <c r="AX18" i="58"/>
  <c r="AJ18" i="58" s="1"/>
  <c r="BH18" i="58" s="1"/>
  <c r="AX14" i="58"/>
  <c r="AJ14" i="58" s="1"/>
  <c r="BH14" i="58" s="1"/>
  <c r="AX10" i="58"/>
  <c r="AJ10" i="58" s="1"/>
  <c r="BH10" i="58" s="1"/>
  <c r="AX15" i="58"/>
  <c r="AX29" i="58"/>
  <c r="AJ29" i="58" s="1"/>
  <c r="BH29" i="58" s="1"/>
  <c r="AX39" i="58"/>
  <c r="AJ39" i="58" s="1"/>
  <c r="BH39" i="58" s="1"/>
  <c r="AX31" i="58"/>
  <c r="AJ31" i="58" s="1"/>
  <c r="BH31" i="58" s="1"/>
  <c r="AX19" i="58"/>
  <c r="AX6" i="58"/>
  <c r="AJ6" i="58" s="1"/>
  <c r="BH6" i="58" s="1"/>
  <c r="AX24" i="58"/>
  <c r="AJ24" i="58" s="1"/>
  <c r="BH24" i="58" s="1"/>
  <c r="AX12" i="58"/>
  <c r="AJ12" i="58" s="1"/>
  <c r="BH12" i="58" s="1"/>
  <c r="AX8" i="58"/>
  <c r="AJ8" i="58" s="1"/>
  <c r="BH8" i="58" s="1"/>
  <c r="AX20" i="58"/>
  <c r="AJ20" i="58" s="1"/>
  <c r="BH20" i="58" s="1"/>
  <c r="AX16" i="58"/>
  <c r="AJ16" i="58" s="1"/>
  <c r="BH16" i="58" s="1"/>
  <c r="BC38" i="58"/>
  <c r="BC16" i="58"/>
  <c r="BC15" i="58"/>
  <c r="AP40" i="58"/>
  <c r="BC19" i="58"/>
  <c r="AU40" i="58"/>
  <c r="BH19" i="57"/>
  <c r="AY35" i="57"/>
  <c r="AK35" i="57" s="1"/>
  <c r="BJ35" i="57" s="1"/>
  <c r="AY27" i="57"/>
  <c r="AK27" i="57" s="1"/>
  <c r="BJ27" i="57" s="1"/>
  <c r="AY30" i="57"/>
  <c r="AK30" i="57" s="1"/>
  <c r="AY14" i="57"/>
  <c r="AY22" i="57"/>
  <c r="AY37" i="57"/>
  <c r="AK37" i="57" s="1"/>
  <c r="AY29" i="57"/>
  <c r="AK29" i="57" s="1"/>
  <c r="AY17" i="57"/>
  <c r="AY9" i="57"/>
  <c r="AY38" i="57"/>
  <c r="AK38" i="57" s="1"/>
  <c r="AN39" i="57"/>
  <c r="AY34" i="57"/>
  <c r="AK34" i="57" s="1"/>
  <c r="AY26" i="57"/>
  <c r="AK26" i="57" s="1"/>
  <c r="AY18" i="57"/>
  <c r="AK18" i="57" s="1"/>
  <c r="AY10" i="57"/>
  <c r="AY15" i="57"/>
  <c r="AY31" i="57"/>
  <c r="AK31" i="57" s="1"/>
  <c r="BJ31" i="57" s="1"/>
  <c r="AY19" i="57"/>
  <c r="AK19" i="57" s="1"/>
  <c r="BJ19" i="57" s="1"/>
  <c r="AY11" i="57"/>
  <c r="AY33" i="57"/>
  <c r="AK33" i="57" s="1"/>
  <c r="AY25" i="57"/>
  <c r="AK25" i="57" s="1"/>
  <c r="AY13" i="57"/>
  <c r="AY23" i="57"/>
  <c r="AM39" i="57"/>
  <c r="AY8" i="57"/>
  <c r="AY21" i="57"/>
  <c r="AK21" i="57" s="1"/>
  <c r="AY36" i="57"/>
  <c r="AK36" i="57" s="1"/>
  <c r="BJ36" i="57" s="1"/>
  <c r="AY32" i="57"/>
  <c r="AK32" i="57" s="1"/>
  <c r="BJ32" i="57" s="1"/>
  <c r="AY28" i="57"/>
  <c r="AK28" i="57" s="1"/>
  <c r="BJ28" i="57" s="1"/>
  <c r="AY24" i="57"/>
  <c r="AY20" i="57"/>
  <c r="AK20" i="57" s="1"/>
  <c r="BJ20" i="57" s="1"/>
  <c r="AY16" i="57"/>
  <c r="AK16" i="57" s="1"/>
  <c r="BJ16" i="57" s="1"/>
  <c r="AY12" i="57"/>
  <c r="AW39" i="57"/>
  <c r="U63" i="57"/>
  <c r="U27" i="55"/>
  <c r="X27" i="55"/>
  <c r="AB27" i="55"/>
  <c r="AE13" i="55"/>
  <c r="S13" i="55" s="1"/>
  <c r="AK13" i="55" s="1"/>
  <c r="AT30" i="54"/>
  <c r="AQ14" i="52"/>
  <c r="AU27" i="52"/>
  <c r="AW26" i="52"/>
  <c r="AW32" i="54"/>
  <c r="AW28" i="54"/>
  <c r="AW24" i="54"/>
  <c r="AW20" i="54"/>
  <c r="AW16" i="54"/>
  <c r="AW8" i="54"/>
  <c r="AQ34" i="54"/>
  <c r="AW7" i="54"/>
  <c r="AW26" i="54"/>
  <c r="AW22" i="54"/>
  <c r="AW18" i="54"/>
  <c r="AW14" i="54"/>
  <c r="AU10" i="54"/>
  <c r="AU33" i="54"/>
  <c r="AU21" i="54"/>
  <c r="AU17" i="54"/>
  <c r="AU13" i="54"/>
  <c r="AU31" i="54"/>
  <c r="AU27" i="54"/>
  <c r="AU23" i="54"/>
  <c r="AU19" i="54"/>
  <c r="AU15" i="54"/>
  <c r="AU11" i="54"/>
  <c r="AP29" i="54"/>
  <c r="AR34" i="54"/>
  <c r="AP26" i="54"/>
  <c r="AP28" i="54"/>
  <c r="AX34" i="54"/>
  <c r="AP13" i="54"/>
  <c r="AW33" i="54"/>
  <c r="AW29" i="54"/>
  <c r="AW25" i="54"/>
  <c r="AW21" i="54"/>
  <c r="AW17" i="54"/>
  <c r="AW13" i="54"/>
  <c r="AW9" i="54"/>
  <c r="AU32" i="54"/>
  <c r="AU28" i="54"/>
  <c r="AU24" i="54"/>
  <c r="AU20" i="54"/>
  <c r="AU16" i="54"/>
  <c r="AU12" i="54"/>
  <c r="AU8" i="54"/>
  <c r="AW10" i="54"/>
  <c r="AP27" i="54"/>
  <c r="AK25" i="54"/>
  <c r="W25" i="54" s="1"/>
  <c r="AK30" i="54"/>
  <c r="W30" i="54" s="1"/>
  <c r="AV30" i="54" s="1"/>
  <c r="AK26" i="54"/>
  <c r="W26" i="54" s="1"/>
  <c r="AK18" i="54"/>
  <c r="W18" i="54" s="1"/>
  <c r="AK14" i="54"/>
  <c r="W14" i="54" s="1"/>
  <c r="AK10" i="54"/>
  <c r="W10" i="54" s="1"/>
  <c r="AK22" i="54"/>
  <c r="W22" i="54" s="1"/>
  <c r="AW31" i="54"/>
  <c r="AW23" i="54"/>
  <c r="AW19" i="54"/>
  <c r="AW15" i="54"/>
  <c r="AU7" i="54"/>
  <c r="AU30" i="54"/>
  <c r="AU26" i="54"/>
  <c r="AU22" i="54"/>
  <c r="AU18" i="54"/>
  <c r="AU14" i="54"/>
  <c r="AP17" i="54"/>
  <c r="AK31" i="54"/>
  <c r="W31" i="54" s="1"/>
  <c r="AK19" i="54"/>
  <c r="W19" i="54" s="1"/>
  <c r="AK15" i="54"/>
  <c r="W15" i="54" s="1"/>
  <c r="AK11" i="54"/>
  <c r="W11" i="54" s="1"/>
  <c r="Y34" i="54"/>
  <c r="X35" i="54" s="1"/>
  <c r="AU9" i="54"/>
  <c r="AU25" i="54"/>
  <c r="AU29" i="54"/>
  <c r="AE34" i="54"/>
  <c r="AK7" i="54"/>
  <c r="W7" i="54" s="1"/>
  <c r="AN34" i="54"/>
  <c r="AW12" i="54"/>
  <c r="AW30" i="54"/>
  <c r="AB34" i="54"/>
  <c r="AL34" i="54"/>
  <c r="AP24" i="54"/>
  <c r="AK32" i="54"/>
  <c r="W32" i="54" s="1"/>
  <c r="AK16" i="54"/>
  <c r="W16" i="54" s="1"/>
  <c r="AK12" i="54"/>
  <c r="AG34" i="54"/>
  <c r="AS34" i="54"/>
  <c r="AK33" i="54"/>
  <c r="W33" i="54" s="1"/>
  <c r="AK29" i="54"/>
  <c r="W29" i="54" s="1"/>
  <c r="AK21" i="54"/>
  <c r="W21" i="54" s="1"/>
  <c r="AK17" i="54"/>
  <c r="W17" i="54" s="1"/>
  <c r="AK13" i="54"/>
  <c r="W13" i="54" s="1"/>
  <c r="AK9" i="54"/>
  <c r="W9" i="54" s="1"/>
  <c r="AK8" i="54"/>
  <c r="W8" i="54" s="1"/>
  <c r="AK27" i="54"/>
  <c r="AK23" i="54"/>
  <c r="W23" i="54" s="1"/>
  <c r="AK28" i="54"/>
  <c r="W28" i="54" s="1"/>
  <c r="AK24" i="54"/>
  <c r="W24" i="54" s="1"/>
  <c r="AK20" i="54"/>
  <c r="W20" i="54" s="1"/>
  <c r="AH34" i="54"/>
  <c r="AC34" i="54"/>
  <c r="AA34" i="54"/>
  <c r="AF34" i="54"/>
  <c r="J16" i="62"/>
  <c r="N16" i="62"/>
  <c r="I16" i="62"/>
  <c r="M16" i="62"/>
  <c r="W16" i="62"/>
  <c r="AC13" i="62"/>
  <c r="R13" i="62" s="1"/>
  <c r="R15" i="62" s="1"/>
  <c r="H16" i="62"/>
  <c r="L16" i="62"/>
  <c r="AI14" i="62"/>
  <c r="AG10" i="62"/>
  <c r="AG12" i="62" s="1"/>
  <c r="AA16" i="62"/>
  <c r="AC14" i="62"/>
  <c r="R14" i="62" s="1"/>
  <c r="AF14" i="62" s="1"/>
  <c r="G16" i="62"/>
  <c r="K16" i="62"/>
  <c r="O16" i="62"/>
  <c r="V12" i="62"/>
  <c r="AL41" i="61"/>
  <c r="AN21" i="61"/>
  <c r="W21" i="61" s="1"/>
  <c r="AR39" i="57"/>
  <c r="BD11" i="57"/>
  <c r="BD13" i="57"/>
  <c r="BD14" i="57"/>
  <c r="BD22" i="57"/>
  <c r="BD9" i="57"/>
  <c r="BD16" i="57"/>
  <c r="BD17" i="57"/>
  <c r="BD23" i="57"/>
  <c r="BD24" i="57"/>
  <c r="V14" i="52"/>
  <c r="AV14" i="52" s="1"/>
  <c r="AU28" i="52"/>
  <c r="AT14" i="52"/>
  <c r="AR14" i="52"/>
  <c r="AU29" i="52"/>
  <c r="AU25" i="52"/>
  <c r="AU24" i="52"/>
  <c r="N110" i="52"/>
  <c r="D32" i="50"/>
  <c r="F32" i="50"/>
  <c r="AO41" i="61"/>
  <c r="AQ41" i="61"/>
  <c r="AG41" i="61"/>
  <c r="AN22" i="61"/>
  <c r="AN23" i="61"/>
  <c r="W23" i="61" s="1"/>
  <c r="AN24" i="61"/>
  <c r="AN25" i="61"/>
  <c r="W25" i="61" s="1"/>
  <c r="AT25" i="61" s="1"/>
  <c r="AN26" i="61"/>
  <c r="V41" i="61"/>
  <c r="AE41" i="61"/>
  <c r="AP41" i="61"/>
  <c r="AB41" i="61"/>
  <c r="AD41" i="61"/>
  <c r="Y41" i="61"/>
  <c r="X42" i="61" s="1"/>
  <c r="AJ41" i="61"/>
  <c r="AJ43" i="61" s="1"/>
  <c r="U41" i="61"/>
  <c r="AF41" i="61"/>
  <c r="V21" i="60"/>
  <c r="AR9" i="60"/>
  <c r="AR14" i="60"/>
  <c r="AM21" i="60"/>
  <c r="AR10" i="60"/>
  <c r="AR11" i="60"/>
  <c r="AO21" i="60"/>
  <c r="AB21" i="60"/>
  <c r="AF21" i="60"/>
  <c r="AD21" i="60"/>
  <c r="AN21" i="60"/>
  <c r="AC21" i="60"/>
  <c r="AR12" i="60"/>
  <c r="AR13" i="60"/>
  <c r="AR8" i="60"/>
  <c r="Y21" i="60"/>
  <c r="X22" i="60" s="1"/>
  <c r="AR15" i="60"/>
  <c r="AA21" i="60"/>
  <c r="AE21" i="60"/>
  <c r="AL21" i="60"/>
  <c r="U21" i="60"/>
  <c r="AK21" i="60"/>
  <c r="AS17" i="59"/>
  <c r="AS19" i="59"/>
  <c r="AS21" i="59"/>
  <c r="AZ32" i="59"/>
  <c r="AV33" i="59"/>
  <c r="AQ33" i="59"/>
  <c r="W33" i="59"/>
  <c r="AU33" i="59"/>
  <c r="AO33" i="59"/>
  <c r="AO34" i="59" s="1"/>
  <c r="Z33" i="59"/>
  <c r="AZ23" i="59"/>
  <c r="AS32" i="59"/>
  <c r="AM33" i="59"/>
  <c r="AS14" i="59"/>
  <c r="AZ15" i="59"/>
  <c r="AS18" i="59"/>
  <c r="AZ28" i="59"/>
  <c r="AS28" i="59"/>
  <c r="AZ31" i="59"/>
  <c r="AT33" i="59"/>
  <c r="AZ9" i="59"/>
  <c r="AZ17" i="59"/>
  <c r="AZ25" i="59"/>
  <c r="AZ11" i="59"/>
  <c r="AZ19" i="59"/>
  <c r="AZ26" i="59"/>
  <c r="AZ13" i="59"/>
  <c r="AZ21" i="59"/>
  <c r="AZ10" i="59"/>
  <c r="AZ12" i="59"/>
  <c r="AZ14" i="59"/>
  <c r="AZ16" i="59"/>
  <c r="AZ18" i="59"/>
  <c r="AZ20" i="59"/>
  <c r="AZ29" i="59"/>
  <c r="AZ27" i="59"/>
  <c r="AZ30" i="59"/>
  <c r="AZ22" i="59"/>
  <c r="AZ24" i="59"/>
  <c r="V33" i="59"/>
  <c r="AV40" i="58"/>
  <c r="AM40" i="58"/>
  <c r="AS40" i="58"/>
  <c r="AR40" i="58"/>
  <c r="AL40" i="58"/>
  <c r="AK41" i="58" s="1"/>
  <c r="BD40" i="58"/>
  <c r="AQ40" i="58"/>
  <c r="BE40" i="58"/>
  <c r="BI6" i="58"/>
  <c r="AI40" i="58"/>
  <c r="BB40" i="58"/>
  <c r="AY40" i="58"/>
  <c r="AY41" i="58" s="1"/>
  <c r="BA40" i="58"/>
  <c r="AT40" i="58"/>
  <c r="BG6" i="58"/>
  <c r="BB39" i="57"/>
  <c r="BD12" i="57"/>
  <c r="BG39" i="57"/>
  <c r="AT39" i="57"/>
  <c r="BF39" i="57"/>
  <c r="BD10" i="57"/>
  <c r="AS39" i="57"/>
  <c r="BD8" i="57"/>
  <c r="AZ39" i="57"/>
  <c r="AZ40" i="57" s="1"/>
  <c r="BD15" i="57"/>
  <c r="AU39" i="57"/>
  <c r="AQ15" i="56"/>
  <c r="U17" i="56"/>
  <c r="AQ14" i="56"/>
  <c r="T17" i="56"/>
  <c r="AQ12" i="56"/>
  <c r="AB17" i="56"/>
  <c r="AG10" i="56"/>
  <c r="V10" i="56" s="1"/>
  <c r="AR10" i="56" s="1"/>
  <c r="AA17" i="56"/>
  <c r="AE17" i="56"/>
  <c r="AQ9" i="56"/>
  <c r="AG11" i="56"/>
  <c r="V11" i="56" s="1"/>
  <c r="AR11" i="56" s="1"/>
  <c r="AG14" i="56"/>
  <c r="V14" i="56" s="1"/>
  <c r="AR14" i="56" s="1"/>
  <c r="AG9" i="56"/>
  <c r="V9" i="56" s="1"/>
  <c r="AR9" i="56" s="1"/>
  <c r="AJ17" i="56"/>
  <c r="AO17" i="56"/>
  <c r="AQ10" i="56"/>
  <c r="AG13" i="56"/>
  <c r="V13" i="56" s="1"/>
  <c r="AR13" i="56" s="1"/>
  <c r="AG15" i="56"/>
  <c r="V15" i="56" s="1"/>
  <c r="AR15" i="56" s="1"/>
  <c r="AL17" i="56"/>
  <c r="AQ13" i="56"/>
  <c r="AQ16" i="56"/>
  <c r="AC17" i="56"/>
  <c r="AE9" i="55"/>
  <c r="S9" i="55" s="1"/>
  <c r="AK9" i="55" s="1"/>
  <c r="AE23" i="55"/>
  <c r="S23" i="55" s="1"/>
  <c r="AK23" i="55" s="1"/>
  <c r="AE10" i="55"/>
  <c r="S10" i="55" s="1"/>
  <c r="AK10" i="55" s="1"/>
  <c r="AE20" i="55"/>
  <c r="S20" i="55" s="1"/>
  <c r="AK20" i="55" s="1"/>
  <c r="AE12" i="55"/>
  <c r="S12" i="55" s="1"/>
  <c r="AK12" i="55" s="1"/>
  <c r="AE25" i="55"/>
  <c r="S25" i="55" s="1"/>
  <c r="AK25" i="55" s="1"/>
  <c r="AE26" i="55"/>
  <c r="S26" i="55" s="1"/>
  <c r="AK26" i="55" s="1"/>
  <c r="R27" i="55"/>
  <c r="AA27" i="55"/>
  <c r="AG27" i="55"/>
  <c r="AE11" i="55"/>
  <c r="S11" i="55" s="1"/>
  <c r="AK11" i="55" s="1"/>
  <c r="AE14" i="55"/>
  <c r="S14" i="55" s="1"/>
  <c r="AK14" i="55" s="1"/>
  <c r="AE16" i="55"/>
  <c r="S16" i="55" s="1"/>
  <c r="AK16" i="55" s="1"/>
  <c r="AE21" i="55"/>
  <c r="S21" i="55" s="1"/>
  <c r="AK21" i="55" s="1"/>
  <c r="AE22" i="55"/>
  <c r="S22" i="55" s="1"/>
  <c r="AK22" i="55" s="1"/>
  <c r="Z27" i="55"/>
  <c r="AE15" i="55"/>
  <c r="S15" i="55" s="1"/>
  <c r="AK15" i="55" s="1"/>
  <c r="AE19" i="55"/>
  <c r="S19" i="55" s="1"/>
  <c r="AK19" i="55" s="1"/>
  <c r="AE24" i="55"/>
  <c r="S24" i="55" s="1"/>
  <c r="AK24" i="55" s="1"/>
  <c r="Y27" i="55"/>
  <c r="AH27" i="55"/>
  <c r="AE17" i="55"/>
  <c r="S17" i="55" s="1"/>
  <c r="AK17" i="55" s="1"/>
  <c r="AE18" i="55"/>
  <c r="S18" i="55" s="1"/>
  <c r="AK18" i="55" s="1"/>
  <c r="AD27" i="55"/>
  <c r="AE8" i="55"/>
  <c r="S8" i="55" s="1"/>
  <c r="AK8" i="55" s="1"/>
  <c r="Q27" i="55"/>
  <c r="AC27" i="55"/>
  <c r="AM35" i="31"/>
  <c r="AH21" i="31"/>
  <c r="AG21" i="31"/>
  <c r="AM21" i="31"/>
  <c r="U34" i="54"/>
  <c r="V34" i="54"/>
  <c r="Y16" i="52"/>
  <c r="X56" i="52" s="1"/>
  <c r="AH42" i="49"/>
  <c r="AL42" i="49"/>
  <c r="AG37" i="49"/>
  <c r="AF38" i="49"/>
  <c r="AF42" i="49" s="1"/>
  <c r="AG36" i="49"/>
  <c r="V39" i="49"/>
  <c r="AG41" i="49"/>
  <c r="AN42" i="49"/>
  <c r="AY36" i="49"/>
  <c r="Z41" i="49"/>
  <c r="Z42" i="49" s="1"/>
  <c r="T38" i="49"/>
  <c r="BA36" i="49"/>
  <c r="BA37" i="49"/>
  <c r="BA40" i="49"/>
  <c r="BA41" i="49" s="1"/>
  <c r="T41" i="49"/>
  <c r="U42" i="49"/>
  <c r="AY37" i="49"/>
  <c r="AY40" i="49"/>
  <c r="AY41" i="49" s="1"/>
  <c r="BA15" i="49"/>
  <c r="AW15" i="49"/>
  <c r="AV15" i="49"/>
  <c r="AV16" i="49" s="1"/>
  <c r="AS15" i="49"/>
  <c r="AS12" i="49"/>
  <c r="V10" i="49"/>
  <c r="AN15" i="49"/>
  <c r="AG15" i="49"/>
  <c r="AB15" i="49"/>
  <c r="AC15" i="49"/>
  <c r="AH16" i="49"/>
  <c r="AA16" i="49"/>
  <c r="W16" i="49"/>
  <c r="BD12" i="49"/>
  <c r="BD16" i="49" s="1"/>
  <c r="BA12" i="49"/>
  <c r="AU12" i="49"/>
  <c r="AU16" i="49" s="1"/>
  <c r="AN12" i="49"/>
  <c r="M16" i="49"/>
  <c r="I16" i="49"/>
  <c r="G16" i="49"/>
  <c r="N16" i="49"/>
  <c r="AC12" i="49"/>
  <c r="AG11" i="49"/>
  <c r="V11" i="49" s="1"/>
  <c r="AB12" i="49"/>
  <c r="Z12" i="49"/>
  <c r="Z16" i="49" s="1"/>
  <c r="AU27" i="42"/>
  <c r="AG25" i="42"/>
  <c r="U25" i="42" s="1"/>
  <c r="AG21" i="42"/>
  <c r="U21" i="42" s="1"/>
  <c r="AT21" i="42" s="1"/>
  <c r="AG17" i="42"/>
  <c r="U17" i="42" s="1"/>
  <c r="AT17" i="42" s="1"/>
  <c r="AG13" i="42"/>
  <c r="U13" i="42" s="1"/>
  <c r="AG9" i="42"/>
  <c r="U9" i="42" s="1"/>
  <c r="AG8" i="42"/>
  <c r="U8" i="42" s="1"/>
  <c r="AT8" i="42" s="1"/>
  <c r="AP27" i="42"/>
  <c r="AG24" i="42"/>
  <c r="U24" i="42" s="1"/>
  <c r="AT24" i="42" s="1"/>
  <c r="AG20" i="42"/>
  <c r="U20" i="42" s="1"/>
  <c r="AT20" i="42" s="1"/>
  <c r="AG16" i="42"/>
  <c r="U16" i="42" s="1"/>
  <c r="AT16" i="42" s="1"/>
  <c r="AG12" i="42"/>
  <c r="U12" i="42" s="1"/>
  <c r="AT12" i="42" s="1"/>
  <c r="AQ27" i="42"/>
  <c r="AN27" i="42"/>
  <c r="AC27" i="42"/>
  <c r="AF27" i="42"/>
  <c r="AE27" i="42"/>
  <c r="AE28" i="42" s="1"/>
  <c r="AA27" i="42"/>
  <c r="AD27" i="42"/>
  <c r="Z27" i="42"/>
  <c r="T27" i="42"/>
  <c r="AS27" i="42" s="1"/>
  <c r="S27" i="42"/>
  <c r="BA17" i="48"/>
  <c r="AZ17" i="48"/>
  <c r="AU17" i="48"/>
  <c r="AS15" i="48"/>
  <c r="AS14" i="48"/>
  <c r="AS12" i="48"/>
  <c r="AR17" i="48"/>
  <c r="AS10" i="48"/>
  <c r="AS9" i="48"/>
  <c r="AQ17" i="48"/>
  <c r="AQ18" i="48" s="1"/>
  <c r="AN17" i="48"/>
  <c r="AD17" i="48"/>
  <c r="AG9" i="48"/>
  <c r="V9" i="48" s="1"/>
  <c r="AY9" i="48" s="1"/>
  <c r="AF17" i="48"/>
  <c r="AA17" i="48"/>
  <c r="AC17" i="48"/>
  <c r="AB17" i="48"/>
  <c r="AY21" i="46"/>
  <c r="AX21" i="46"/>
  <c r="AV17" i="46"/>
  <c r="AT21" i="46"/>
  <c r="AT22" i="46" s="1"/>
  <c r="AV21" i="46"/>
  <c r="AQ21" i="46"/>
  <c r="BD33" i="45"/>
  <c r="BC33" i="45"/>
  <c r="AZ33" i="45"/>
  <c r="BA17" i="45"/>
  <c r="BA23" i="45"/>
  <c r="BA15" i="45"/>
  <c r="BA9" i="45"/>
  <c r="BA32" i="45"/>
  <c r="AB32" i="45" s="1"/>
  <c r="BA30" i="45"/>
  <c r="AB30" i="45" s="1"/>
  <c r="BA28" i="45"/>
  <c r="AB28" i="45" s="1"/>
  <c r="BA22" i="45"/>
  <c r="AB22" i="45" s="1"/>
  <c r="BA18" i="45"/>
  <c r="AB18" i="45" s="1"/>
  <c r="BA14" i="45"/>
  <c r="AB14" i="45" s="1"/>
  <c r="BA10" i="45"/>
  <c r="AB10" i="45" s="1"/>
  <c r="AY33" i="45"/>
  <c r="AY34" i="45" s="1"/>
  <c r="AW33" i="45"/>
  <c r="AW34" i="45" s="1"/>
  <c r="AN33" i="45"/>
  <c r="AD33" i="45"/>
  <c r="AC34" i="45" s="1"/>
  <c r="AH33" i="45"/>
  <c r="AG33" i="45"/>
  <c r="AF33" i="45"/>
  <c r="AW41" i="44"/>
  <c r="AX41" i="44"/>
  <c r="AT41" i="44"/>
  <c r="AU20" i="44"/>
  <c r="AU17" i="44"/>
  <c r="AS41" i="44"/>
  <c r="AS42" i="44" s="1"/>
  <c r="AU39" i="44"/>
  <c r="AP41" i="44"/>
  <c r="AI31" i="44"/>
  <c r="X31" i="44" s="1"/>
  <c r="AI15" i="44"/>
  <c r="X15" i="44" s="1"/>
  <c r="AI29" i="44"/>
  <c r="X29" i="44" s="1"/>
  <c r="AI35" i="44"/>
  <c r="X35" i="44" s="1"/>
  <c r="BE41" i="43"/>
  <c r="AZ41" i="43"/>
  <c r="AW26" i="43"/>
  <c r="AV41" i="43"/>
  <c r="AW16" i="43"/>
  <c r="AW25" i="43"/>
  <c r="AW24" i="43"/>
  <c r="AW19" i="43"/>
  <c r="AW15" i="43"/>
  <c r="AW11" i="43"/>
  <c r="AU41" i="43"/>
  <c r="AU43" i="43" s="1"/>
  <c r="AW10" i="43"/>
  <c r="AS41" i="43"/>
  <c r="AR41" i="43"/>
  <c r="AK31" i="43"/>
  <c r="Y31" i="43" s="1"/>
  <c r="AK27" i="43"/>
  <c r="Y27" i="43" s="1"/>
  <c r="BC27" i="43" s="1"/>
  <c r="AK32" i="43"/>
  <c r="Y32" i="43" s="1"/>
  <c r="AK25" i="43"/>
  <c r="Y25" i="43" s="1"/>
  <c r="AK16" i="43"/>
  <c r="Y16" i="43" s="1"/>
  <c r="AK19" i="43"/>
  <c r="Y19" i="43" s="1"/>
  <c r="BC19" i="43" s="1"/>
  <c r="BA34" i="40"/>
  <c r="AZ34" i="40"/>
  <c r="AI34" i="40"/>
  <c r="AL7" i="40"/>
  <c r="Y7" i="40" s="1"/>
  <c r="AE34" i="40"/>
  <c r="AD34" i="40"/>
  <c r="AL25" i="40"/>
  <c r="Y25" i="40" s="1"/>
  <c r="BD25" i="40" s="1"/>
  <c r="AL33" i="40"/>
  <c r="Y33" i="40" s="1"/>
  <c r="BD33" i="40" s="1"/>
  <c r="AL17" i="40"/>
  <c r="Y17" i="40" s="1"/>
  <c r="AL9" i="40"/>
  <c r="Y9" i="40" s="1"/>
  <c r="BD9" i="40" s="1"/>
  <c r="BF34" i="40"/>
  <c r="BC26" i="40"/>
  <c r="BE25" i="40"/>
  <c r="BC23" i="40"/>
  <c r="BC22" i="40"/>
  <c r="BC21" i="40"/>
  <c r="BE17" i="40"/>
  <c r="BC15" i="40"/>
  <c r="BE14" i="40"/>
  <c r="BE9" i="40"/>
  <c r="BC13" i="40"/>
  <c r="BE13" i="40"/>
  <c r="BE31" i="40"/>
  <c r="BE27" i="40"/>
  <c r="BE23" i="40"/>
  <c r="BE19" i="40"/>
  <c r="BE15" i="40"/>
  <c r="BE11" i="40"/>
  <c r="BE32" i="40"/>
  <c r="BE28" i="40"/>
  <c r="BE24" i="40"/>
  <c r="BE20" i="40"/>
  <c r="BE16" i="40"/>
  <c r="BE12" i="40"/>
  <c r="BE8" i="40"/>
  <c r="BE7" i="40"/>
  <c r="BC32" i="40"/>
  <c r="BC28" i="40"/>
  <c r="BC24" i="40"/>
  <c r="BC20" i="40"/>
  <c r="BC16" i="40"/>
  <c r="BC12" i="40"/>
  <c r="BC8" i="40"/>
  <c r="BC7" i="40"/>
  <c r="AT34" i="40"/>
  <c r="AX26" i="40"/>
  <c r="Y26" i="40" s="1"/>
  <c r="AX24" i="40"/>
  <c r="AX17" i="40"/>
  <c r="AU34" i="40"/>
  <c r="AT36" i="40" s="1"/>
  <c r="AX29" i="40"/>
  <c r="AX27" i="40"/>
  <c r="AW34" i="40"/>
  <c r="AX13" i="40"/>
  <c r="AV34" i="40"/>
  <c r="AX12" i="40"/>
  <c r="AS34" i="40"/>
  <c r="AL19" i="40"/>
  <c r="Y19" i="40" s="1"/>
  <c r="AL29" i="40"/>
  <c r="Y29" i="40" s="1"/>
  <c r="BD29" i="40" s="1"/>
  <c r="AL21" i="40"/>
  <c r="Y21" i="40" s="1"/>
  <c r="BD21" i="40" s="1"/>
  <c r="AL13" i="40"/>
  <c r="AL31" i="40"/>
  <c r="Y31" i="40" s="1"/>
  <c r="AL23" i="40"/>
  <c r="Y23" i="40" s="1"/>
  <c r="BD23" i="40" s="1"/>
  <c r="AL15" i="40"/>
  <c r="Y15" i="40" s="1"/>
  <c r="BD15" i="40" s="1"/>
  <c r="AH34" i="40"/>
  <c r="AL32" i="40"/>
  <c r="Y32" i="40" s="1"/>
  <c r="AL28" i="40"/>
  <c r="Y28" i="40" s="1"/>
  <c r="BD28" i="40" s="1"/>
  <c r="AL24" i="40"/>
  <c r="Y24" i="40" s="1"/>
  <c r="BD24" i="40" s="1"/>
  <c r="AL20" i="40"/>
  <c r="Y20" i="40" s="1"/>
  <c r="BD20" i="40" s="1"/>
  <c r="AL16" i="40"/>
  <c r="Y16" i="40" s="1"/>
  <c r="AL12" i="40"/>
  <c r="Y12" i="40" s="1"/>
  <c r="BD12" i="40" s="1"/>
  <c r="AL8" i="40"/>
  <c r="Y8" i="40" s="1"/>
  <c r="BD8" i="40" s="1"/>
  <c r="AA34" i="40"/>
  <c r="Z36" i="40" s="1"/>
  <c r="AK34" i="40"/>
  <c r="AJ34" i="40"/>
  <c r="AG34" i="40"/>
  <c r="AY34" i="40"/>
  <c r="AC34" i="40"/>
  <c r="AV26" i="47"/>
  <c r="BC34" i="47"/>
  <c r="BC26" i="47"/>
  <c r="BC18" i="47"/>
  <c r="BC10" i="47"/>
  <c r="AV23" i="47"/>
  <c r="AV25" i="47"/>
  <c r="AJ33" i="47"/>
  <c r="Y33" i="47" s="1"/>
  <c r="BB33" i="47" s="1"/>
  <c r="AJ36" i="47"/>
  <c r="Y36" i="47" s="1"/>
  <c r="BB36" i="47" s="1"/>
  <c r="AJ28" i="47"/>
  <c r="Y28" i="47" s="1"/>
  <c r="BB28" i="47" s="1"/>
  <c r="AV15" i="47"/>
  <c r="AJ29" i="47"/>
  <c r="Y29" i="47" s="1"/>
  <c r="AV21" i="47"/>
  <c r="AJ24" i="47"/>
  <c r="AJ16" i="47"/>
  <c r="Y16" i="47" s="1"/>
  <c r="BB16" i="47" s="1"/>
  <c r="AJ25" i="47"/>
  <c r="AJ21" i="47"/>
  <c r="AV22" i="47"/>
  <c r="AJ22" i="47"/>
  <c r="AJ23" i="47"/>
  <c r="AJ13" i="47"/>
  <c r="Y13" i="47" s="1"/>
  <c r="BB13" i="47" s="1"/>
  <c r="AJ32" i="47"/>
  <c r="Y32" i="47" s="1"/>
  <c r="BB32" i="47" s="1"/>
  <c r="AJ40" i="47"/>
  <c r="Y40" i="47" s="1"/>
  <c r="BB40" i="47" s="1"/>
  <c r="AJ38" i="47"/>
  <c r="Y38" i="47" s="1"/>
  <c r="BB38" i="47" s="1"/>
  <c r="AJ30" i="47"/>
  <c r="Y30" i="47" s="1"/>
  <c r="BB30" i="47" s="1"/>
  <c r="AJ14" i="47"/>
  <c r="Y14" i="47" s="1"/>
  <c r="BB14" i="47" s="1"/>
  <c r="AJ20" i="47"/>
  <c r="Y20" i="47" s="1"/>
  <c r="BB20" i="47" s="1"/>
  <c r="AJ12" i="47"/>
  <c r="Y12" i="47" s="1"/>
  <c r="BB12" i="47" s="1"/>
  <c r="AJ17" i="47"/>
  <c r="Y17" i="47" s="1"/>
  <c r="BB17" i="47" s="1"/>
  <c r="AJ37" i="47"/>
  <c r="Y37" i="47" s="1"/>
  <c r="BB37" i="47" s="1"/>
  <c r="AR43" i="47"/>
  <c r="AJ19" i="47"/>
  <c r="Y19" i="47" s="1"/>
  <c r="BB19" i="47" s="1"/>
  <c r="AJ39" i="47"/>
  <c r="Y39" i="47" s="1"/>
  <c r="BB39" i="47" s="1"/>
  <c r="AJ31" i="47"/>
  <c r="Y31" i="47" s="1"/>
  <c r="BB31" i="47" s="1"/>
  <c r="AJ27" i="47"/>
  <c r="Y27" i="47" s="1"/>
  <c r="BB27" i="47" s="1"/>
  <c r="AX41" i="47"/>
  <c r="AY41" i="47"/>
  <c r="AW41" i="47"/>
  <c r="AV24" i="47"/>
  <c r="AT41" i="47"/>
  <c r="AU41" i="47"/>
  <c r="AJ26" i="47"/>
  <c r="AJ34" i="47"/>
  <c r="Y34" i="47" s="1"/>
  <c r="BB34" i="47" s="1"/>
  <c r="AJ15" i="47"/>
  <c r="AJ35" i="47"/>
  <c r="Y35" i="47" s="1"/>
  <c r="BB35" i="47" s="1"/>
  <c r="AJ18" i="47"/>
  <c r="Y18" i="47" s="1"/>
  <c r="BB18" i="47" s="1"/>
  <c r="AJ10" i="47"/>
  <c r="Y10" i="47" s="1"/>
  <c r="BB10" i="47" s="1"/>
  <c r="AJ11" i="47"/>
  <c r="Y11" i="47" s="1"/>
  <c r="BB11" i="47" s="1"/>
  <c r="AJ9" i="47"/>
  <c r="AH15" i="39"/>
  <c r="AA15" i="39"/>
  <c r="AK15" i="39"/>
  <c r="X15" i="39"/>
  <c r="BI12" i="39"/>
  <c r="BI13" i="39"/>
  <c r="BC15" i="39"/>
  <c r="AP15" i="39"/>
  <c r="BI9" i="39"/>
  <c r="AE15" i="39"/>
  <c r="W15" i="39"/>
  <c r="AX15" i="39"/>
  <c r="BI8" i="39"/>
  <c r="BI15" i="39" s="1"/>
  <c r="AZ15" i="39"/>
  <c r="AS11" i="39"/>
  <c r="AQ15" i="39"/>
  <c r="W17" i="39"/>
  <c r="BI11" i="39"/>
  <c r="BK7" i="39"/>
  <c r="AS12" i="39"/>
  <c r="AS9" i="39"/>
  <c r="AS13" i="39"/>
  <c r="AS14" i="39"/>
  <c r="Y14" i="39" s="1"/>
  <c r="AI10" i="39"/>
  <c r="AS10" i="39" s="1"/>
  <c r="Y10" i="39" s="1"/>
  <c r="BJ10" i="39" s="1"/>
  <c r="AL7" i="39"/>
  <c r="AL15" i="39" s="1"/>
  <c r="BA7" i="39"/>
  <c r="BA15" i="39" s="1"/>
  <c r="AR7" i="39"/>
  <c r="X17" i="39"/>
  <c r="BB13" i="39"/>
  <c r="BB9" i="39"/>
  <c r="AO15" i="39"/>
  <c r="AN15" i="39"/>
  <c r="BE15" i="39"/>
  <c r="BH15" i="39"/>
  <c r="BG15" i="39"/>
  <c r="BD15" i="39"/>
  <c r="W44" i="47"/>
  <c r="X44" i="47"/>
  <c r="BB12" i="39"/>
  <c r="BB8" i="39"/>
  <c r="T15" i="49"/>
  <c r="U15" i="49"/>
  <c r="U16" i="49" s="1"/>
  <c r="T12" i="49"/>
  <c r="E16" i="49"/>
  <c r="F16" i="49"/>
  <c r="Q16" i="49"/>
  <c r="AL16" i="49"/>
  <c r="Y16" i="49"/>
  <c r="T17" i="48"/>
  <c r="AE17" i="48"/>
  <c r="U17" i="48"/>
  <c r="Z17" i="48"/>
  <c r="BA41" i="47"/>
  <c r="Z43" i="47"/>
  <c r="W21" i="46"/>
  <c r="X21" i="46"/>
  <c r="AT33" i="45"/>
  <c r="Z33" i="45"/>
  <c r="AA33" i="45"/>
  <c r="H41" i="44"/>
  <c r="I41" i="44"/>
  <c r="J41" i="44"/>
  <c r="K41" i="44"/>
  <c r="L41" i="44"/>
  <c r="M41" i="44"/>
  <c r="G102" i="44"/>
  <c r="F102" i="44"/>
  <c r="E102" i="44"/>
  <c r="G79" i="44"/>
  <c r="F79" i="44"/>
  <c r="E79" i="44"/>
  <c r="G64" i="44"/>
  <c r="F64" i="44"/>
  <c r="E64" i="44"/>
  <c r="AD41" i="44"/>
  <c r="AC41" i="44"/>
  <c r="Y41" i="44"/>
  <c r="Q41" i="44"/>
  <c r="P41" i="44"/>
  <c r="O41" i="44"/>
  <c r="N41" i="44"/>
  <c r="G41" i="44"/>
  <c r="G44" i="44" s="1"/>
  <c r="F41" i="44"/>
  <c r="E41" i="44"/>
  <c r="AB40" i="44"/>
  <c r="AI40" i="44" s="1"/>
  <c r="X40" i="44" s="1"/>
  <c r="AA40" i="44"/>
  <c r="AB39" i="44"/>
  <c r="AI39" i="44" s="1"/>
  <c r="X39" i="44" s="1"/>
  <c r="AA39" i="44"/>
  <c r="AB38" i="44"/>
  <c r="AI38" i="44" s="1"/>
  <c r="X38" i="44" s="1"/>
  <c r="AA38" i="44"/>
  <c r="AB37" i="44"/>
  <c r="AI37" i="44" s="1"/>
  <c r="X37" i="44" s="1"/>
  <c r="AA37" i="44"/>
  <c r="AB36" i="44"/>
  <c r="AI36" i="44" s="1"/>
  <c r="X36" i="44" s="1"/>
  <c r="AA36" i="44"/>
  <c r="AB35" i="44"/>
  <c r="AA35" i="44"/>
  <c r="AB34" i="44"/>
  <c r="AI34" i="44" s="1"/>
  <c r="X34" i="44" s="1"/>
  <c r="AA34" i="44"/>
  <c r="AB33" i="44"/>
  <c r="AI33" i="44" s="1"/>
  <c r="X33" i="44" s="1"/>
  <c r="AA33" i="44"/>
  <c r="AB32" i="44"/>
  <c r="AI32" i="44" s="1"/>
  <c r="X32" i="44" s="1"/>
  <c r="AA32" i="44"/>
  <c r="AB31" i="44"/>
  <c r="AA31" i="44"/>
  <c r="AB30" i="44"/>
  <c r="AI30" i="44" s="1"/>
  <c r="X30" i="44" s="1"/>
  <c r="AA30" i="44"/>
  <c r="AB29" i="44"/>
  <c r="AA29" i="44"/>
  <c r="AB28" i="44"/>
  <c r="AI28" i="44" s="1"/>
  <c r="X28" i="44" s="1"/>
  <c r="AA28" i="44"/>
  <c r="AB27" i="44"/>
  <c r="AI27" i="44" s="1"/>
  <c r="X27" i="44" s="1"/>
  <c r="AA27" i="44"/>
  <c r="AB26" i="44"/>
  <c r="AI26" i="44" s="1"/>
  <c r="X26" i="44" s="1"/>
  <c r="AA26" i="44"/>
  <c r="AB25" i="44"/>
  <c r="AI25" i="44" s="1"/>
  <c r="X25" i="44" s="1"/>
  <c r="BA25" i="44" s="1"/>
  <c r="AA25" i="44"/>
  <c r="AB24" i="44"/>
  <c r="AI24" i="44" s="1"/>
  <c r="X24" i="44" s="1"/>
  <c r="AA24" i="44"/>
  <c r="AB23" i="44"/>
  <c r="AI23" i="44" s="1"/>
  <c r="X23" i="44" s="1"/>
  <c r="BA23" i="44" s="1"/>
  <c r="AA23" i="44"/>
  <c r="AB22" i="44"/>
  <c r="AI22" i="44" s="1"/>
  <c r="X22" i="44" s="1"/>
  <c r="AA22" i="44"/>
  <c r="AB21" i="44"/>
  <c r="AI21" i="44" s="1"/>
  <c r="X21" i="44" s="1"/>
  <c r="AA21" i="44"/>
  <c r="AB20" i="44"/>
  <c r="AI20" i="44" s="1"/>
  <c r="X20" i="44" s="1"/>
  <c r="AA20" i="44"/>
  <c r="AB19" i="44"/>
  <c r="AI19" i="44" s="1"/>
  <c r="X19" i="44" s="1"/>
  <c r="AA19" i="44"/>
  <c r="AB18" i="44"/>
  <c r="AI18" i="44" s="1"/>
  <c r="X18" i="44" s="1"/>
  <c r="AA18" i="44"/>
  <c r="AB17" i="44"/>
  <c r="AI17" i="44" s="1"/>
  <c r="X17" i="44" s="1"/>
  <c r="AA17" i="44"/>
  <c r="AB16" i="44"/>
  <c r="AI16" i="44" s="1"/>
  <c r="X16" i="44" s="1"/>
  <c r="AA16" i="44"/>
  <c r="AB15" i="44"/>
  <c r="AA15" i="44"/>
  <c r="AB14" i="44"/>
  <c r="AI14" i="44" s="1"/>
  <c r="X14" i="44" s="1"/>
  <c r="AA14" i="44"/>
  <c r="AB13" i="44"/>
  <c r="AI13" i="44" s="1"/>
  <c r="X13" i="44" s="1"/>
  <c r="AA13" i="44"/>
  <c r="AB12" i="44"/>
  <c r="AI12" i="44" s="1"/>
  <c r="X12" i="44" s="1"/>
  <c r="AA12" i="44"/>
  <c r="AB11" i="44"/>
  <c r="AI11" i="44" s="1"/>
  <c r="X11" i="44" s="1"/>
  <c r="AA11" i="44"/>
  <c r="AB10" i="44"/>
  <c r="AI10" i="44" s="1"/>
  <c r="X10" i="44" s="1"/>
  <c r="AA10" i="44"/>
  <c r="AB9" i="44"/>
  <c r="AI9" i="44" s="1"/>
  <c r="X9" i="44" s="1"/>
  <c r="BA9" i="44" s="1"/>
  <c r="AA9" i="44"/>
  <c r="AB8" i="44"/>
  <c r="AI8" i="44" s="1"/>
  <c r="X8" i="44" s="1"/>
  <c r="AA8" i="44"/>
  <c r="AB7" i="44"/>
  <c r="AI7" i="44" s="1"/>
  <c r="X7" i="44" s="1"/>
  <c r="AA7" i="44"/>
  <c r="AB6" i="44"/>
  <c r="AI6" i="44" s="1"/>
  <c r="X6" i="44" s="1"/>
  <c r="AA6" i="44"/>
  <c r="I41" i="43"/>
  <c r="J41" i="43"/>
  <c r="K41" i="43"/>
  <c r="L41" i="43"/>
  <c r="M41" i="43"/>
  <c r="N41" i="43"/>
  <c r="O41" i="43"/>
  <c r="P41" i="43"/>
  <c r="H117" i="43"/>
  <c r="G117" i="43"/>
  <c r="F117" i="43"/>
  <c r="E117" i="43"/>
  <c r="H65" i="43"/>
  <c r="G65" i="43"/>
  <c r="F65" i="43"/>
  <c r="AM41" i="43"/>
  <c r="AG41" i="43"/>
  <c r="AE41" i="43"/>
  <c r="AC41" i="43"/>
  <c r="AB41" i="43"/>
  <c r="AA41" i="43"/>
  <c r="Z41" i="43"/>
  <c r="R41" i="43"/>
  <c r="Q41" i="43"/>
  <c r="H41" i="43"/>
  <c r="G41" i="43"/>
  <c r="F41" i="43"/>
  <c r="E41" i="43"/>
  <c r="AD40" i="43"/>
  <c r="AK40" i="43" s="1"/>
  <c r="Y40" i="43" s="1"/>
  <c r="AD39" i="43"/>
  <c r="AK39" i="43" s="1"/>
  <c r="Y39" i="43" s="1"/>
  <c r="AD38" i="43"/>
  <c r="AK38" i="43" s="1"/>
  <c r="Y38" i="43" s="1"/>
  <c r="AD37" i="43"/>
  <c r="AK37" i="43" s="1"/>
  <c r="Y37" i="43" s="1"/>
  <c r="AD36" i="43"/>
  <c r="AK36" i="43" s="1"/>
  <c r="Y36" i="43" s="1"/>
  <c r="AD35" i="43"/>
  <c r="AK35" i="43" s="1"/>
  <c r="Y35" i="43" s="1"/>
  <c r="AD34" i="43"/>
  <c r="AK34" i="43" s="1"/>
  <c r="Y34" i="43" s="1"/>
  <c r="AD33" i="43"/>
  <c r="AK33" i="43" s="1"/>
  <c r="Y33" i="43" s="1"/>
  <c r="AD32" i="43"/>
  <c r="AD31" i="43"/>
  <c r="AD30" i="43"/>
  <c r="AK30" i="43" s="1"/>
  <c r="Y30" i="43" s="1"/>
  <c r="AD29" i="43"/>
  <c r="AK29" i="43" s="1"/>
  <c r="Y29" i="43" s="1"/>
  <c r="AD28" i="43"/>
  <c r="AK28" i="43" s="1"/>
  <c r="Y28" i="43" s="1"/>
  <c r="AD27" i="43"/>
  <c r="AD26" i="43"/>
  <c r="AK26" i="43" s="1"/>
  <c r="Y26" i="43" s="1"/>
  <c r="AD25" i="43"/>
  <c r="AD24" i="43"/>
  <c r="AK24" i="43" s="1"/>
  <c r="Y24" i="43" s="1"/>
  <c r="AD23" i="43"/>
  <c r="AK23" i="43" s="1"/>
  <c r="Y23" i="43" s="1"/>
  <c r="AD22" i="43"/>
  <c r="AK22" i="43" s="1"/>
  <c r="Y22" i="43" s="1"/>
  <c r="AD21" i="43"/>
  <c r="AK21" i="43" s="1"/>
  <c r="Y21" i="43" s="1"/>
  <c r="AD20" i="43"/>
  <c r="AK20" i="43" s="1"/>
  <c r="Y20" i="43" s="1"/>
  <c r="AD19" i="43"/>
  <c r="AD18" i="43"/>
  <c r="AK18" i="43" s="1"/>
  <c r="Y18" i="43" s="1"/>
  <c r="A20" i="43"/>
  <c r="A21" i="43" s="1"/>
  <c r="A22" i="43" s="1"/>
  <c r="A23" i="43" s="1"/>
  <c r="A24" i="43" s="1"/>
  <c r="A25" i="43" s="1"/>
  <c r="A26" i="43" s="1"/>
  <c r="A27" i="43" s="1"/>
  <c r="A28" i="43" s="1"/>
  <c r="A29" i="43" s="1"/>
  <c r="A30" i="43" s="1"/>
  <c r="AD17" i="43"/>
  <c r="AK17" i="43" s="1"/>
  <c r="Y17" i="43" s="1"/>
  <c r="AD16" i="43"/>
  <c r="AD15" i="43"/>
  <c r="AK15" i="43" s="1"/>
  <c r="Y15" i="43" s="1"/>
  <c r="AD14" i="43"/>
  <c r="AK14" i="43" s="1"/>
  <c r="Y14" i="43" s="1"/>
  <c r="AD13" i="43"/>
  <c r="AK13" i="43" s="1"/>
  <c r="Y13" i="43" s="1"/>
  <c r="AD12" i="43"/>
  <c r="AK12" i="43" s="1"/>
  <c r="Y12" i="43" s="1"/>
  <c r="AD11" i="43"/>
  <c r="AK11" i="43" s="1"/>
  <c r="Y11" i="43" s="1"/>
  <c r="AD10" i="43"/>
  <c r="AK10" i="43" s="1"/>
  <c r="Y10" i="43" s="1"/>
  <c r="I27" i="42"/>
  <c r="J27" i="42"/>
  <c r="N27" i="42"/>
  <c r="L27" i="42"/>
  <c r="K27" i="42"/>
  <c r="H27" i="42"/>
  <c r="G27" i="42"/>
  <c r="F27" i="42"/>
  <c r="S23" i="21"/>
  <c r="R23" i="21"/>
  <c r="I34" i="40"/>
  <c r="J34" i="40"/>
  <c r="K34" i="40"/>
  <c r="L34" i="40"/>
  <c r="H82" i="40"/>
  <c r="G82" i="40"/>
  <c r="F82" i="40"/>
  <c r="P34" i="40"/>
  <c r="O34" i="40"/>
  <c r="N34" i="40"/>
  <c r="M34" i="40"/>
  <c r="H34" i="40"/>
  <c r="H38" i="40" s="1"/>
  <c r="G34" i="40"/>
  <c r="F34" i="40"/>
  <c r="R34" i="40"/>
  <c r="G15" i="39"/>
  <c r="H73" i="39"/>
  <c r="G73" i="39"/>
  <c r="F73" i="39"/>
  <c r="E73" i="39"/>
  <c r="P52" i="39"/>
  <c r="O52" i="39"/>
  <c r="H52" i="39"/>
  <c r="F52" i="39"/>
  <c r="E52" i="39"/>
  <c r="Z16" i="39"/>
  <c r="F15" i="39"/>
  <c r="E15" i="39"/>
  <c r="AF7" i="39"/>
  <c r="AF15" i="39" s="1"/>
  <c r="AA41" i="38"/>
  <c r="AA10" i="38"/>
  <c r="AA11" i="38"/>
  <c r="AA12" i="38"/>
  <c r="AA13" i="38"/>
  <c r="AA14" i="38"/>
  <c r="AA15" i="38"/>
  <c r="AA16" i="38"/>
  <c r="AA17" i="38"/>
  <c r="AA18" i="38"/>
  <c r="AA19" i="38"/>
  <c r="AA20" i="38"/>
  <c r="AA21" i="38"/>
  <c r="AA22" i="38"/>
  <c r="AA23" i="38"/>
  <c r="AA24" i="38"/>
  <c r="AA25" i="38"/>
  <c r="AA26" i="38"/>
  <c r="AA27" i="38"/>
  <c r="AA28" i="38"/>
  <c r="AA29" i="38"/>
  <c r="AA30" i="38"/>
  <c r="AA31" i="38"/>
  <c r="AA32" i="38"/>
  <c r="AA33" i="38"/>
  <c r="AA34" i="38"/>
  <c r="AA35" i="38"/>
  <c r="AA36" i="38"/>
  <c r="AA37" i="38"/>
  <c r="AA38" i="38"/>
  <c r="AA39" i="38"/>
  <c r="AA40" i="38"/>
  <c r="AA9" i="38"/>
  <c r="W40" i="38"/>
  <c r="X40" i="38" s="1"/>
  <c r="W39" i="38"/>
  <c r="W35" i="38"/>
  <c r="X35" i="38" s="1"/>
  <c r="W34" i="38"/>
  <c r="X34" i="38" s="1"/>
  <c r="W32" i="38"/>
  <c r="W31" i="38"/>
  <c r="W16" i="38"/>
  <c r="X16" i="38" s="1"/>
  <c r="W17" i="38"/>
  <c r="X17" i="38" s="1"/>
  <c r="W18" i="38"/>
  <c r="W19" i="38"/>
  <c r="W20" i="38"/>
  <c r="X20" i="38" s="1"/>
  <c r="W21" i="38"/>
  <c r="X21" i="38" s="1"/>
  <c r="W22" i="38"/>
  <c r="W23" i="38"/>
  <c r="X23" i="38" s="1"/>
  <c r="W24" i="38"/>
  <c r="X24" i="38" s="1"/>
  <c r="W25" i="38"/>
  <c r="X25" i="38" s="1"/>
  <c r="W26" i="38"/>
  <c r="W15" i="38"/>
  <c r="X15" i="38" s="1"/>
  <c r="W11" i="38"/>
  <c r="X11" i="38" s="1"/>
  <c r="W12" i="38"/>
  <c r="W13" i="38"/>
  <c r="W10" i="38"/>
  <c r="Y10" i="38"/>
  <c r="Y11" i="38"/>
  <c r="Y12" i="38"/>
  <c r="Y13" i="38"/>
  <c r="Y14" i="38"/>
  <c r="Y15" i="38"/>
  <c r="Y16" i="38"/>
  <c r="Y17" i="38"/>
  <c r="Y18" i="38"/>
  <c r="Y19" i="38"/>
  <c r="Y20" i="38"/>
  <c r="Y21" i="38"/>
  <c r="Y22" i="38"/>
  <c r="Y23" i="38"/>
  <c r="Y24" i="38"/>
  <c r="Y25" i="38"/>
  <c r="Y26" i="38"/>
  <c r="Y27" i="38"/>
  <c r="Y28" i="38"/>
  <c r="Y29" i="38"/>
  <c r="Y30" i="38"/>
  <c r="Y31" i="38"/>
  <c r="Y32" i="38"/>
  <c r="Y33" i="38"/>
  <c r="Y34" i="38"/>
  <c r="Y35" i="38"/>
  <c r="Y36" i="38"/>
  <c r="Y37" i="38"/>
  <c r="Y38" i="38"/>
  <c r="Y39" i="38"/>
  <c r="Y40" i="38"/>
  <c r="Y9" i="38"/>
  <c r="Y41" i="38" s="1"/>
  <c r="Z10" i="38"/>
  <c r="Z11" i="38"/>
  <c r="Z12" i="38"/>
  <c r="Z13" i="38"/>
  <c r="Z14" i="38"/>
  <c r="Z15" i="38"/>
  <c r="Z16" i="38"/>
  <c r="Z17" i="38"/>
  <c r="Z18" i="38"/>
  <c r="Z19" i="38"/>
  <c r="Z20" i="38"/>
  <c r="Z21" i="38"/>
  <c r="Z22" i="38"/>
  <c r="Z23" i="38"/>
  <c r="Z24" i="38"/>
  <c r="Z25" i="38"/>
  <c r="Z26" i="38"/>
  <c r="Z27" i="38"/>
  <c r="Z28" i="38"/>
  <c r="Z29" i="38"/>
  <c r="Z30" i="38"/>
  <c r="Z31" i="38"/>
  <c r="Z32" i="38"/>
  <c r="Z33" i="38"/>
  <c r="Z34" i="38"/>
  <c r="Z35" i="38"/>
  <c r="Z36" i="38"/>
  <c r="Z37" i="38"/>
  <c r="Z38" i="38"/>
  <c r="Z39" i="38"/>
  <c r="Z40" i="38"/>
  <c r="Z9" i="38"/>
  <c r="Z41" i="38" s="1"/>
  <c r="Q10" i="38"/>
  <c r="Q11" i="38"/>
  <c r="Q12" i="38"/>
  <c r="Q13" i="38"/>
  <c r="Q14" i="38"/>
  <c r="Q15" i="38"/>
  <c r="Q16" i="38"/>
  <c r="Q17" i="38"/>
  <c r="Q18" i="38"/>
  <c r="Q19" i="38"/>
  <c r="Q20" i="38"/>
  <c r="Q21" i="38"/>
  <c r="Q22" i="38"/>
  <c r="Q23" i="38"/>
  <c r="Q24" i="38"/>
  <c r="Q25" i="38"/>
  <c r="Q26" i="38"/>
  <c r="Q27" i="38"/>
  <c r="Q28" i="38"/>
  <c r="Q29" i="38"/>
  <c r="Q30" i="38"/>
  <c r="Q31" i="38"/>
  <c r="Q32" i="38"/>
  <c r="Q33" i="38"/>
  <c r="Q34" i="38"/>
  <c r="Q35" i="38"/>
  <c r="Q36" i="38"/>
  <c r="Q37" i="38"/>
  <c r="Q38" i="38"/>
  <c r="Q39" i="38"/>
  <c r="Q40" i="38"/>
  <c r="Q9" i="38"/>
  <c r="R87" i="38"/>
  <c r="R88" i="38"/>
  <c r="R89" i="38"/>
  <c r="R90" i="38"/>
  <c r="R91" i="38"/>
  <c r="S91" i="38" s="1"/>
  <c r="R92" i="38"/>
  <c r="S92" i="38" s="1"/>
  <c r="R86" i="38"/>
  <c r="S86" i="38" s="1"/>
  <c r="Q87" i="38"/>
  <c r="Q88" i="38"/>
  <c r="O88" i="38" s="1"/>
  <c r="T88" i="38" s="1"/>
  <c r="Q89" i="38"/>
  <c r="Q90" i="38"/>
  <c r="Q91" i="38"/>
  <c r="Q92" i="38"/>
  <c r="Q86" i="38"/>
  <c r="Z54" i="38"/>
  <c r="Z55" i="38"/>
  <c r="Z56" i="38"/>
  <c r="Z62" i="38"/>
  <c r="Z63" i="38"/>
  <c r="Z64" i="38"/>
  <c r="Z66" i="38"/>
  <c r="Z70" i="38"/>
  <c r="Z74" i="38"/>
  <c r="Z75" i="38"/>
  <c r="R78" i="38"/>
  <c r="X93" i="38"/>
  <c r="P93" i="38"/>
  <c r="L93" i="38"/>
  <c r="K93" i="38"/>
  <c r="H93" i="38"/>
  <c r="Y92" i="38"/>
  <c r="U92" i="38"/>
  <c r="Y91" i="38"/>
  <c r="U91" i="38"/>
  <c r="Y90" i="38"/>
  <c r="U90" i="38"/>
  <c r="S90" i="38"/>
  <c r="Y89" i="38"/>
  <c r="U89" i="38"/>
  <c r="S89" i="38"/>
  <c r="Y88" i="38"/>
  <c r="U88" i="38"/>
  <c r="S88" i="38"/>
  <c r="Y87" i="38"/>
  <c r="U87" i="38"/>
  <c r="S87" i="38"/>
  <c r="Y86" i="38"/>
  <c r="U86" i="38"/>
  <c r="W76" i="38"/>
  <c r="V76" i="38"/>
  <c r="U76" i="38"/>
  <c r="T76" i="38"/>
  <c r="S76" i="38"/>
  <c r="R76" i="38"/>
  <c r="Q76" i="38"/>
  <c r="P76" i="38"/>
  <c r="L76" i="38"/>
  <c r="K76" i="38"/>
  <c r="H76" i="38"/>
  <c r="AB75" i="38"/>
  <c r="Y75" i="38"/>
  <c r="X75" i="38"/>
  <c r="O75" i="38"/>
  <c r="AB74" i="38"/>
  <c r="Y74" i="38"/>
  <c r="X74" i="38"/>
  <c r="O74" i="38"/>
  <c r="AB73" i="38"/>
  <c r="Y73" i="38"/>
  <c r="X73" i="38"/>
  <c r="O73" i="38"/>
  <c r="Z73" i="38" s="1"/>
  <c r="AB72" i="38"/>
  <c r="Y72" i="38"/>
  <c r="O72" i="38"/>
  <c r="X72" i="38" s="1"/>
  <c r="AB71" i="38"/>
  <c r="Y71" i="38"/>
  <c r="X71" i="38"/>
  <c r="O71" i="38"/>
  <c r="Z71" i="38" s="1"/>
  <c r="AB70" i="38"/>
  <c r="Y70" i="38"/>
  <c r="X70" i="38"/>
  <c r="O70" i="38"/>
  <c r="AB69" i="38"/>
  <c r="Y69" i="38"/>
  <c r="X69" i="38"/>
  <c r="O69" i="38"/>
  <c r="Z69" i="38" s="1"/>
  <c r="AB68" i="38"/>
  <c r="Y68" i="38"/>
  <c r="O68" i="38"/>
  <c r="AB67" i="38"/>
  <c r="Y67" i="38"/>
  <c r="O67" i="38"/>
  <c r="AB66" i="38"/>
  <c r="Y66" i="38"/>
  <c r="O66" i="38"/>
  <c r="X66" i="38" s="1"/>
  <c r="AB65" i="38"/>
  <c r="Y65" i="38"/>
  <c r="O65" i="38"/>
  <c r="AB64" i="38"/>
  <c r="Y64" i="38"/>
  <c r="O64" i="38"/>
  <c r="X64" i="38" s="1"/>
  <c r="AB63" i="38"/>
  <c r="Y63" i="38"/>
  <c r="X63" i="38"/>
  <c r="O63" i="38"/>
  <c r="AB62" i="38"/>
  <c r="Y62" i="38"/>
  <c r="X62" i="38"/>
  <c r="O62" i="38"/>
  <c r="AB61" i="38"/>
  <c r="Y61" i="38"/>
  <c r="X61" i="38"/>
  <c r="O61" i="38"/>
  <c r="Z61" i="38" s="1"/>
  <c r="AB60" i="38"/>
  <c r="Y60" i="38"/>
  <c r="O60" i="38"/>
  <c r="X60" i="38" s="1"/>
  <c r="AB59" i="38"/>
  <c r="Y59" i="38"/>
  <c r="O59" i="38"/>
  <c r="Z59" i="38" s="1"/>
  <c r="AB58" i="38"/>
  <c r="Y58" i="38"/>
  <c r="O58" i="38"/>
  <c r="Z58" i="38" s="1"/>
  <c r="AB57" i="38"/>
  <c r="Y57" i="38"/>
  <c r="O57" i="38"/>
  <c r="AB56" i="38"/>
  <c r="Y56" i="38"/>
  <c r="O56" i="38"/>
  <c r="X56" i="38" s="1"/>
  <c r="AB55" i="38"/>
  <c r="Y55" i="38"/>
  <c r="O55" i="38"/>
  <c r="AB54" i="38"/>
  <c r="Y54" i="38"/>
  <c r="O54" i="38"/>
  <c r="AB53" i="38"/>
  <c r="Y53" i="38"/>
  <c r="X53" i="38"/>
  <c r="O53" i="38"/>
  <c r="Z53" i="38" s="1"/>
  <c r="AB52" i="38"/>
  <c r="Y52" i="38"/>
  <c r="O52" i="38"/>
  <c r="V41" i="38"/>
  <c r="U41" i="38"/>
  <c r="T41" i="38"/>
  <c r="R41" i="38"/>
  <c r="P41" i="38"/>
  <c r="L41" i="38"/>
  <c r="K41" i="38"/>
  <c r="J41" i="38"/>
  <c r="AD41" i="38" s="1"/>
  <c r="I41" i="38"/>
  <c r="H41" i="38"/>
  <c r="G41" i="38"/>
  <c r="F41" i="38"/>
  <c r="AD40" i="38"/>
  <c r="AC40" i="38"/>
  <c r="S40" i="38"/>
  <c r="N40" i="38"/>
  <c r="M40" i="38"/>
  <c r="AD39" i="38"/>
  <c r="AC39" i="38"/>
  <c r="X39" i="38"/>
  <c r="S39" i="38"/>
  <c r="N39" i="38"/>
  <c r="M39" i="38"/>
  <c r="AC38" i="38"/>
  <c r="S38" i="38"/>
  <c r="N38" i="38"/>
  <c r="M38" i="38"/>
  <c r="AC37" i="38"/>
  <c r="S37" i="38"/>
  <c r="N37" i="38"/>
  <c r="M37" i="38"/>
  <c r="AC36" i="38"/>
  <c r="S36" i="38"/>
  <c r="N36" i="38"/>
  <c r="M36" i="38"/>
  <c r="AD35" i="38"/>
  <c r="AC35" i="38"/>
  <c r="S35" i="38"/>
  <c r="N35" i="38"/>
  <c r="M35" i="38"/>
  <c r="AD34" i="38"/>
  <c r="AC34" i="38"/>
  <c r="S34" i="38"/>
  <c r="N34" i="38"/>
  <c r="M34" i="38"/>
  <c r="AC33" i="38"/>
  <c r="S33" i="38"/>
  <c r="N33" i="38"/>
  <c r="M33" i="38"/>
  <c r="AC32" i="38"/>
  <c r="X32" i="38"/>
  <c r="S32" i="38"/>
  <c r="N32" i="38"/>
  <c r="M32" i="38"/>
  <c r="AC31" i="38"/>
  <c r="X31" i="38"/>
  <c r="S31" i="38"/>
  <c r="N31" i="38"/>
  <c r="AG31" i="38" s="1"/>
  <c r="M31" i="38"/>
  <c r="AC30" i="38"/>
  <c r="S30" i="38"/>
  <c r="N30" i="38"/>
  <c r="M30" i="38"/>
  <c r="AC29" i="38"/>
  <c r="S29" i="38"/>
  <c r="N29" i="38"/>
  <c r="M29" i="38"/>
  <c r="AC28" i="38"/>
  <c r="S28" i="38"/>
  <c r="N28" i="38"/>
  <c r="M28" i="38"/>
  <c r="AC27" i="38"/>
  <c r="S27" i="38"/>
  <c r="N27" i="38"/>
  <c r="M27" i="38"/>
  <c r="AD26" i="38"/>
  <c r="AC26" i="38"/>
  <c r="X26" i="38"/>
  <c r="S26" i="38"/>
  <c r="N26" i="38"/>
  <c r="M26" i="38"/>
  <c r="AD25" i="38"/>
  <c r="AC25" i="38"/>
  <c r="S25" i="38"/>
  <c r="N25" i="38"/>
  <c r="M25" i="38"/>
  <c r="AD24" i="38"/>
  <c r="AC24" i="38"/>
  <c r="S24" i="38"/>
  <c r="N24" i="38"/>
  <c r="M24" i="38"/>
  <c r="AD23" i="38"/>
  <c r="AC23" i="38"/>
  <c r="S23" i="38"/>
  <c r="N23" i="38"/>
  <c r="M23" i="38"/>
  <c r="AD22" i="38"/>
  <c r="AC22" i="38"/>
  <c r="X22" i="38"/>
  <c r="S22" i="38"/>
  <c r="N22" i="38"/>
  <c r="M22" i="38"/>
  <c r="AD21" i="38"/>
  <c r="AC21" i="38"/>
  <c r="S21" i="38"/>
  <c r="N21" i="38"/>
  <c r="M21" i="38"/>
  <c r="AD20" i="38"/>
  <c r="AC20" i="38"/>
  <c r="S20" i="38"/>
  <c r="N20" i="38"/>
  <c r="M20" i="38"/>
  <c r="AD19" i="38"/>
  <c r="AC19" i="38"/>
  <c r="X19" i="38"/>
  <c r="S19" i="38"/>
  <c r="N19" i="38"/>
  <c r="M19" i="38"/>
  <c r="AD18" i="38"/>
  <c r="AC18" i="38"/>
  <c r="X18" i="38"/>
  <c r="S18" i="38"/>
  <c r="N18" i="38"/>
  <c r="M18" i="38"/>
  <c r="AD17" i="38"/>
  <c r="AC17" i="38"/>
  <c r="S17" i="38"/>
  <c r="N17" i="38"/>
  <c r="M17" i="38"/>
  <c r="AD16" i="38"/>
  <c r="AC16" i="38"/>
  <c r="S16" i="38"/>
  <c r="N16" i="38"/>
  <c r="M16" i="38"/>
  <c r="AD15" i="38"/>
  <c r="AC15" i="38"/>
  <c r="S15" i="38"/>
  <c r="N15" i="38"/>
  <c r="M15" i="38"/>
  <c r="AC14" i="38"/>
  <c r="S14" i="38"/>
  <c r="N14" i="38"/>
  <c r="M14" i="38"/>
  <c r="AD13" i="38"/>
  <c r="AC13" i="38"/>
  <c r="X13" i="38"/>
  <c r="S13" i="38"/>
  <c r="S41" i="38" s="1"/>
  <c r="N13" i="38"/>
  <c r="M13" i="38"/>
  <c r="AD12" i="38"/>
  <c r="AC12" i="38"/>
  <c r="X12" i="38"/>
  <c r="S12" i="38"/>
  <c r="N12" i="38"/>
  <c r="M12" i="38"/>
  <c r="AD11" i="38"/>
  <c r="AC11" i="38"/>
  <c r="S11" i="38"/>
  <c r="N11" i="38"/>
  <c r="M11" i="38"/>
  <c r="AD10" i="38"/>
  <c r="AC10" i="38"/>
  <c r="X10" i="38"/>
  <c r="X41" i="38" s="1"/>
  <c r="S10" i="38"/>
  <c r="N10" i="38"/>
  <c r="M10" i="38"/>
  <c r="AC9" i="38"/>
  <c r="AC41" i="38" s="1"/>
  <c r="S9" i="38"/>
  <c r="N9" i="38"/>
  <c r="M9" i="38"/>
  <c r="R57" i="37"/>
  <c r="R58" i="37"/>
  <c r="R59" i="37"/>
  <c r="R60" i="37"/>
  <c r="S60" i="37" s="1"/>
  <c r="O60" i="37" s="1"/>
  <c r="V60" i="37" s="1"/>
  <c r="R56" i="37"/>
  <c r="X32" i="37"/>
  <c r="X33" i="37"/>
  <c r="X34" i="37"/>
  <c r="X35" i="37"/>
  <c r="X36" i="37"/>
  <c r="X37" i="37"/>
  <c r="X38" i="37"/>
  <c r="X39" i="37"/>
  <c r="X40" i="37"/>
  <c r="X41" i="37"/>
  <c r="X42" i="37"/>
  <c r="X43" i="37"/>
  <c r="X44" i="37"/>
  <c r="X45" i="37"/>
  <c r="X31" i="37"/>
  <c r="V33" i="37"/>
  <c r="V34" i="37"/>
  <c r="V38" i="37"/>
  <c r="V42" i="37"/>
  <c r="AB8" i="37"/>
  <c r="AB9" i="37"/>
  <c r="AB10" i="37"/>
  <c r="AB11" i="37"/>
  <c r="AB12" i="37"/>
  <c r="AB13" i="37"/>
  <c r="AB14" i="37"/>
  <c r="AB15" i="37"/>
  <c r="AB16" i="37"/>
  <c r="AB17" i="37"/>
  <c r="AB18" i="37"/>
  <c r="AB19" i="37"/>
  <c r="AB20" i="37"/>
  <c r="AB7" i="37"/>
  <c r="Z8" i="37"/>
  <c r="AA8" i="37" s="1"/>
  <c r="Z9" i="37"/>
  <c r="AA9" i="37" s="1"/>
  <c r="Z10" i="37"/>
  <c r="Z11" i="37"/>
  <c r="AA11" i="37" s="1"/>
  <c r="Z12" i="37"/>
  <c r="AA12" i="37" s="1"/>
  <c r="Z13" i="37"/>
  <c r="AA13" i="37" s="1"/>
  <c r="Z14" i="37"/>
  <c r="Z15" i="37"/>
  <c r="AA15" i="37" s="1"/>
  <c r="Z16" i="37"/>
  <c r="AA16" i="37" s="1"/>
  <c r="Z17" i="37"/>
  <c r="AA17" i="37" s="1"/>
  <c r="Z18" i="37"/>
  <c r="AA18" i="37" s="1"/>
  <c r="Z19" i="37"/>
  <c r="AA19" i="37" s="1"/>
  <c r="Z20" i="37"/>
  <c r="AA20" i="37" s="1"/>
  <c r="Z7" i="37"/>
  <c r="X8" i="37"/>
  <c r="X9" i="37"/>
  <c r="X10" i="37"/>
  <c r="X11" i="37"/>
  <c r="X12" i="37"/>
  <c r="X13" i="37"/>
  <c r="X14" i="37"/>
  <c r="X15" i="37"/>
  <c r="X16" i="37"/>
  <c r="X17" i="37"/>
  <c r="X18" i="37"/>
  <c r="X19" i="37"/>
  <c r="X20" i="37"/>
  <c r="X7" i="37"/>
  <c r="W8" i="37"/>
  <c r="W9" i="37"/>
  <c r="W10" i="37"/>
  <c r="W11" i="37"/>
  <c r="W12" i="37"/>
  <c r="W13" i="37"/>
  <c r="W14" i="37"/>
  <c r="W15" i="37"/>
  <c r="W16" i="37"/>
  <c r="W17" i="37"/>
  <c r="W18" i="37"/>
  <c r="W19" i="37"/>
  <c r="W20" i="37"/>
  <c r="W7" i="37"/>
  <c r="J21" i="37"/>
  <c r="Q61" i="37"/>
  <c r="P61" i="37"/>
  <c r="L61" i="37"/>
  <c r="K61" i="37"/>
  <c r="H61" i="37"/>
  <c r="G61" i="37"/>
  <c r="F61" i="37"/>
  <c r="E61" i="37"/>
  <c r="U60" i="37"/>
  <c r="U59" i="37"/>
  <c r="S59" i="37"/>
  <c r="U58" i="37"/>
  <c r="U57" i="37"/>
  <c r="U56" i="37"/>
  <c r="S56" i="37"/>
  <c r="O56" i="37" s="1"/>
  <c r="V56" i="37" s="1"/>
  <c r="S45" i="37"/>
  <c r="R45" i="37"/>
  <c r="P45" i="37"/>
  <c r="L45" i="37"/>
  <c r="K45" i="37"/>
  <c r="H45" i="37"/>
  <c r="G45" i="37"/>
  <c r="F45" i="37"/>
  <c r="E45" i="37"/>
  <c r="U44" i="37"/>
  <c r="Q44" i="37"/>
  <c r="O44" i="37" s="1"/>
  <c r="U43" i="37"/>
  <c r="Q43" i="37"/>
  <c r="O43" i="37" s="1"/>
  <c r="V43" i="37" s="1"/>
  <c r="U42" i="37"/>
  <c r="Q42" i="37"/>
  <c r="O42" i="37" s="1"/>
  <c r="U41" i="37"/>
  <c r="Q41" i="37"/>
  <c r="O41" i="37" s="1"/>
  <c r="V41" i="37" s="1"/>
  <c r="U40" i="37"/>
  <c r="Q40" i="37"/>
  <c r="O40" i="37" s="1"/>
  <c r="U39" i="37"/>
  <c r="Q39" i="37"/>
  <c r="O39" i="37" s="1"/>
  <c r="V39" i="37" s="1"/>
  <c r="U38" i="37"/>
  <c r="Q38" i="37"/>
  <c r="O38" i="37" s="1"/>
  <c r="U37" i="37"/>
  <c r="Q37" i="37"/>
  <c r="O37" i="37" s="1"/>
  <c r="V37" i="37" s="1"/>
  <c r="U36" i="37"/>
  <c r="Q36" i="37"/>
  <c r="O36" i="37"/>
  <c r="V36" i="37" s="1"/>
  <c r="U35" i="37"/>
  <c r="Q35" i="37"/>
  <c r="O35" i="37" s="1"/>
  <c r="V35" i="37" s="1"/>
  <c r="U34" i="37"/>
  <c r="Q34" i="37"/>
  <c r="O34" i="37" s="1"/>
  <c r="U33" i="37"/>
  <c r="Q33" i="37"/>
  <c r="O33" i="37" s="1"/>
  <c r="U32" i="37"/>
  <c r="Q32" i="37"/>
  <c r="O32" i="37"/>
  <c r="V32" i="37" s="1"/>
  <c r="U31" i="37"/>
  <c r="Q31" i="37"/>
  <c r="Y21" i="37"/>
  <c r="V21" i="37"/>
  <c r="S21" i="37"/>
  <c r="R21" i="37"/>
  <c r="Q21" i="37"/>
  <c r="P21" i="37"/>
  <c r="L21" i="37"/>
  <c r="K21" i="37"/>
  <c r="I21" i="37"/>
  <c r="H21" i="37"/>
  <c r="G21" i="37"/>
  <c r="F21" i="37"/>
  <c r="E21" i="37"/>
  <c r="AE20" i="37"/>
  <c r="AD20" i="37"/>
  <c r="U20" i="37"/>
  <c r="T20" i="37"/>
  <c r="N20" i="37"/>
  <c r="M20" i="37"/>
  <c r="AE19" i="37"/>
  <c r="AD19" i="37"/>
  <c r="U19" i="37"/>
  <c r="T19" i="37"/>
  <c r="N19" i="37"/>
  <c r="M19" i="37"/>
  <c r="AE18" i="37"/>
  <c r="AD18" i="37"/>
  <c r="U18" i="37"/>
  <c r="T18" i="37"/>
  <c r="N18" i="37"/>
  <c r="M18" i="37"/>
  <c r="AE17" i="37"/>
  <c r="AD17" i="37"/>
  <c r="U17" i="37"/>
  <c r="T17" i="37"/>
  <c r="N17" i="37"/>
  <c r="M17" i="37"/>
  <c r="AE16" i="37"/>
  <c r="AD16" i="37"/>
  <c r="U16" i="37"/>
  <c r="T16" i="37"/>
  <c r="N16" i="37"/>
  <c r="M16" i="37"/>
  <c r="AE15" i="37"/>
  <c r="AD15" i="37"/>
  <c r="U15" i="37"/>
  <c r="T15" i="37"/>
  <c r="N15" i="37"/>
  <c r="M15" i="37"/>
  <c r="AE14" i="37"/>
  <c r="AD14" i="37"/>
  <c r="AA14" i="37"/>
  <c r="U14" i="37"/>
  <c r="T14" i="37"/>
  <c r="N14" i="37"/>
  <c r="M14" i="37"/>
  <c r="AH14" i="37" s="1"/>
  <c r="AE13" i="37"/>
  <c r="AD13" i="37"/>
  <c r="U13" i="37"/>
  <c r="T13" i="37"/>
  <c r="N13" i="37"/>
  <c r="M13" i="37"/>
  <c r="AE12" i="37"/>
  <c r="AD12" i="37"/>
  <c r="U12" i="37"/>
  <c r="T12" i="37"/>
  <c r="N12" i="37"/>
  <c r="M12" i="37"/>
  <c r="AE11" i="37"/>
  <c r="AD11" i="37"/>
  <c r="U11" i="37"/>
  <c r="T11" i="37"/>
  <c r="N11" i="37"/>
  <c r="M11" i="37"/>
  <c r="AE10" i="37"/>
  <c r="AD10" i="37"/>
  <c r="AA10" i="37"/>
  <c r="U10" i="37"/>
  <c r="T10" i="37"/>
  <c r="N10" i="37"/>
  <c r="M10" i="37"/>
  <c r="AE9" i="37"/>
  <c r="AD9" i="37"/>
  <c r="U9" i="37"/>
  <c r="T9" i="37"/>
  <c r="N9" i="37"/>
  <c r="M9" i="37"/>
  <c r="AE8" i="37"/>
  <c r="AD8" i="37"/>
  <c r="U8" i="37"/>
  <c r="T8" i="37"/>
  <c r="N8" i="37"/>
  <c r="M8" i="37"/>
  <c r="AE7" i="37"/>
  <c r="AD7" i="37"/>
  <c r="U7" i="37"/>
  <c r="U21" i="37" s="1"/>
  <c r="T7" i="37"/>
  <c r="N7" i="37"/>
  <c r="M7" i="37"/>
  <c r="AG26" i="36"/>
  <c r="AC10" i="36"/>
  <c r="AC11" i="36"/>
  <c r="AC12" i="36"/>
  <c r="AC13" i="36"/>
  <c r="AC14" i="36"/>
  <c r="AC15" i="36"/>
  <c r="AC16" i="36"/>
  <c r="AC9" i="36"/>
  <c r="AA10" i="36"/>
  <c r="AB10" i="36" s="1"/>
  <c r="AA11" i="36"/>
  <c r="AA12" i="36"/>
  <c r="AB12" i="36" s="1"/>
  <c r="AA13" i="36"/>
  <c r="AA14" i="36"/>
  <c r="AA15" i="36"/>
  <c r="AB15" i="36" s="1"/>
  <c r="AA16" i="36"/>
  <c r="AB14" i="36"/>
  <c r="AA9" i="36"/>
  <c r="AB9" i="36" s="1"/>
  <c r="Y10" i="36"/>
  <c r="Y11" i="36"/>
  <c r="Y12" i="36"/>
  <c r="Y13" i="36"/>
  <c r="Y14" i="36"/>
  <c r="Y15" i="36"/>
  <c r="Y16" i="36"/>
  <c r="Y9" i="36"/>
  <c r="Z10" i="36"/>
  <c r="Z11" i="36"/>
  <c r="Z12" i="36"/>
  <c r="Z13" i="36"/>
  <c r="Z14" i="36"/>
  <c r="Z15" i="36"/>
  <c r="Z16" i="36"/>
  <c r="Z9" i="36"/>
  <c r="Q119" i="36"/>
  <c r="M119" i="36"/>
  <c r="L119" i="36"/>
  <c r="I119" i="36"/>
  <c r="H119" i="36"/>
  <c r="G119" i="36"/>
  <c r="X118" i="36"/>
  <c r="U118" i="36"/>
  <c r="V118" i="36" s="1"/>
  <c r="P118" i="36" s="1"/>
  <c r="W118" i="36" s="1"/>
  <c r="X117" i="36"/>
  <c r="U117" i="36"/>
  <c r="V117" i="36" s="1"/>
  <c r="X116" i="36"/>
  <c r="V116" i="36"/>
  <c r="U116" i="36"/>
  <c r="X115" i="36"/>
  <c r="U115" i="36"/>
  <c r="X114" i="36"/>
  <c r="X119" i="36" s="1"/>
  <c r="V114" i="36"/>
  <c r="U114" i="36"/>
  <c r="Q111" i="36"/>
  <c r="M111" i="36"/>
  <c r="X111" i="36" s="1"/>
  <c r="L111" i="36"/>
  <c r="I111" i="36"/>
  <c r="H111" i="36"/>
  <c r="R111" i="36" s="1"/>
  <c r="G111" i="36"/>
  <c r="X110" i="36"/>
  <c r="T110" i="36"/>
  <c r="S110" i="36"/>
  <c r="R110" i="36"/>
  <c r="X109" i="36"/>
  <c r="T109" i="36"/>
  <c r="S109" i="36"/>
  <c r="R109" i="36"/>
  <c r="P109" i="36" s="1"/>
  <c r="W109" i="36" s="1"/>
  <c r="X108" i="36"/>
  <c r="T108" i="36"/>
  <c r="S108" i="36"/>
  <c r="R108" i="36"/>
  <c r="X107" i="36"/>
  <c r="U107" i="36"/>
  <c r="V107" i="36" s="1"/>
  <c r="T107" i="36"/>
  <c r="S107" i="36"/>
  <c r="R107" i="36"/>
  <c r="X106" i="36"/>
  <c r="U106" i="36"/>
  <c r="V106" i="36" s="1"/>
  <c r="T106" i="36"/>
  <c r="S106" i="36"/>
  <c r="R106" i="36"/>
  <c r="X105" i="36"/>
  <c r="U105" i="36"/>
  <c r="V105" i="36" s="1"/>
  <c r="T105" i="36"/>
  <c r="S105" i="36"/>
  <c r="P105" i="36" s="1"/>
  <c r="W105" i="36" s="1"/>
  <c r="R105" i="36"/>
  <c r="X104" i="36"/>
  <c r="U104" i="36"/>
  <c r="V104" i="36" s="1"/>
  <c r="T104" i="36"/>
  <c r="S104" i="36"/>
  <c r="R104" i="36"/>
  <c r="X103" i="36"/>
  <c r="U103" i="36"/>
  <c r="V103" i="36" s="1"/>
  <c r="T103" i="36"/>
  <c r="S103" i="36"/>
  <c r="R103" i="36"/>
  <c r="X102" i="36"/>
  <c r="U102" i="36"/>
  <c r="V102" i="36" s="1"/>
  <c r="T102" i="36"/>
  <c r="S102" i="36"/>
  <c r="R102" i="36"/>
  <c r="X101" i="36"/>
  <c r="U101" i="36"/>
  <c r="V101" i="36" s="1"/>
  <c r="T101" i="36"/>
  <c r="S101" i="36"/>
  <c r="P101" i="36" s="1"/>
  <c r="W101" i="36" s="1"/>
  <c r="R101" i="36"/>
  <c r="X100" i="36"/>
  <c r="U100" i="36"/>
  <c r="V100" i="36" s="1"/>
  <c r="T100" i="36"/>
  <c r="S100" i="36"/>
  <c r="R100" i="36"/>
  <c r="X99" i="36"/>
  <c r="U99" i="36"/>
  <c r="V99" i="36" s="1"/>
  <c r="T99" i="36"/>
  <c r="S99" i="36"/>
  <c r="R99" i="36"/>
  <c r="X98" i="36"/>
  <c r="U98" i="36"/>
  <c r="V98" i="36" s="1"/>
  <c r="T98" i="36"/>
  <c r="S98" i="36"/>
  <c r="R98" i="36"/>
  <c r="X97" i="36"/>
  <c r="U97" i="36"/>
  <c r="V97" i="36" s="1"/>
  <c r="T97" i="36"/>
  <c r="S97" i="36"/>
  <c r="P97" i="36" s="1"/>
  <c r="W97" i="36" s="1"/>
  <c r="R97" i="36"/>
  <c r="X96" i="36"/>
  <c r="U96" i="36"/>
  <c r="V96" i="36" s="1"/>
  <c r="T96" i="36"/>
  <c r="S96" i="36"/>
  <c r="R96" i="36"/>
  <c r="X95" i="36"/>
  <c r="U95" i="36"/>
  <c r="V95" i="36" s="1"/>
  <c r="T95" i="36"/>
  <c r="S95" i="36"/>
  <c r="R95" i="36"/>
  <c r="X94" i="36"/>
  <c r="U94" i="36"/>
  <c r="V94" i="36" s="1"/>
  <c r="T94" i="36"/>
  <c r="S94" i="36"/>
  <c r="R94" i="36"/>
  <c r="X93" i="36"/>
  <c r="U93" i="36"/>
  <c r="V93" i="36" s="1"/>
  <c r="T93" i="36"/>
  <c r="S93" i="36"/>
  <c r="P93" i="36" s="1"/>
  <c r="W93" i="36" s="1"/>
  <c r="R93" i="36"/>
  <c r="X92" i="36"/>
  <c r="U92" i="36"/>
  <c r="V92" i="36" s="1"/>
  <c r="T92" i="36"/>
  <c r="T111" i="36" s="1"/>
  <c r="S92" i="36"/>
  <c r="R92" i="36"/>
  <c r="P84" i="36"/>
  <c r="M84" i="36"/>
  <c r="L84" i="36"/>
  <c r="U84" i="36" s="1"/>
  <c r="H84" i="36"/>
  <c r="G84" i="36"/>
  <c r="F84" i="36"/>
  <c r="V83" i="36"/>
  <c r="P83" i="36"/>
  <c r="U83" i="36" s="1"/>
  <c r="V82" i="36"/>
  <c r="P82" i="36"/>
  <c r="U82" i="36" s="1"/>
  <c r="Q81" i="36"/>
  <c r="P81" i="36"/>
  <c r="M81" i="36"/>
  <c r="L81" i="36"/>
  <c r="L85" i="36" s="1"/>
  <c r="H81" i="36"/>
  <c r="G81" i="36"/>
  <c r="F81" i="36"/>
  <c r="W80" i="36"/>
  <c r="V80" i="36"/>
  <c r="U80" i="36"/>
  <c r="P80" i="36"/>
  <c r="W79" i="36"/>
  <c r="V79" i="36"/>
  <c r="U79" i="36"/>
  <c r="P79" i="36"/>
  <c r="W76" i="36"/>
  <c r="V76" i="36"/>
  <c r="U76" i="36"/>
  <c r="T74" i="36"/>
  <c r="Q74" i="36"/>
  <c r="M74" i="36"/>
  <c r="V74" i="36" s="1"/>
  <c r="L74" i="36"/>
  <c r="I74" i="36"/>
  <c r="H74" i="36"/>
  <c r="G74" i="36"/>
  <c r="F74" i="36"/>
  <c r="V73" i="36"/>
  <c r="P73" i="36"/>
  <c r="U73" i="36" s="1"/>
  <c r="V72" i="36"/>
  <c r="P72" i="36"/>
  <c r="U72" i="36" s="1"/>
  <c r="V71" i="36"/>
  <c r="P71" i="36"/>
  <c r="U71" i="36" s="1"/>
  <c r="V70" i="36"/>
  <c r="P70" i="36"/>
  <c r="U70" i="36" s="1"/>
  <c r="V69" i="36"/>
  <c r="P69" i="36"/>
  <c r="U69" i="36" s="1"/>
  <c r="V68" i="36"/>
  <c r="P68" i="36"/>
  <c r="U68" i="36" s="1"/>
  <c r="V67" i="36"/>
  <c r="P67" i="36"/>
  <c r="U67" i="36" s="1"/>
  <c r="V66" i="36"/>
  <c r="P66" i="36"/>
  <c r="U66" i="36" s="1"/>
  <c r="AC42" i="36"/>
  <c r="Z42" i="36"/>
  <c r="Y42" i="36"/>
  <c r="X42" i="36"/>
  <c r="R42" i="36"/>
  <c r="Q42" i="36"/>
  <c r="M42" i="36"/>
  <c r="L42" i="36"/>
  <c r="I42" i="36"/>
  <c r="H42" i="36"/>
  <c r="G42" i="36"/>
  <c r="F42" i="36"/>
  <c r="AI41" i="36"/>
  <c r="AE41" i="36"/>
  <c r="AA41" i="36"/>
  <c r="AI40" i="36"/>
  <c r="AE40" i="36"/>
  <c r="AB40" i="36"/>
  <c r="AA40" i="36"/>
  <c r="AI39" i="36"/>
  <c r="AE39" i="36"/>
  <c r="AA39" i="36"/>
  <c r="AB39" i="36" s="1"/>
  <c r="AI38" i="36"/>
  <c r="AE38" i="36"/>
  <c r="AA38" i="36"/>
  <c r="AB38" i="36" s="1"/>
  <c r="P38" i="36" s="1"/>
  <c r="AI37" i="36"/>
  <c r="AE37" i="36"/>
  <c r="AA37" i="36"/>
  <c r="AC30" i="36"/>
  <c r="AB30" i="36"/>
  <c r="AA30" i="36"/>
  <c r="Z30" i="36"/>
  <c r="Y30" i="36"/>
  <c r="X30" i="36"/>
  <c r="R30" i="36"/>
  <c r="Q30" i="36"/>
  <c r="M30" i="36"/>
  <c r="L30" i="36"/>
  <c r="I30" i="36"/>
  <c r="H30" i="36"/>
  <c r="G30" i="36"/>
  <c r="F30" i="36"/>
  <c r="AI29" i="36"/>
  <c r="AE29" i="36"/>
  <c r="AD29" i="36"/>
  <c r="P29" i="36"/>
  <c r="AG29" i="36" s="1"/>
  <c r="AI28" i="36"/>
  <c r="AE28" i="36"/>
  <c r="P28" i="36"/>
  <c r="AI27" i="36"/>
  <c r="AE27" i="36"/>
  <c r="P27" i="36"/>
  <c r="AG27" i="36" s="1"/>
  <c r="AI26" i="36"/>
  <c r="AE26" i="36"/>
  <c r="P26" i="36"/>
  <c r="AI25" i="36"/>
  <c r="AE25" i="36"/>
  <c r="AD25" i="36"/>
  <c r="P25" i="36"/>
  <c r="AG25" i="36" s="1"/>
  <c r="X17" i="36"/>
  <c r="W17" i="36"/>
  <c r="V17" i="36"/>
  <c r="U17" i="36"/>
  <c r="S17" i="36"/>
  <c r="R17" i="36"/>
  <c r="Q17" i="36"/>
  <c r="M17" i="36"/>
  <c r="L17" i="36"/>
  <c r="K17" i="36"/>
  <c r="J17" i="36"/>
  <c r="I17" i="36"/>
  <c r="H17" i="36"/>
  <c r="G17" i="36"/>
  <c r="F17" i="36"/>
  <c r="AE16" i="36"/>
  <c r="AB16" i="36"/>
  <c r="P16" i="36" s="1"/>
  <c r="AG16" i="36" s="1"/>
  <c r="T16" i="36"/>
  <c r="O16" i="36"/>
  <c r="N16" i="36"/>
  <c r="AF15" i="36"/>
  <c r="AE15" i="36"/>
  <c r="T15" i="36"/>
  <c r="O15" i="36"/>
  <c r="N15" i="36"/>
  <c r="AF14" i="36"/>
  <c r="AE14" i="36"/>
  <c r="T14" i="36"/>
  <c r="O14" i="36"/>
  <c r="N14" i="36"/>
  <c r="AE13" i="36"/>
  <c r="AB13" i="36"/>
  <c r="T13" i="36"/>
  <c r="O13" i="36"/>
  <c r="N13" i="36"/>
  <c r="AF12" i="36"/>
  <c r="AE12" i="36"/>
  <c r="T12" i="36"/>
  <c r="O12" i="36"/>
  <c r="N12" i="36"/>
  <c r="AE11" i="36"/>
  <c r="AB11" i="36"/>
  <c r="T11" i="36"/>
  <c r="O11" i="36"/>
  <c r="N11" i="36"/>
  <c r="AF10" i="36"/>
  <c r="AE10" i="36"/>
  <c r="T10" i="36"/>
  <c r="O10" i="36"/>
  <c r="N10" i="36"/>
  <c r="AF9" i="36"/>
  <c r="AE9" i="36"/>
  <c r="T9" i="36"/>
  <c r="O9" i="36"/>
  <c r="N9" i="36"/>
  <c r="W77" i="35"/>
  <c r="X77" i="35" s="1"/>
  <c r="P77" i="35" s="1"/>
  <c r="Y77" i="35" s="1"/>
  <c r="W78" i="35"/>
  <c r="W79" i="35"/>
  <c r="X79" i="35" s="1"/>
  <c r="W80" i="35"/>
  <c r="W81" i="35"/>
  <c r="X81" i="35" s="1"/>
  <c r="W82" i="35"/>
  <c r="W83" i="35"/>
  <c r="X83" i="35" s="1"/>
  <c r="W84" i="35"/>
  <c r="W85" i="35"/>
  <c r="X85" i="35" s="1"/>
  <c r="P85" i="35" s="1"/>
  <c r="Y85" i="35" s="1"/>
  <c r="W86" i="35"/>
  <c r="W87" i="35"/>
  <c r="X87" i="35" s="1"/>
  <c r="W88" i="35"/>
  <c r="W89" i="35"/>
  <c r="X89" i="35" s="1"/>
  <c r="W90" i="35"/>
  <c r="W91" i="35"/>
  <c r="X91" i="35" s="1"/>
  <c r="W92" i="35"/>
  <c r="W93" i="35"/>
  <c r="X93" i="35" s="1"/>
  <c r="P93" i="35" s="1"/>
  <c r="Y93" i="35" s="1"/>
  <c r="W94" i="35"/>
  <c r="W76" i="35"/>
  <c r="X76" i="35" s="1"/>
  <c r="R77" i="35"/>
  <c r="R78" i="35"/>
  <c r="R79" i="35"/>
  <c r="R80" i="35"/>
  <c r="R81" i="35"/>
  <c r="R82" i="35"/>
  <c r="R83" i="35"/>
  <c r="R84" i="35"/>
  <c r="P84" i="35" s="1"/>
  <c r="R85" i="35"/>
  <c r="R86" i="35"/>
  <c r="R87" i="35"/>
  <c r="R88" i="35"/>
  <c r="R89" i="35"/>
  <c r="R90" i="35"/>
  <c r="R91" i="35"/>
  <c r="R92" i="35"/>
  <c r="R93" i="35"/>
  <c r="R94" i="35"/>
  <c r="R76" i="35"/>
  <c r="AJ47" i="35"/>
  <c r="AJ51" i="35"/>
  <c r="AJ53" i="35"/>
  <c r="AJ59" i="35"/>
  <c r="AJ61" i="35"/>
  <c r="AF10" i="35"/>
  <c r="AF11" i="35"/>
  <c r="AF12" i="35"/>
  <c r="AF13" i="35"/>
  <c r="AF14" i="35"/>
  <c r="AF15" i="35"/>
  <c r="AF16" i="35"/>
  <c r="AF17" i="35"/>
  <c r="AF18" i="35"/>
  <c r="AF19" i="35"/>
  <c r="AF20" i="35"/>
  <c r="AF21" i="35"/>
  <c r="AF22" i="35"/>
  <c r="AF23" i="35"/>
  <c r="AF24" i="35"/>
  <c r="AF25" i="35"/>
  <c r="AF26" i="35"/>
  <c r="AF27" i="35"/>
  <c r="AF28" i="35"/>
  <c r="AF29" i="35"/>
  <c r="AF30" i="35"/>
  <c r="AF31" i="35"/>
  <c r="AF32" i="35"/>
  <c r="AF9" i="35"/>
  <c r="AD29" i="35"/>
  <c r="AE29" i="35" s="1"/>
  <c r="AD30" i="35"/>
  <c r="AD31" i="35"/>
  <c r="AD32" i="35"/>
  <c r="AE32" i="35" s="1"/>
  <c r="AD28" i="35"/>
  <c r="AD24" i="35"/>
  <c r="AE24" i="35" s="1"/>
  <c r="AD10" i="35"/>
  <c r="AE10" i="35" s="1"/>
  <c r="AD11" i="35"/>
  <c r="AE11" i="35" s="1"/>
  <c r="AD12" i="35"/>
  <c r="AD13" i="35"/>
  <c r="AE13" i="35" s="1"/>
  <c r="AD14" i="35"/>
  <c r="AE14" i="35" s="1"/>
  <c r="AD15" i="35"/>
  <c r="AE15" i="35" s="1"/>
  <c r="AD16" i="35"/>
  <c r="AD17" i="35"/>
  <c r="AE17" i="35" s="1"/>
  <c r="AD18" i="35"/>
  <c r="AE18" i="35" s="1"/>
  <c r="AD19" i="35"/>
  <c r="AE19" i="35" s="1"/>
  <c r="AD20" i="35"/>
  <c r="AD21" i="35"/>
  <c r="AE21" i="35" s="1"/>
  <c r="AD22" i="35"/>
  <c r="AE22" i="35" s="1"/>
  <c r="AD23" i="35"/>
  <c r="AE23" i="35" s="1"/>
  <c r="AD9" i="35"/>
  <c r="AE9" i="35" s="1"/>
  <c r="AB10" i="35"/>
  <c r="AB11" i="35"/>
  <c r="AB12" i="35"/>
  <c r="AB13" i="35"/>
  <c r="AB14" i="35"/>
  <c r="AB15" i="35"/>
  <c r="AB16" i="35"/>
  <c r="AB17" i="35"/>
  <c r="AB18" i="35"/>
  <c r="AB19" i="35"/>
  <c r="AB20" i="35"/>
  <c r="AB21" i="35"/>
  <c r="AB22" i="35"/>
  <c r="AB23" i="35"/>
  <c r="AB24" i="35"/>
  <c r="AB25" i="35"/>
  <c r="AB26" i="35"/>
  <c r="AB27" i="35"/>
  <c r="AB28" i="35"/>
  <c r="AB29" i="35"/>
  <c r="AB30" i="35"/>
  <c r="AB31" i="35"/>
  <c r="AB32" i="35"/>
  <c r="AB9" i="35"/>
  <c r="AC10" i="35"/>
  <c r="AC11" i="35"/>
  <c r="AC12" i="35"/>
  <c r="AC13" i="35"/>
  <c r="AC14" i="35"/>
  <c r="AC15" i="35"/>
  <c r="AC16" i="35"/>
  <c r="AC17" i="35"/>
  <c r="AC18" i="35"/>
  <c r="AC19" i="35"/>
  <c r="AC20" i="35"/>
  <c r="AC21" i="35"/>
  <c r="AC22" i="35"/>
  <c r="AC23" i="35"/>
  <c r="AC24" i="35"/>
  <c r="AC25" i="35"/>
  <c r="AC26" i="35"/>
  <c r="AC27" i="35"/>
  <c r="AC28" i="35"/>
  <c r="AC29" i="35"/>
  <c r="AC30" i="35"/>
  <c r="AC31" i="35"/>
  <c r="AC32" i="35"/>
  <c r="AC9" i="35"/>
  <c r="X10" i="35"/>
  <c r="X11" i="35"/>
  <c r="X12" i="35"/>
  <c r="X13" i="35"/>
  <c r="X14" i="35"/>
  <c r="X15" i="35"/>
  <c r="X16" i="35"/>
  <c r="X17" i="35"/>
  <c r="X18" i="35"/>
  <c r="X19" i="35"/>
  <c r="X20" i="35"/>
  <c r="X21" i="35"/>
  <c r="X22" i="35"/>
  <c r="X23" i="35"/>
  <c r="X24" i="35"/>
  <c r="X25" i="35"/>
  <c r="X26" i="35"/>
  <c r="X27" i="35"/>
  <c r="X28" i="35"/>
  <c r="X29" i="35"/>
  <c r="X30" i="35"/>
  <c r="X31" i="35"/>
  <c r="X32" i="35"/>
  <c r="X9" i="35"/>
  <c r="R10" i="35"/>
  <c r="R11" i="35"/>
  <c r="R12" i="35"/>
  <c r="R13" i="35"/>
  <c r="R14" i="35"/>
  <c r="R15" i="35"/>
  <c r="R16" i="35"/>
  <c r="R17" i="35"/>
  <c r="R18" i="35"/>
  <c r="R19" i="35"/>
  <c r="R20" i="35"/>
  <c r="R21" i="35"/>
  <c r="R22" i="35"/>
  <c r="R23" i="35"/>
  <c r="R24" i="35"/>
  <c r="R25" i="35"/>
  <c r="R26" i="35"/>
  <c r="R27" i="35"/>
  <c r="R28" i="35"/>
  <c r="R29" i="35"/>
  <c r="R30" i="35"/>
  <c r="R31" i="35"/>
  <c r="R32" i="35"/>
  <c r="P32" i="35" s="1"/>
  <c r="AJ32" i="35" s="1"/>
  <c r="R9" i="35"/>
  <c r="V95" i="35"/>
  <c r="U95" i="35"/>
  <c r="Q95" i="35"/>
  <c r="M95" i="35"/>
  <c r="L95" i="35"/>
  <c r="I95" i="35"/>
  <c r="H95" i="35"/>
  <c r="G95" i="35"/>
  <c r="AC94" i="35"/>
  <c r="Z94" i="35"/>
  <c r="X94" i="35"/>
  <c r="AC93" i="35"/>
  <c r="Z93" i="35"/>
  <c r="AC92" i="35"/>
  <c r="Z92" i="35"/>
  <c r="X92" i="35"/>
  <c r="P92" i="35"/>
  <c r="Y92" i="35" s="1"/>
  <c r="AC91" i="35"/>
  <c r="Z91" i="35"/>
  <c r="AC90" i="35"/>
  <c r="Z90" i="35"/>
  <c r="AC89" i="35"/>
  <c r="Z89" i="35"/>
  <c r="AC88" i="35"/>
  <c r="Z88" i="35"/>
  <c r="X88" i="35"/>
  <c r="AC87" i="35"/>
  <c r="Z87" i="35"/>
  <c r="AC86" i="35"/>
  <c r="Z86" i="35"/>
  <c r="X86" i="35"/>
  <c r="AC85" i="35"/>
  <c r="Z85" i="35"/>
  <c r="AC84" i="35"/>
  <c r="Z84" i="35"/>
  <c r="X84" i="35"/>
  <c r="AC83" i="35"/>
  <c r="Z83" i="35"/>
  <c r="AC82" i="35"/>
  <c r="Z82" i="35"/>
  <c r="AC81" i="35"/>
  <c r="Z81" i="35"/>
  <c r="AC80" i="35"/>
  <c r="Z80" i="35"/>
  <c r="X80" i="35"/>
  <c r="AC79" i="35"/>
  <c r="Z79" i="35"/>
  <c r="AC78" i="35"/>
  <c r="Z78" i="35"/>
  <c r="X78" i="35"/>
  <c r="AC77" i="35"/>
  <c r="Z77" i="35"/>
  <c r="AC76" i="35"/>
  <c r="Z76" i="35"/>
  <c r="AF67" i="35"/>
  <c r="AE67" i="35"/>
  <c r="AD67" i="35"/>
  <c r="AC67" i="35"/>
  <c r="AB67" i="35"/>
  <c r="Z67" i="35"/>
  <c r="Y67" i="35"/>
  <c r="X67" i="35"/>
  <c r="W67" i="35"/>
  <c r="V67" i="35"/>
  <c r="U67" i="35"/>
  <c r="R67" i="35"/>
  <c r="Q67" i="35"/>
  <c r="M67" i="35"/>
  <c r="L67" i="35"/>
  <c r="I67" i="35"/>
  <c r="H67" i="35"/>
  <c r="G67" i="35"/>
  <c r="F67" i="35"/>
  <c r="AL66" i="35"/>
  <c r="AH66" i="35"/>
  <c r="P66" i="35"/>
  <c r="AG66" i="35" s="1"/>
  <c r="AL65" i="35"/>
  <c r="AH65" i="35"/>
  <c r="P65" i="35"/>
  <c r="AJ65" i="35" s="1"/>
  <c r="AL64" i="35"/>
  <c r="AH64" i="35"/>
  <c r="P64" i="35"/>
  <c r="AJ64" i="35" s="1"/>
  <c r="AL63" i="35"/>
  <c r="AH63" i="35"/>
  <c r="P63" i="35"/>
  <c r="AJ63" i="35" s="1"/>
  <c r="AL62" i="35"/>
  <c r="AH62" i="35"/>
  <c r="P62" i="35"/>
  <c r="AG62" i="35" s="1"/>
  <c r="AL61" i="35"/>
  <c r="AH61" i="35"/>
  <c r="AG61" i="35"/>
  <c r="P61" i="35"/>
  <c r="AL60" i="35"/>
  <c r="AH60" i="35"/>
  <c r="AG60" i="35"/>
  <c r="P60" i="35"/>
  <c r="AJ60" i="35" s="1"/>
  <c r="AL59" i="35"/>
  <c r="AH59" i="35"/>
  <c r="P59" i="35"/>
  <c r="AG59" i="35" s="1"/>
  <c r="AL58" i="35"/>
  <c r="AH58" i="35"/>
  <c r="P58" i="35"/>
  <c r="AG58" i="35" s="1"/>
  <c r="AL57" i="35"/>
  <c r="AH57" i="35"/>
  <c r="AG57" i="35"/>
  <c r="P57" i="35"/>
  <c r="AJ57" i="35" s="1"/>
  <c r="AL56" i="35"/>
  <c r="AH56" i="35"/>
  <c r="AG56" i="35"/>
  <c r="P56" i="35"/>
  <c r="AJ56" i="35" s="1"/>
  <c r="AL55" i="35"/>
  <c r="AH55" i="35"/>
  <c r="P55" i="35"/>
  <c r="AG55" i="35" s="1"/>
  <c r="AL54" i="35"/>
  <c r="AH54" i="35"/>
  <c r="P54" i="35"/>
  <c r="AG54" i="35" s="1"/>
  <c r="AL53" i="35"/>
  <c r="AH53" i="35"/>
  <c r="AG53" i="35"/>
  <c r="P53" i="35"/>
  <c r="AL52" i="35"/>
  <c r="AH52" i="35"/>
  <c r="AG52" i="35"/>
  <c r="P52" i="35"/>
  <c r="AJ52" i="35" s="1"/>
  <c r="AL51" i="35"/>
  <c r="AH51" i="35"/>
  <c r="AG51" i="35"/>
  <c r="P51" i="35"/>
  <c r="AL50" i="35"/>
  <c r="AH50" i="35"/>
  <c r="P50" i="35"/>
  <c r="AG50" i="35" s="1"/>
  <c r="AL49" i="35"/>
  <c r="AH49" i="35"/>
  <c r="P49" i="35"/>
  <c r="AG49" i="35" s="1"/>
  <c r="AL48" i="35"/>
  <c r="AH48" i="35"/>
  <c r="P48" i="35"/>
  <c r="AJ48" i="35" s="1"/>
  <c r="AL47" i="35"/>
  <c r="AH47" i="35"/>
  <c r="P47" i="35"/>
  <c r="AG47" i="35" s="1"/>
  <c r="AL46" i="35"/>
  <c r="AH46" i="35"/>
  <c r="P46" i="35"/>
  <c r="AG46" i="35" s="1"/>
  <c r="Z33" i="35"/>
  <c r="U33" i="35"/>
  <c r="Q33" i="35"/>
  <c r="M33" i="35"/>
  <c r="L33" i="35"/>
  <c r="K33" i="35"/>
  <c r="J33" i="35"/>
  <c r="I33" i="35"/>
  <c r="H33" i="35"/>
  <c r="G33" i="35"/>
  <c r="F33" i="35"/>
  <c r="AI32" i="35"/>
  <c r="AH32" i="35"/>
  <c r="Y32" i="35"/>
  <c r="W32" i="35"/>
  <c r="V32" i="35"/>
  <c r="O32" i="35"/>
  <c r="N32" i="35"/>
  <c r="AI31" i="35"/>
  <c r="AH31" i="35"/>
  <c r="AE31" i="35"/>
  <c r="Y31" i="35"/>
  <c r="W31" i="35"/>
  <c r="V31" i="35"/>
  <c r="O31" i="35"/>
  <c r="N31" i="35"/>
  <c r="AI30" i="35"/>
  <c r="AH30" i="35"/>
  <c r="AE30" i="35"/>
  <c r="Y30" i="35"/>
  <c r="W30" i="35"/>
  <c r="V30" i="35"/>
  <c r="O30" i="35"/>
  <c r="N30" i="35"/>
  <c r="AI29" i="35"/>
  <c r="AH29" i="35"/>
  <c r="Y29" i="35"/>
  <c r="W29" i="35"/>
  <c r="V29" i="35"/>
  <c r="O29" i="35"/>
  <c r="N29" i="35"/>
  <c r="AI28" i="35"/>
  <c r="AH28" i="35"/>
  <c r="AE28" i="35"/>
  <c r="Y28" i="35"/>
  <c r="W28" i="35"/>
  <c r="V28" i="35"/>
  <c r="O28" i="35"/>
  <c r="N28" i="35"/>
  <c r="AH27" i="35"/>
  <c r="Y27" i="35"/>
  <c r="W27" i="35"/>
  <c r="V27" i="35"/>
  <c r="O27" i="35"/>
  <c r="N27" i="35"/>
  <c r="AH26" i="35"/>
  <c r="Y26" i="35"/>
  <c r="W26" i="35"/>
  <c r="V26" i="35"/>
  <c r="O26" i="35"/>
  <c r="N26" i="35"/>
  <c r="AH25" i="35"/>
  <c r="Y25" i="35"/>
  <c r="W25" i="35"/>
  <c r="P25" i="35" s="1"/>
  <c r="AJ25" i="35" s="1"/>
  <c r="V25" i="35"/>
  <c r="O25" i="35"/>
  <c r="N25" i="35"/>
  <c r="AI24" i="35"/>
  <c r="AH24" i="35"/>
  <c r="Y24" i="35"/>
  <c r="W24" i="35"/>
  <c r="V24" i="35"/>
  <c r="O24" i="35"/>
  <c r="N24" i="35"/>
  <c r="AI23" i="35"/>
  <c r="AH23" i="35"/>
  <c r="Y23" i="35"/>
  <c r="W23" i="35"/>
  <c r="V23" i="35"/>
  <c r="O23" i="35"/>
  <c r="N23" i="35"/>
  <c r="AI22" i="35"/>
  <c r="AH22" i="35"/>
  <c r="Y22" i="35"/>
  <c r="W22" i="35"/>
  <c r="V22" i="35"/>
  <c r="O22" i="35"/>
  <c r="N22" i="35"/>
  <c r="AI21" i="35"/>
  <c r="AH21" i="35"/>
  <c r="Y21" i="35"/>
  <c r="W21" i="35"/>
  <c r="V21" i="35"/>
  <c r="O21" i="35"/>
  <c r="N21" i="35"/>
  <c r="AI20" i="35"/>
  <c r="AH20" i="35"/>
  <c r="AE20" i="35"/>
  <c r="Y20" i="35"/>
  <c r="W20" i="35"/>
  <c r="V20" i="35"/>
  <c r="O20" i="35"/>
  <c r="N20" i="35"/>
  <c r="AI19" i="35"/>
  <c r="AH19" i="35"/>
  <c r="Y19" i="35"/>
  <c r="W19" i="35"/>
  <c r="V19" i="35"/>
  <c r="O19" i="35"/>
  <c r="N19" i="35"/>
  <c r="AI18" i="35"/>
  <c r="AH18" i="35"/>
  <c r="Y18" i="35"/>
  <c r="W18" i="35"/>
  <c r="V18" i="35"/>
  <c r="O18" i="35"/>
  <c r="N18" i="35"/>
  <c r="AI17" i="35"/>
  <c r="AH17" i="35"/>
  <c r="Y17" i="35"/>
  <c r="W17" i="35"/>
  <c r="V17" i="35"/>
  <c r="O17" i="35"/>
  <c r="N17" i="35"/>
  <c r="AI16" i="35"/>
  <c r="AH16" i="35"/>
  <c r="AE16" i="35"/>
  <c r="Y16" i="35"/>
  <c r="W16" i="35"/>
  <c r="V16" i="35"/>
  <c r="O16" i="35"/>
  <c r="N16" i="35"/>
  <c r="AI15" i="35"/>
  <c r="AH15" i="35"/>
  <c r="Y15" i="35"/>
  <c r="W15" i="35"/>
  <c r="V15" i="35"/>
  <c r="O15" i="35"/>
  <c r="N15" i="35"/>
  <c r="AI14" i="35"/>
  <c r="AH14" i="35"/>
  <c r="Y14" i="35"/>
  <c r="W14" i="35"/>
  <c r="V14" i="35"/>
  <c r="O14" i="35"/>
  <c r="N14" i="35"/>
  <c r="AI13" i="35"/>
  <c r="AH13" i="35"/>
  <c r="Y13" i="35"/>
  <c r="W13" i="35"/>
  <c r="V13" i="35"/>
  <c r="O13" i="35"/>
  <c r="N13" i="35"/>
  <c r="AI12" i="35"/>
  <c r="AH12" i="35"/>
  <c r="AE12" i="35"/>
  <c r="Y12" i="35"/>
  <c r="W12" i="35"/>
  <c r="V12" i="35"/>
  <c r="O12" i="35"/>
  <c r="N12" i="35"/>
  <c r="AI11" i="35"/>
  <c r="AH11" i="35"/>
  <c r="Y11" i="35"/>
  <c r="W11" i="35"/>
  <c r="V11" i="35"/>
  <c r="O11" i="35"/>
  <c r="N11" i="35"/>
  <c r="AI10" i="35"/>
  <c r="AH10" i="35"/>
  <c r="Y10" i="35"/>
  <c r="W10" i="35"/>
  <c r="V10" i="35"/>
  <c r="V33" i="35" s="1"/>
  <c r="O10" i="35"/>
  <c r="N10" i="35"/>
  <c r="AI9" i="35"/>
  <c r="AH9" i="35"/>
  <c r="Y9" i="35"/>
  <c r="W9" i="35"/>
  <c r="V9" i="35"/>
  <c r="O9" i="35"/>
  <c r="N9" i="35"/>
  <c r="U91" i="34"/>
  <c r="U93" i="34"/>
  <c r="U95" i="34"/>
  <c r="U97" i="34"/>
  <c r="U99" i="34"/>
  <c r="U101" i="34"/>
  <c r="N101" i="34" s="1"/>
  <c r="W101" i="34" s="1"/>
  <c r="T90" i="34"/>
  <c r="U90" i="34" s="1"/>
  <c r="T91" i="34"/>
  <c r="T92" i="34"/>
  <c r="U92" i="34" s="1"/>
  <c r="T93" i="34"/>
  <c r="T94" i="34"/>
  <c r="U94" i="34" s="1"/>
  <c r="T95" i="34"/>
  <c r="T96" i="34"/>
  <c r="U96" i="34" s="1"/>
  <c r="T97" i="34"/>
  <c r="T98" i="34"/>
  <c r="U98" i="34" s="1"/>
  <c r="T99" i="34"/>
  <c r="T100" i="34"/>
  <c r="U100" i="34" s="1"/>
  <c r="T101" i="34"/>
  <c r="T89" i="34"/>
  <c r="T102" i="34" s="1"/>
  <c r="T74" i="34"/>
  <c r="U74" i="34" s="1"/>
  <c r="T75" i="34"/>
  <c r="U75" i="34" s="1"/>
  <c r="T76" i="34"/>
  <c r="T77" i="34"/>
  <c r="U77" i="34" s="1"/>
  <c r="N77" i="34" s="1"/>
  <c r="W77" i="34" s="1"/>
  <c r="T78" i="34"/>
  <c r="U78" i="34" s="1"/>
  <c r="T73" i="34"/>
  <c r="T79" i="34" s="1"/>
  <c r="V53" i="34"/>
  <c r="V57" i="34"/>
  <c r="V61" i="34"/>
  <c r="V51" i="34"/>
  <c r="Z7" i="34"/>
  <c r="Z8" i="34"/>
  <c r="Z9" i="34"/>
  <c r="Z10" i="34"/>
  <c r="Z11" i="34"/>
  <c r="Z12" i="34"/>
  <c r="Z13" i="34"/>
  <c r="Z14" i="34"/>
  <c r="Z15" i="34"/>
  <c r="Z16" i="34"/>
  <c r="Z17" i="34"/>
  <c r="Z18" i="34"/>
  <c r="Z19" i="34"/>
  <c r="Z20" i="34"/>
  <c r="Z21" i="34"/>
  <c r="Z22" i="34"/>
  <c r="Z23" i="34"/>
  <c r="Z24" i="34"/>
  <c r="Z25" i="34"/>
  <c r="Z26" i="34"/>
  <c r="Z27" i="34"/>
  <c r="Z28" i="34"/>
  <c r="Z29" i="34"/>
  <c r="Z30" i="34"/>
  <c r="Z31" i="34"/>
  <c r="Z32" i="34"/>
  <c r="Z33" i="34"/>
  <c r="Z34" i="34"/>
  <c r="Z35" i="34"/>
  <c r="Z36" i="34"/>
  <c r="Z37" i="34"/>
  <c r="Z38" i="34"/>
  <c r="Z39" i="34"/>
  <c r="Z40" i="34"/>
  <c r="Z6" i="34"/>
  <c r="V39" i="34"/>
  <c r="W39" i="34" s="1"/>
  <c r="V37" i="34"/>
  <c r="W37" i="34" s="1"/>
  <c r="V35" i="34"/>
  <c r="V33" i="34"/>
  <c r="W33" i="34" s="1"/>
  <c r="V30" i="34"/>
  <c r="W30" i="34" s="1"/>
  <c r="V29" i="34"/>
  <c r="V17" i="34"/>
  <c r="V18" i="34"/>
  <c r="V19" i="34"/>
  <c r="W19" i="34" s="1"/>
  <c r="V20" i="34"/>
  <c r="V21" i="34"/>
  <c r="W21" i="34" s="1"/>
  <c r="V22" i="34"/>
  <c r="W22" i="34" s="1"/>
  <c r="V16" i="34"/>
  <c r="W16" i="34" s="1"/>
  <c r="X7" i="34"/>
  <c r="X8" i="34"/>
  <c r="X9" i="34"/>
  <c r="X10" i="34"/>
  <c r="X11" i="34"/>
  <c r="X12" i="34"/>
  <c r="X13" i="34"/>
  <c r="X14" i="34"/>
  <c r="X15" i="34"/>
  <c r="X16" i="34"/>
  <c r="X17" i="34"/>
  <c r="X18" i="34"/>
  <c r="X19" i="34"/>
  <c r="X20" i="34"/>
  <c r="X21" i="34"/>
  <c r="X22" i="34"/>
  <c r="X23" i="34"/>
  <c r="X24" i="34"/>
  <c r="X25" i="34"/>
  <c r="X26" i="34"/>
  <c r="X27" i="34"/>
  <c r="X28" i="34"/>
  <c r="X29" i="34"/>
  <c r="X30" i="34"/>
  <c r="X31" i="34"/>
  <c r="X32" i="34"/>
  <c r="X33" i="34"/>
  <c r="X34" i="34"/>
  <c r="X35" i="34"/>
  <c r="X36" i="34"/>
  <c r="X37" i="34"/>
  <c r="X38" i="34"/>
  <c r="X39" i="34"/>
  <c r="X40" i="34"/>
  <c r="X6" i="34"/>
  <c r="U7" i="34"/>
  <c r="U8" i="34"/>
  <c r="U9" i="34"/>
  <c r="U10" i="34"/>
  <c r="U11" i="34"/>
  <c r="U12" i="34"/>
  <c r="U13" i="34"/>
  <c r="U14" i="34"/>
  <c r="U15" i="34"/>
  <c r="U16" i="34"/>
  <c r="U17" i="34"/>
  <c r="U18" i="34"/>
  <c r="U19" i="34"/>
  <c r="U20" i="34"/>
  <c r="U21" i="34"/>
  <c r="U22" i="34"/>
  <c r="U23" i="34"/>
  <c r="U24" i="34"/>
  <c r="U25" i="34"/>
  <c r="U26" i="34"/>
  <c r="U27" i="34"/>
  <c r="U28" i="34"/>
  <c r="U29" i="34"/>
  <c r="U30" i="34"/>
  <c r="U31" i="34"/>
  <c r="U32" i="34"/>
  <c r="U33" i="34"/>
  <c r="U34" i="34"/>
  <c r="U35" i="34"/>
  <c r="U36" i="34"/>
  <c r="U37" i="34"/>
  <c r="U38" i="34"/>
  <c r="U39" i="34"/>
  <c r="U40" i="34"/>
  <c r="U6" i="34"/>
  <c r="P7" i="34"/>
  <c r="P8" i="34"/>
  <c r="N8" i="34" s="1"/>
  <c r="AD8" i="34" s="1"/>
  <c r="P9" i="34"/>
  <c r="P10" i="34"/>
  <c r="P11" i="34"/>
  <c r="P12" i="34"/>
  <c r="P13" i="34"/>
  <c r="P14" i="34"/>
  <c r="P15" i="34"/>
  <c r="P16" i="34"/>
  <c r="P17" i="34"/>
  <c r="P18" i="34"/>
  <c r="P19" i="34"/>
  <c r="P20" i="34"/>
  <c r="P21" i="34"/>
  <c r="P22" i="34"/>
  <c r="P23" i="34"/>
  <c r="P24" i="34"/>
  <c r="P25" i="34"/>
  <c r="P26" i="34"/>
  <c r="P27" i="34"/>
  <c r="P28" i="34"/>
  <c r="P29" i="34"/>
  <c r="P30" i="34"/>
  <c r="P31" i="34"/>
  <c r="P32" i="34"/>
  <c r="P33" i="34"/>
  <c r="P34" i="34"/>
  <c r="P35" i="34"/>
  <c r="P36" i="34"/>
  <c r="P37" i="34"/>
  <c r="P38" i="34"/>
  <c r="P39" i="34"/>
  <c r="P40" i="34"/>
  <c r="P6" i="34"/>
  <c r="P102" i="34"/>
  <c r="O102" i="34"/>
  <c r="K102" i="34"/>
  <c r="X102" i="34" s="1"/>
  <c r="J102" i="34"/>
  <c r="G102" i="34"/>
  <c r="F102" i="34"/>
  <c r="E102" i="34"/>
  <c r="AA101" i="34"/>
  <c r="X101" i="34"/>
  <c r="S101" i="34"/>
  <c r="AA100" i="34"/>
  <c r="X100" i="34"/>
  <c r="S100" i="34"/>
  <c r="AA99" i="34"/>
  <c r="X99" i="34"/>
  <c r="S99" i="34"/>
  <c r="AA98" i="34"/>
  <c r="X98" i="34"/>
  <c r="S98" i="34"/>
  <c r="AA97" i="34"/>
  <c r="X97" i="34"/>
  <c r="S97" i="34"/>
  <c r="AA96" i="34"/>
  <c r="X96" i="34"/>
  <c r="S96" i="34"/>
  <c r="AA95" i="34"/>
  <c r="X95" i="34"/>
  <c r="S95" i="34"/>
  <c r="AA94" i="34"/>
  <c r="X94" i="34"/>
  <c r="S94" i="34"/>
  <c r="AA93" i="34"/>
  <c r="X93" i="34"/>
  <c r="S93" i="34"/>
  <c r="N93" i="34"/>
  <c r="W93" i="34" s="1"/>
  <c r="AA92" i="34"/>
  <c r="X92" i="34"/>
  <c r="S92" i="34"/>
  <c r="AA91" i="34"/>
  <c r="X91" i="34"/>
  <c r="S91" i="34"/>
  <c r="AA90" i="34"/>
  <c r="X90" i="34"/>
  <c r="S90" i="34"/>
  <c r="AA89" i="34"/>
  <c r="X89" i="34"/>
  <c r="S89" i="34"/>
  <c r="S102" i="34" s="1"/>
  <c r="V79" i="34"/>
  <c r="O79" i="34"/>
  <c r="K79" i="34"/>
  <c r="J79" i="34"/>
  <c r="G79" i="34"/>
  <c r="F79" i="34"/>
  <c r="E79" i="34"/>
  <c r="AB78" i="34"/>
  <c r="X78" i="34"/>
  <c r="P78" i="34"/>
  <c r="AB77" i="34"/>
  <c r="X77" i="34"/>
  <c r="P77" i="34"/>
  <c r="AB76" i="34"/>
  <c r="X76" i="34"/>
  <c r="U76" i="34"/>
  <c r="P76" i="34"/>
  <c r="AB75" i="34"/>
  <c r="X75" i="34"/>
  <c r="P75" i="34"/>
  <c r="AB74" i="34"/>
  <c r="X74" i="34"/>
  <c r="P74" i="34"/>
  <c r="AB73" i="34"/>
  <c r="AB79" i="34" s="1"/>
  <c r="X73" i="34"/>
  <c r="U73" i="34"/>
  <c r="P73" i="34"/>
  <c r="P79" i="34" s="1"/>
  <c r="S64" i="34"/>
  <c r="R64" i="34"/>
  <c r="Q64" i="34"/>
  <c r="O64" i="34"/>
  <c r="K64" i="34"/>
  <c r="J64" i="34"/>
  <c r="G64" i="34"/>
  <c r="F64" i="34"/>
  <c r="E64" i="34"/>
  <c r="X63" i="34"/>
  <c r="U63" i="34"/>
  <c r="P63" i="34"/>
  <c r="N63" i="34" s="1"/>
  <c r="V63" i="34" s="1"/>
  <c r="X62" i="34"/>
  <c r="U62" i="34"/>
  <c r="P62" i="34"/>
  <c r="N62" i="34"/>
  <c r="V62" i="34" s="1"/>
  <c r="X61" i="34"/>
  <c r="U61" i="34"/>
  <c r="P61" i="34"/>
  <c r="N61" i="34" s="1"/>
  <c r="X60" i="34"/>
  <c r="U60" i="34"/>
  <c r="P60" i="34"/>
  <c r="N60" i="34" s="1"/>
  <c r="V60" i="34" s="1"/>
  <c r="X59" i="34"/>
  <c r="U59" i="34"/>
  <c r="P59" i="34"/>
  <c r="N59" i="34" s="1"/>
  <c r="V59" i="34" s="1"/>
  <c r="X58" i="34"/>
  <c r="U58" i="34"/>
  <c r="P58" i="34"/>
  <c r="N58" i="34"/>
  <c r="T58" i="34" s="1"/>
  <c r="X57" i="34"/>
  <c r="U57" i="34"/>
  <c r="P57" i="34"/>
  <c r="N57" i="34" s="1"/>
  <c r="X56" i="34"/>
  <c r="U56" i="34"/>
  <c r="P56" i="34"/>
  <c r="N56" i="34" s="1"/>
  <c r="V56" i="34" s="1"/>
  <c r="X55" i="34"/>
  <c r="U55" i="34"/>
  <c r="P55" i="34"/>
  <c r="N55" i="34" s="1"/>
  <c r="V55" i="34" s="1"/>
  <c r="X54" i="34"/>
  <c r="U54" i="34"/>
  <c r="P54" i="34"/>
  <c r="N54" i="34"/>
  <c r="V54" i="34" s="1"/>
  <c r="X53" i="34"/>
  <c r="U53" i="34"/>
  <c r="P53" i="34"/>
  <c r="N53" i="34" s="1"/>
  <c r="X52" i="34"/>
  <c r="U52" i="34"/>
  <c r="P52" i="34"/>
  <c r="N52" i="34" s="1"/>
  <c r="X51" i="34"/>
  <c r="U51" i="34"/>
  <c r="P51" i="34"/>
  <c r="N51" i="34" s="1"/>
  <c r="Y41" i="34"/>
  <c r="T41" i="34"/>
  <c r="S41" i="34"/>
  <c r="O41" i="34"/>
  <c r="K41" i="34"/>
  <c r="J41" i="34"/>
  <c r="I41" i="34"/>
  <c r="H41" i="34"/>
  <c r="G41" i="34"/>
  <c r="F41" i="34"/>
  <c r="E41" i="34"/>
  <c r="AB40" i="34"/>
  <c r="W40" i="34"/>
  <c r="R40" i="34"/>
  <c r="Q40" i="34"/>
  <c r="M40" i="34"/>
  <c r="L40" i="34"/>
  <c r="AC39" i="34"/>
  <c r="AB39" i="34"/>
  <c r="R39" i="34"/>
  <c r="Q39" i="34"/>
  <c r="M39" i="34"/>
  <c r="L39" i="34"/>
  <c r="AB38" i="34"/>
  <c r="W38" i="34"/>
  <c r="R38" i="34"/>
  <c r="Q38" i="34"/>
  <c r="M38" i="34"/>
  <c r="L38" i="34"/>
  <c r="AC37" i="34"/>
  <c r="AB37" i="34"/>
  <c r="R37" i="34"/>
  <c r="Q37" i="34"/>
  <c r="M37" i="34"/>
  <c r="L37" i="34"/>
  <c r="AB36" i="34"/>
  <c r="W36" i="34"/>
  <c r="R36" i="34"/>
  <c r="Q36" i="34"/>
  <c r="M36" i="34"/>
  <c r="L36" i="34"/>
  <c r="AC35" i="34"/>
  <c r="AB35" i="34"/>
  <c r="W35" i="34"/>
  <c r="R35" i="34"/>
  <c r="Q35" i="34"/>
  <c r="M35" i="34"/>
  <c r="L35" i="34"/>
  <c r="AB34" i="34"/>
  <c r="W34" i="34"/>
  <c r="R34" i="34"/>
  <c r="Q34" i="34"/>
  <c r="M34" i="34"/>
  <c r="L34" i="34"/>
  <c r="AC33" i="34"/>
  <c r="AB33" i="34"/>
  <c r="R33" i="34"/>
  <c r="Q33" i="34"/>
  <c r="M33" i="34"/>
  <c r="L33" i="34"/>
  <c r="AF33" i="34" s="1"/>
  <c r="AB32" i="34"/>
  <c r="W32" i="34"/>
  <c r="R32" i="34"/>
  <c r="Q32" i="34"/>
  <c r="M32" i="34"/>
  <c r="L32" i="34"/>
  <c r="AB31" i="34"/>
  <c r="W31" i="34"/>
  <c r="R31" i="34"/>
  <c r="Q31" i="34"/>
  <c r="M31" i="34"/>
  <c r="L31" i="34"/>
  <c r="AC30" i="34"/>
  <c r="AB30" i="34"/>
  <c r="R30" i="34"/>
  <c r="Q30" i="34"/>
  <c r="M30" i="34"/>
  <c r="L30" i="34"/>
  <c r="AC29" i="34"/>
  <c r="AB29" i="34"/>
  <c r="W29" i="34"/>
  <c r="R29" i="34"/>
  <c r="Q29" i="34"/>
  <c r="M29" i="34"/>
  <c r="L29" i="34"/>
  <c r="AB28" i="34"/>
  <c r="W28" i="34"/>
  <c r="R28" i="34"/>
  <c r="Q28" i="34"/>
  <c r="M28" i="34"/>
  <c r="L28" i="34"/>
  <c r="AB27" i="34"/>
  <c r="W27" i="34"/>
  <c r="R27" i="34"/>
  <c r="Q27" i="34"/>
  <c r="M27" i="34"/>
  <c r="L27" i="34"/>
  <c r="AB26" i="34"/>
  <c r="W26" i="34"/>
  <c r="R26" i="34"/>
  <c r="Q26" i="34"/>
  <c r="M26" i="34"/>
  <c r="L26" i="34"/>
  <c r="AB25" i="34"/>
  <c r="W25" i="34"/>
  <c r="R25" i="34"/>
  <c r="Q25" i="34"/>
  <c r="N25" i="34" s="1"/>
  <c r="AD25" i="34" s="1"/>
  <c r="M25" i="34"/>
  <c r="L25" i="34"/>
  <c r="AB24" i="34"/>
  <c r="W24" i="34"/>
  <c r="R24" i="34"/>
  <c r="Q24" i="34"/>
  <c r="M24" i="34"/>
  <c r="L24" i="34"/>
  <c r="AB23" i="34"/>
  <c r="W23" i="34"/>
  <c r="R23" i="34"/>
  <c r="Q23" i="34"/>
  <c r="M23" i="34"/>
  <c r="L23" i="34"/>
  <c r="AC22" i="34"/>
  <c r="AB22" i="34"/>
  <c r="R22" i="34"/>
  <c r="Q22" i="34"/>
  <c r="M22" i="34"/>
  <c r="L22" i="34"/>
  <c r="AC21" i="34"/>
  <c r="AB21" i="34"/>
  <c r="R21" i="34"/>
  <c r="Q21" i="34"/>
  <c r="M21" i="34"/>
  <c r="L21" i="34"/>
  <c r="AF21" i="34" s="1"/>
  <c r="AC20" i="34"/>
  <c r="AB20" i="34"/>
  <c r="W20" i="34"/>
  <c r="R20" i="34"/>
  <c r="Q20" i="34"/>
  <c r="M20" i="34"/>
  <c r="L20" i="34"/>
  <c r="AC19" i="34"/>
  <c r="AB19" i="34"/>
  <c r="R19" i="34"/>
  <c r="Q19" i="34"/>
  <c r="M19" i="34"/>
  <c r="L19" i="34"/>
  <c r="AC18" i="34"/>
  <c r="AB18" i="34"/>
  <c r="W18" i="34"/>
  <c r="R18" i="34"/>
  <c r="Q18" i="34"/>
  <c r="M18" i="34"/>
  <c r="L18" i="34"/>
  <c r="AC17" i="34"/>
  <c r="AB17" i="34"/>
  <c r="W17" i="34"/>
  <c r="R17" i="34"/>
  <c r="Q17" i="34"/>
  <c r="M17" i="34"/>
  <c r="L17" i="34"/>
  <c r="AF17" i="34" s="1"/>
  <c r="AC16" i="34"/>
  <c r="AB16" i="34"/>
  <c r="R16" i="34"/>
  <c r="Q16" i="34"/>
  <c r="M16" i="34"/>
  <c r="L16" i="34"/>
  <c r="AB15" i="34"/>
  <c r="W15" i="34"/>
  <c r="R15" i="34"/>
  <c r="Q15" i="34"/>
  <c r="M15" i="34"/>
  <c r="L15" i="34"/>
  <c r="AB14" i="34"/>
  <c r="W14" i="34"/>
  <c r="R14" i="34"/>
  <c r="Q14" i="34"/>
  <c r="M14" i="34"/>
  <c r="L14" i="34"/>
  <c r="AB13" i="34"/>
  <c r="W13" i="34"/>
  <c r="R13" i="34"/>
  <c r="Q13" i="34"/>
  <c r="M13" i="34"/>
  <c r="L13" i="34"/>
  <c r="AB12" i="34"/>
  <c r="W12" i="34"/>
  <c r="R12" i="34"/>
  <c r="Q12" i="34"/>
  <c r="M12" i="34"/>
  <c r="L12" i="34"/>
  <c r="AB11" i="34"/>
  <c r="W11" i="34"/>
  <c r="R11" i="34"/>
  <c r="Q11" i="34"/>
  <c r="M11" i="34"/>
  <c r="L11" i="34"/>
  <c r="AB10" i="34"/>
  <c r="W10" i="34"/>
  <c r="R10" i="34"/>
  <c r="Q10" i="34"/>
  <c r="N10" i="34" s="1"/>
  <c r="AD10" i="34" s="1"/>
  <c r="M10" i="34"/>
  <c r="L10" i="34"/>
  <c r="AB9" i="34"/>
  <c r="W9" i="34"/>
  <c r="R9" i="34"/>
  <c r="Q9" i="34"/>
  <c r="M9" i="34"/>
  <c r="L9" i="34"/>
  <c r="AB8" i="34"/>
  <c r="W8" i="34"/>
  <c r="R8" i="34"/>
  <c r="Q8" i="34"/>
  <c r="M8" i="34"/>
  <c r="L8" i="34"/>
  <c r="AB7" i="34"/>
  <c r="W7" i="34"/>
  <c r="R7" i="34"/>
  <c r="Q7" i="34"/>
  <c r="M7" i="34"/>
  <c r="L7" i="34"/>
  <c r="AB6" i="34"/>
  <c r="W6" i="34"/>
  <c r="R6" i="34"/>
  <c r="Q6" i="34"/>
  <c r="M6" i="34"/>
  <c r="L6" i="34"/>
  <c r="R105" i="33"/>
  <c r="S105" i="33" s="1"/>
  <c r="R106" i="33"/>
  <c r="S106" i="33" s="1"/>
  <c r="R107" i="33"/>
  <c r="S107" i="33" s="1"/>
  <c r="R108" i="33"/>
  <c r="S108" i="33" s="1"/>
  <c r="O108" i="33" s="1"/>
  <c r="U108" i="33" s="1"/>
  <c r="R109" i="33"/>
  <c r="S109" i="33" s="1"/>
  <c r="R110" i="33"/>
  <c r="S110" i="33" s="1"/>
  <c r="R111" i="33"/>
  <c r="R112" i="33"/>
  <c r="R113" i="33"/>
  <c r="S113" i="33" s="1"/>
  <c r="R114" i="33"/>
  <c r="R115" i="33"/>
  <c r="S115" i="33" s="1"/>
  <c r="R116" i="33"/>
  <c r="S116" i="33" s="1"/>
  <c r="R104" i="33"/>
  <c r="R80" i="33"/>
  <c r="S80" i="33" s="1"/>
  <c r="R81" i="33"/>
  <c r="S81" i="33" s="1"/>
  <c r="R82" i="33"/>
  <c r="S82" i="33" s="1"/>
  <c r="R83" i="33"/>
  <c r="S83" i="33" s="1"/>
  <c r="R84" i="33"/>
  <c r="S84" i="33" s="1"/>
  <c r="R85" i="33"/>
  <c r="S85" i="33" s="1"/>
  <c r="R86" i="33"/>
  <c r="S86" i="33" s="1"/>
  <c r="R87" i="33"/>
  <c r="S87" i="33" s="1"/>
  <c r="R88" i="33"/>
  <c r="S88" i="33" s="1"/>
  <c r="R89" i="33"/>
  <c r="S89" i="33" s="1"/>
  <c r="R90" i="33"/>
  <c r="S90" i="33" s="1"/>
  <c r="R91" i="33"/>
  <c r="S91" i="33" s="1"/>
  <c r="R79" i="33"/>
  <c r="S79" i="33" s="1"/>
  <c r="Z52" i="33"/>
  <c r="Z53" i="33"/>
  <c r="Z54" i="33"/>
  <c r="Z55" i="33"/>
  <c r="Z56" i="33"/>
  <c r="Z57" i="33"/>
  <c r="Z58" i="33"/>
  <c r="Z59" i="33"/>
  <c r="Z60" i="33"/>
  <c r="Z61" i="33"/>
  <c r="Z62" i="33"/>
  <c r="Z63" i="33"/>
  <c r="Z64" i="33"/>
  <c r="Z51" i="33"/>
  <c r="X54" i="33"/>
  <c r="X55" i="33"/>
  <c r="X58" i="33"/>
  <c r="X63" i="33"/>
  <c r="X64" i="33"/>
  <c r="X51" i="33"/>
  <c r="AA11" i="33"/>
  <c r="AA12" i="33"/>
  <c r="AA13" i="33"/>
  <c r="AA14" i="33"/>
  <c r="AA15" i="33"/>
  <c r="AA16" i="33"/>
  <c r="AA17" i="33"/>
  <c r="AA18" i="33"/>
  <c r="AA19" i="33"/>
  <c r="AA20" i="33"/>
  <c r="AA21" i="33"/>
  <c r="AA22" i="33"/>
  <c r="AA23" i="33"/>
  <c r="AA24" i="33"/>
  <c r="AA25" i="33"/>
  <c r="AA26" i="33"/>
  <c r="AA27" i="33"/>
  <c r="AA28" i="33"/>
  <c r="AA29" i="33"/>
  <c r="AA30" i="33"/>
  <c r="AA31" i="33"/>
  <c r="AA32" i="33"/>
  <c r="AA33" i="33"/>
  <c r="AA34" i="33"/>
  <c r="AA35" i="33"/>
  <c r="AA36" i="33"/>
  <c r="AA37" i="33"/>
  <c r="AA38" i="33"/>
  <c r="AA39" i="33"/>
  <c r="AA40" i="33"/>
  <c r="AA10" i="33"/>
  <c r="X40" i="33"/>
  <c r="X25" i="33"/>
  <c r="X26" i="33"/>
  <c r="X24" i="33"/>
  <c r="Y24" i="33" s="1"/>
  <c r="X11" i="33"/>
  <c r="Y11" i="33" s="1"/>
  <c r="X12" i="33"/>
  <c r="X13" i="33"/>
  <c r="X14" i="33"/>
  <c r="Y14" i="33" s="1"/>
  <c r="X15" i="33"/>
  <c r="Y15" i="33" s="1"/>
  <c r="X16" i="33"/>
  <c r="Y16" i="33" s="1"/>
  <c r="X17" i="33"/>
  <c r="X18" i="33"/>
  <c r="X19" i="33"/>
  <c r="Y19" i="33" s="1"/>
  <c r="X10" i="33"/>
  <c r="Y10" i="33" s="1"/>
  <c r="Z11" i="33"/>
  <c r="Z12" i="33"/>
  <c r="Z13" i="33"/>
  <c r="Z14" i="33"/>
  <c r="Z15" i="33"/>
  <c r="Z16" i="33"/>
  <c r="Z17" i="33"/>
  <c r="Z18" i="33"/>
  <c r="Z19" i="33"/>
  <c r="Z20" i="33"/>
  <c r="Z21" i="33"/>
  <c r="Z22" i="33"/>
  <c r="Z23" i="33"/>
  <c r="Z24" i="33"/>
  <c r="Z25" i="33"/>
  <c r="Z26" i="33"/>
  <c r="Z27" i="33"/>
  <c r="Z28" i="33"/>
  <c r="Z29" i="33"/>
  <c r="Z30" i="33"/>
  <c r="Z31" i="33"/>
  <c r="Z32" i="33"/>
  <c r="Z33" i="33"/>
  <c r="Z34" i="33"/>
  <c r="Z35" i="33"/>
  <c r="Z36" i="33"/>
  <c r="Z37" i="33"/>
  <c r="Z38" i="33"/>
  <c r="Z39" i="33"/>
  <c r="Z40" i="33"/>
  <c r="Z10" i="33"/>
  <c r="V11" i="33"/>
  <c r="V12" i="33"/>
  <c r="V13" i="33"/>
  <c r="V14" i="33"/>
  <c r="V15" i="33"/>
  <c r="V16" i="33"/>
  <c r="V17" i="33"/>
  <c r="V18" i="33"/>
  <c r="V19" i="33"/>
  <c r="V20" i="33"/>
  <c r="V21" i="33"/>
  <c r="V22" i="33"/>
  <c r="V23" i="33"/>
  <c r="V24" i="33"/>
  <c r="V25" i="33"/>
  <c r="V26" i="33"/>
  <c r="V27" i="33"/>
  <c r="V28" i="33"/>
  <c r="V29" i="33"/>
  <c r="V30" i="33"/>
  <c r="V31" i="33"/>
  <c r="V32" i="33"/>
  <c r="V33" i="33"/>
  <c r="V34" i="33"/>
  <c r="V35" i="33"/>
  <c r="V36" i="33"/>
  <c r="V37" i="33"/>
  <c r="V38" i="33"/>
  <c r="V39" i="33"/>
  <c r="V40" i="33"/>
  <c r="V10" i="33"/>
  <c r="T117" i="33"/>
  <c r="Q117" i="33"/>
  <c r="L117" i="33"/>
  <c r="K117" i="33"/>
  <c r="H117" i="33"/>
  <c r="G117" i="33"/>
  <c r="F117" i="33"/>
  <c r="E117" i="33"/>
  <c r="Y116" i="33"/>
  <c r="V116" i="33"/>
  <c r="P116" i="33"/>
  <c r="Y115" i="33"/>
  <c r="V115" i="33"/>
  <c r="P115" i="33"/>
  <c r="Y114" i="33"/>
  <c r="V114" i="33"/>
  <c r="S114" i="33"/>
  <c r="P114" i="33"/>
  <c r="Y113" i="33"/>
  <c r="V113" i="33"/>
  <c r="P113" i="33"/>
  <c r="Y112" i="33"/>
  <c r="V112" i="33"/>
  <c r="S112" i="33"/>
  <c r="O112" i="33" s="1"/>
  <c r="U112" i="33" s="1"/>
  <c r="P112" i="33"/>
  <c r="Y111" i="33"/>
  <c r="V111" i="33"/>
  <c r="S111" i="33"/>
  <c r="P111" i="33"/>
  <c r="Y110" i="33"/>
  <c r="V110" i="33"/>
  <c r="P110" i="33"/>
  <c r="Y109" i="33"/>
  <c r="V109" i="33"/>
  <c r="P109" i="33"/>
  <c r="Y108" i="33"/>
  <c r="V108" i="33"/>
  <c r="P108" i="33"/>
  <c r="Y107" i="33"/>
  <c r="V107" i="33"/>
  <c r="P107" i="33"/>
  <c r="Y106" i="33"/>
  <c r="V106" i="33"/>
  <c r="P106" i="33"/>
  <c r="Y105" i="33"/>
  <c r="V105" i="33"/>
  <c r="P105" i="33"/>
  <c r="Y104" i="33"/>
  <c r="V104" i="33"/>
  <c r="S104" i="33"/>
  <c r="P104" i="33"/>
  <c r="O104" i="33" s="1"/>
  <c r="Y92" i="33"/>
  <c r="T92" i="33"/>
  <c r="P92" i="33"/>
  <c r="L92" i="33"/>
  <c r="K92" i="33"/>
  <c r="H92" i="33"/>
  <c r="G92" i="33"/>
  <c r="F92" i="33"/>
  <c r="E92" i="33"/>
  <c r="Z91" i="33"/>
  <c r="V91" i="33"/>
  <c r="Q91" i="33"/>
  <c r="Z90" i="33"/>
  <c r="V90" i="33"/>
  <c r="Q90" i="33"/>
  <c r="Z89" i="33"/>
  <c r="V89" i="33"/>
  <c r="Q89" i="33"/>
  <c r="Z88" i="33"/>
  <c r="V88" i="33"/>
  <c r="Q88" i="33"/>
  <c r="Z87" i="33"/>
  <c r="V87" i="33"/>
  <c r="Q87" i="33"/>
  <c r="Z86" i="33"/>
  <c r="V86" i="33"/>
  <c r="Q86" i="33"/>
  <c r="Z85" i="33"/>
  <c r="V85" i="33"/>
  <c r="Q85" i="33"/>
  <c r="Z84" i="33"/>
  <c r="V84" i="33"/>
  <c r="Q84" i="33"/>
  <c r="Z83" i="33"/>
  <c r="V83" i="33"/>
  <c r="Q83" i="33"/>
  <c r="Z82" i="33"/>
  <c r="V82" i="33"/>
  <c r="Q82" i="33"/>
  <c r="Z81" i="33"/>
  <c r="V81" i="33"/>
  <c r="Q81" i="33"/>
  <c r="Z80" i="33"/>
  <c r="V80" i="33"/>
  <c r="Q80" i="33"/>
  <c r="Z79" i="33"/>
  <c r="V79" i="33"/>
  <c r="Q79" i="33"/>
  <c r="U65" i="33"/>
  <c r="S65" i="33"/>
  <c r="R65" i="33"/>
  <c r="Q65" i="33"/>
  <c r="P65" i="33"/>
  <c r="L65" i="33"/>
  <c r="K65" i="33"/>
  <c r="H65" i="33"/>
  <c r="G65" i="33"/>
  <c r="F65" i="33"/>
  <c r="W64" i="33"/>
  <c r="V64" i="33"/>
  <c r="O64" i="33"/>
  <c r="W63" i="33"/>
  <c r="V63" i="33"/>
  <c r="O63" i="33"/>
  <c r="W62" i="33"/>
  <c r="O62" i="33"/>
  <c r="V62" i="33" s="1"/>
  <c r="W61" i="33"/>
  <c r="V61" i="33"/>
  <c r="O61" i="33"/>
  <c r="X61" i="33" s="1"/>
  <c r="W60" i="33"/>
  <c r="V60" i="33"/>
  <c r="O60" i="33"/>
  <c r="X60" i="33" s="1"/>
  <c r="W59" i="33"/>
  <c r="O59" i="33"/>
  <c r="V59" i="33" s="1"/>
  <c r="W58" i="33"/>
  <c r="O58" i="33"/>
  <c r="V58" i="33" s="1"/>
  <c r="W57" i="33"/>
  <c r="V57" i="33"/>
  <c r="O57" i="33"/>
  <c r="X57" i="33" s="1"/>
  <c r="W56" i="33"/>
  <c r="O56" i="33"/>
  <c r="V56" i="33" s="1"/>
  <c r="W55" i="33"/>
  <c r="O55" i="33"/>
  <c r="V55" i="33" s="1"/>
  <c r="W54" i="33"/>
  <c r="O54" i="33"/>
  <c r="V54" i="33" s="1"/>
  <c r="W53" i="33"/>
  <c r="O53" i="33"/>
  <c r="V53" i="33" s="1"/>
  <c r="W52" i="33"/>
  <c r="O52" i="33"/>
  <c r="X52" i="33" s="1"/>
  <c r="W51" i="33"/>
  <c r="V51" i="33"/>
  <c r="O51" i="33"/>
  <c r="AB41" i="33"/>
  <c r="W41" i="33"/>
  <c r="U41" i="33"/>
  <c r="S41" i="33"/>
  <c r="R41" i="33"/>
  <c r="Q41" i="33"/>
  <c r="P41" i="33"/>
  <c r="L41" i="33"/>
  <c r="K41" i="33"/>
  <c r="J41" i="33"/>
  <c r="I41" i="33"/>
  <c r="H41" i="33"/>
  <c r="G41" i="33"/>
  <c r="F41" i="33"/>
  <c r="E41" i="33"/>
  <c r="AE40" i="33"/>
  <c r="AD40" i="33"/>
  <c r="Y40" i="33"/>
  <c r="T40" i="33"/>
  <c r="N40" i="33"/>
  <c r="M40" i="33"/>
  <c r="AD39" i="33"/>
  <c r="Y39" i="33"/>
  <c r="T39" i="33"/>
  <c r="N39" i="33"/>
  <c r="M39" i="33"/>
  <c r="AD38" i="33"/>
  <c r="Y38" i="33"/>
  <c r="T38" i="33"/>
  <c r="N38" i="33"/>
  <c r="M38" i="33"/>
  <c r="AD37" i="33"/>
  <c r="Y37" i="33"/>
  <c r="T37" i="33"/>
  <c r="N37" i="33"/>
  <c r="M37" i="33"/>
  <c r="AH37" i="33" s="1"/>
  <c r="A37" i="33"/>
  <c r="A38" i="33" s="1"/>
  <c r="A39" i="33" s="1"/>
  <c r="AD36" i="33"/>
  <c r="Y36" i="33"/>
  <c r="T36" i="33"/>
  <c r="N36" i="33"/>
  <c r="M36" i="33"/>
  <c r="A36" i="33"/>
  <c r="AD35" i="33"/>
  <c r="Y35" i="33"/>
  <c r="T35" i="33"/>
  <c r="N35" i="33"/>
  <c r="M35" i="33"/>
  <c r="AH35" i="33" s="1"/>
  <c r="AD34" i="33"/>
  <c r="Y34" i="33"/>
  <c r="T34" i="33"/>
  <c r="N34" i="33"/>
  <c r="M34" i="33"/>
  <c r="AD33" i="33"/>
  <c r="Y33" i="33"/>
  <c r="T33" i="33"/>
  <c r="N33" i="33"/>
  <c r="M33" i="33"/>
  <c r="AD32" i="33"/>
  <c r="Y32" i="33"/>
  <c r="T32" i="33"/>
  <c r="N32" i="33"/>
  <c r="M32" i="33"/>
  <c r="AD31" i="33"/>
  <c r="Y31" i="33"/>
  <c r="T31" i="33"/>
  <c r="N31" i="33"/>
  <c r="M31" i="33"/>
  <c r="AH31" i="33" s="1"/>
  <c r="AD30" i="33"/>
  <c r="Y30" i="33"/>
  <c r="T30" i="33"/>
  <c r="N30" i="33"/>
  <c r="M30" i="33"/>
  <c r="AD29" i="33"/>
  <c r="Y29" i="33"/>
  <c r="T29" i="33"/>
  <c r="N29" i="33"/>
  <c r="M29" i="33"/>
  <c r="AD28" i="33"/>
  <c r="Y28" i="33"/>
  <c r="T28" i="33"/>
  <c r="N28" i="33"/>
  <c r="M28" i="33"/>
  <c r="AD27" i="33"/>
  <c r="Y27" i="33"/>
  <c r="T27" i="33"/>
  <c r="N27" i="33"/>
  <c r="M27" i="33"/>
  <c r="AE26" i="33"/>
  <c r="AD26" i="33"/>
  <c r="Y26" i="33"/>
  <c r="T26" i="33"/>
  <c r="N26" i="33"/>
  <c r="AH26" i="33" s="1"/>
  <c r="M26" i="33"/>
  <c r="AE25" i="33"/>
  <c r="AD25" i="33"/>
  <c r="Y25" i="33"/>
  <c r="T25" i="33"/>
  <c r="N25" i="33"/>
  <c r="M25" i="33"/>
  <c r="AE24" i="33"/>
  <c r="AD24" i="33"/>
  <c r="T24" i="33"/>
  <c r="N24" i="33"/>
  <c r="M24" i="33"/>
  <c r="AD23" i="33"/>
  <c r="Y23" i="33"/>
  <c r="T23" i="33"/>
  <c r="N23" i="33"/>
  <c r="M23" i="33"/>
  <c r="AD22" i="33"/>
  <c r="Y22" i="33"/>
  <c r="T22" i="33"/>
  <c r="N22" i="33"/>
  <c r="M22" i="33"/>
  <c r="AD21" i="33"/>
  <c r="Y21" i="33"/>
  <c r="T21" i="33"/>
  <c r="O21" i="33" s="1"/>
  <c r="AF21" i="33" s="1"/>
  <c r="N21" i="33"/>
  <c r="M21" i="33"/>
  <c r="AH21" i="33" s="1"/>
  <c r="AD20" i="33"/>
  <c r="Y20" i="33"/>
  <c r="T20" i="33"/>
  <c r="N20" i="33"/>
  <c r="M20" i="33"/>
  <c r="AE19" i="33"/>
  <c r="AD19" i="33"/>
  <c r="T19" i="33"/>
  <c r="N19" i="33"/>
  <c r="M19" i="33"/>
  <c r="AE18" i="33"/>
  <c r="AD18" i="33"/>
  <c r="Y18" i="33"/>
  <c r="T18" i="33"/>
  <c r="N18" i="33"/>
  <c r="M18" i="33"/>
  <c r="A18" i="33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E17" i="33"/>
  <c r="AD17" i="33"/>
  <c r="Y17" i="33"/>
  <c r="T17" i="33"/>
  <c r="N17" i="33"/>
  <c r="M17" i="33"/>
  <c r="AE16" i="33"/>
  <c r="AD16" i="33"/>
  <c r="T16" i="33"/>
  <c r="N16" i="33"/>
  <c r="AH16" i="33" s="1"/>
  <c r="M16" i="33"/>
  <c r="AE15" i="33"/>
  <c r="AD15" i="33"/>
  <c r="T15" i="33"/>
  <c r="N15" i="33"/>
  <c r="M15" i="33"/>
  <c r="AE14" i="33"/>
  <c r="AD14" i="33"/>
  <c r="T14" i="33"/>
  <c r="N14" i="33"/>
  <c r="M14" i="33"/>
  <c r="AE13" i="33"/>
  <c r="AD13" i="33"/>
  <c r="Y13" i="33"/>
  <c r="T13" i="33"/>
  <c r="N13" i="33"/>
  <c r="M13" i="33"/>
  <c r="AE12" i="33"/>
  <c r="AD12" i="33"/>
  <c r="Y12" i="33"/>
  <c r="T12" i="33"/>
  <c r="N12" i="33"/>
  <c r="M12" i="33"/>
  <c r="AE11" i="33"/>
  <c r="AD11" i="33"/>
  <c r="T11" i="33"/>
  <c r="N11" i="33"/>
  <c r="M11" i="33"/>
  <c r="AE10" i="33"/>
  <c r="AD10" i="33"/>
  <c r="T10" i="33"/>
  <c r="N10" i="33"/>
  <c r="M10" i="33"/>
  <c r="W9" i="32"/>
  <c r="W10" i="32"/>
  <c r="W11" i="32"/>
  <c r="W12" i="32"/>
  <c r="W13" i="32"/>
  <c r="W14" i="32"/>
  <c r="W15" i="32"/>
  <c r="W16" i="32"/>
  <c r="W17" i="32"/>
  <c r="W18" i="32"/>
  <c r="W19" i="32"/>
  <c r="W20" i="32"/>
  <c r="W21" i="32"/>
  <c r="W22" i="32"/>
  <c r="W23" i="32"/>
  <c r="W24" i="32"/>
  <c r="W25" i="32"/>
  <c r="W26" i="32"/>
  <c r="W8" i="32"/>
  <c r="W27" i="32" s="1"/>
  <c r="T9" i="32"/>
  <c r="T10" i="32"/>
  <c r="T11" i="32"/>
  <c r="T12" i="32"/>
  <c r="U12" i="32" s="1"/>
  <c r="T13" i="32"/>
  <c r="U13" i="32" s="1"/>
  <c r="T14" i="32"/>
  <c r="T15" i="32"/>
  <c r="U15" i="32" s="1"/>
  <c r="T16" i="32"/>
  <c r="U16" i="32" s="1"/>
  <c r="T17" i="32"/>
  <c r="T18" i="32"/>
  <c r="U18" i="32" s="1"/>
  <c r="T19" i="32"/>
  <c r="U19" i="32" s="1"/>
  <c r="T20" i="32"/>
  <c r="T21" i="32"/>
  <c r="U21" i="32" s="1"/>
  <c r="T22" i="32"/>
  <c r="T23" i="32"/>
  <c r="U23" i="32" s="1"/>
  <c r="T24" i="32"/>
  <c r="U24" i="32" s="1"/>
  <c r="T25" i="32"/>
  <c r="U25" i="32" s="1"/>
  <c r="T26" i="32"/>
  <c r="T8" i="32"/>
  <c r="U8" i="32" s="1"/>
  <c r="S9" i="32"/>
  <c r="S10" i="32"/>
  <c r="S11" i="32"/>
  <c r="S12" i="32"/>
  <c r="S13" i="32"/>
  <c r="S14" i="32"/>
  <c r="S15" i="32"/>
  <c r="S16" i="32"/>
  <c r="S17" i="32"/>
  <c r="S18" i="32"/>
  <c r="S19" i="32"/>
  <c r="S20" i="32"/>
  <c r="S21" i="32"/>
  <c r="S22" i="32"/>
  <c r="S23" i="32"/>
  <c r="S24" i="32"/>
  <c r="S25" i="32"/>
  <c r="S26" i="32"/>
  <c r="S8" i="32"/>
  <c r="V9" i="32"/>
  <c r="V10" i="32"/>
  <c r="V11" i="32"/>
  <c r="V12" i="32"/>
  <c r="V13" i="32"/>
  <c r="V14" i="32"/>
  <c r="V15" i="32"/>
  <c r="V16" i="32"/>
  <c r="V17" i="32"/>
  <c r="V18" i="32"/>
  <c r="V19" i="32"/>
  <c r="V20" i="32"/>
  <c r="V21" i="32"/>
  <c r="V22" i="32"/>
  <c r="V23" i="32"/>
  <c r="V24" i="32"/>
  <c r="V25" i="32"/>
  <c r="V26" i="32"/>
  <c r="V8" i="32"/>
  <c r="P9" i="32"/>
  <c r="O9" i="32" s="1"/>
  <c r="P10" i="32"/>
  <c r="O10" i="32" s="1"/>
  <c r="P11" i="32"/>
  <c r="O11" i="32" s="1"/>
  <c r="P12" i="32"/>
  <c r="O12" i="32" s="1"/>
  <c r="P13" i="32"/>
  <c r="O13" i="32" s="1"/>
  <c r="P14" i="32"/>
  <c r="O14" i="32" s="1"/>
  <c r="P15" i="32"/>
  <c r="P16" i="32"/>
  <c r="O16" i="32" s="1"/>
  <c r="P17" i="32"/>
  <c r="O17" i="32" s="1"/>
  <c r="P18" i="32"/>
  <c r="O18" i="32" s="1"/>
  <c r="P19" i="32"/>
  <c r="P20" i="32"/>
  <c r="O20" i="32" s="1"/>
  <c r="P21" i="32"/>
  <c r="O21" i="32" s="1"/>
  <c r="P22" i="32"/>
  <c r="O22" i="32" s="1"/>
  <c r="P23" i="32"/>
  <c r="P24" i="32"/>
  <c r="O24" i="32" s="1"/>
  <c r="P25" i="32"/>
  <c r="O25" i="32" s="1"/>
  <c r="P26" i="32"/>
  <c r="O26" i="32" s="1"/>
  <c r="P8" i="32"/>
  <c r="P27" i="32" s="1"/>
  <c r="P44" i="32"/>
  <c r="O44" i="32" s="1"/>
  <c r="L44" i="32"/>
  <c r="K44" i="32"/>
  <c r="H44" i="32"/>
  <c r="G44" i="32"/>
  <c r="F44" i="32"/>
  <c r="U43" i="32"/>
  <c r="S43" i="32"/>
  <c r="R43" i="32"/>
  <c r="O43" i="32"/>
  <c r="Q43" i="32" s="1"/>
  <c r="U42" i="32"/>
  <c r="R42" i="32"/>
  <c r="O42" i="32"/>
  <c r="Q42" i="32" s="1"/>
  <c r="U41" i="32"/>
  <c r="R41" i="32"/>
  <c r="Q41" i="32"/>
  <c r="O41" i="32"/>
  <c r="S41" i="32" s="1"/>
  <c r="U40" i="32"/>
  <c r="R40" i="32"/>
  <c r="Q40" i="32"/>
  <c r="O40" i="32"/>
  <c r="S40" i="32" s="1"/>
  <c r="U39" i="32"/>
  <c r="S39" i="32"/>
  <c r="R39" i="32"/>
  <c r="O39" i="32"/>
  <c r="Q39" i="32" s="1"/>
  <c r="U38" i="32"/>
  <c r="R38" i="32"/>
  <c r="O38" i="32"/>
  <c r="Q38" i="32" s="1"/>
  <c r="U37" i="32"/>
  <c r="R37" i="32"/>
  <c r="Q37" i="32"/>
  <c r="O37" i="32"/>
  <c r="S37" i="32" s="1"/>
  <c r="U36" i="32"/>
  <c r="R36" i="32"/>
  <c r="Q36" i="32"/>
  <c r="O36" i="32"/>
  <c r="S36" i="32" s="1"/>
  <c r="R27" i="32"/>
  <c r="L27" i="32"/>
  <c r="K27" i="32"/>
  <c r="J27" i="32"/>
  <c r="I27" i="32"/>
  <c r="H27" i="32"/>
  <c r="G27" i="32"/>
  <c r="F27" i="32"/>
  <c r="Y26" i="32"/>
  <c r="U26" i="32"/>
  <c r="Q26" i="32"/>
  <c r="N26" i="32"/>
  <c r="M26" i="32"/>
  <c r="Y25" i="32"/>
  <c r="Q25" i="32"/>
  <c r="N25" i="32"/>
  <c r="M25" i="32"/>
  <c r="AB25" i="32" s="1"/>
  <c r="Y24" i="32"/>
  <c r="Q24" i="32"/>
  <c r="N24" i="32"/>
  <c r="M24" i="32"/>
  <c r="Y23" i="32"/>
  <c r="Q23" i="32"/>
  <c r="N23" i="32"/>
  <c r="M23" i="32"/>
  <c r="Y22" i="32"/>
  <c r="U22" i="32"/>
  <c r="Q22" i="32"/>
  <c r="N22" i="32"/>
  <c r="M22" i="32"/>
  <c r="Y21" i="32"/>
  <c r="Q21" i="32"/>
  <c r="N21" i="32"/>
  <c r="M21" i="32"/>
  <c r="Y20" i="32"/>
  <c r="U20" i="32"/>
  <c r="Q20" i="32"/>
  <c r="N20" i="32"/>
  <c r="M20" i="32"/>
  <c r="Y19" i="32"/>
  <c r="Q19" i="32"/>
  <c r="N19" i="32"/>
  <c r="M19" i="32"/>
  <c r="Y18" i="32"/>
  <c r="Q18" i="32"/>
  <c r="N18" i="32"/>
  <c r="M18" i="32"/>
  <c r="Y17" i="32"/>
  <c r="U17" i="32"/>
  <c r="Q17" i="32"/>
  <c r="N17" i="32"/>
  <c r="M17" i="32"/>
  <c r="Y16" i="32"/>
  <c r="Q16" i="32"/>
  <c r="N16" i="32"/>
  <c r="M16" i="32"/>
  <c r="Z15" i="32"/>
  <c r="Y15" i="32"/>
  <c r="Q15" i="32"/>
  <c r="N15" i="32"/>
  <c r="M15" i="32"/>
  <c r="Z14" i="32"/>
  <c r="Y14" i="32"/>
  <c r="U14" i="32"/>
  <c r="Q14" i="32"/>
  <c r="N14" i="32"/>
  <c r="M14" i="32"/>
  <c r="Z13" i="32"/>
  <c r="Y13" i="32"/>
  <c r="Q13" i="32"/>
  <c r="N13" i="32"/>
  <c r="M13" i="32"/>
  <c r="Z12" i="32"/>
  <c r="Y12" i="32"/>
  <c r="Q12" i="32"/>
  <c r="N12" i="32"/>
  <c r="M12" i="32"/>
  <c r="Z11" i="32"/>
  <c r="Y11" i="32"/>
  <c r="U11" i="32"/>
  <c r="Q11" i="32"/>
  <c r="N11" i="32"/>
  <c r="M11" i="32"/>
  <c r="Z10" i="32"/>
  <c r="Y10" i="32"/>
  <c r="U10" i="32"/>
  <c r="Q10" i="32"/>
  <c r="N10" i="32"/>
  <c r="M10" i="32"/>
  <c r="Z9" i="32"/>
  <c r="Y9" i="32"/>
  <c r="U9" i="32"/>
  <c r="Q9" i="32"/>
  <c r="N9" i="32"/>
  <c r="M9" i="32"/>
  <c r="Z8" i="32"/>
  <c r="Y8" i="32"/>
  <c r="Q8" i="32"/>
  <c r="N8" i="32"/>
  <c r="M8" i="32"/>
  <c r="T79" i="30"/>
  <c r="T80" i="30"/>
  <c r="U80" i="30" s="1"/>
  <c r="T81" i="30"/>
  <c r="U81" i="30" s="1"/>
  <c r="O81" i="30" s="1"/>
  <c r="Y81" i="30" s="1"/>
  <c r="T82" i="30"/>
  <c r="U82" i="30" s="1"/>
  <c r="O82" i="30" s="1"/>
  <c r="Y82" i="30" s="1"/>
  <c r="T83" i="30"/>
  <c r="U83" i="30" s="1"/>
  <c r="T84" i="30"/>
  <c r="U84" i="30" s="1"/>
  <c r="T85" i="30"/>
  <c r="U85" i="30" s="1"/>
  <c r="O85" i="30" s="1"/>
  <c r="Y85" i="30" s="1"/>
  <c r="T78" i="30"/>
  <c r="U78" i="30" s="1"/>
  <c r="O78" i="30" s="1"/>
  <c r="Q79" i="30"/>
  <c r="Q80" i="30"/>
  <c r="O80" i="30" s="1"/>
  <c r="Y80" i="30" s="1"/>
  <c r="Q81" i="30"/>
  <c r="Q82" i="30"/>
  <c r="Q83" i="30"/>
  <c r="O83" i="30" s="1"/>
  <c r="Y83" i="30" s="1"/>
  <c r="Q84" i="30"/>
  <c r="O84" i="30" s="1"/>
  <c r="Y84" i="30" s="1"/>
  <c r="Q85" i="30"/>
  <c r="Q78" i="30"/>
  <c r="V44" i="30"/>
  <c r="V48" i="30"/>
  <c r="V52" i="30"/>
  <c r="V56" i="30"/>
  <c r="V60" i="30"/>
  <c r="V64" i="30"/>
  <c r="X8" i="30"/>
  <c r="X9" i="30"/>
  <c r="X10" i="30"/>
  <c r="X11" i="30"/>
  <c r="X12" i="30"/>
  <c r="X13" i="30"/>
  <c r="X14" i="30"/>
  <c r="X15" i="30"/>
  <c r="X16" i="30"/>
  <c r="X17" i="30"/>
  <c r="X18" i="30"/>
  <c r="X19" i="30"/>
  <c r="X20" i="30"/>
  <c r="X21" i="30"/>
  <c r="X22" i="30"/>
  <c r="X23" i="30"/>
  <c r="X24" i="30"/>
  <c r="X25" i="30"/>
  <c r="X26" i="30"/>
  <c r="X27" i="30"/>
  <c r="X28" i="30"/>
  <c r="X29" i="30"/>
  <c r="X30" i="30"/>
  <c r="X31" i="30"/>
  <c r="X32" i="30"/>
  <c r="X33" i="30"/>
  <c r="X7" i="30"/>
  <c r="Y20" i="30"/>
  <c r="Z20" i="30" s="1"/>
  <c r="Y21" i="30"/>
  <c r="Z21" i="30" s="1"/>
  <c r="Y22" i="30"/>
  <c r="Z22" i="30" s="1"/>
  <c r="Y23" i="30"/>
  <c r="Y24" i="30"/>
  <c r="Z24" i="30" s="1"/>
  <c r="Y25" i="30"/>
  <c r="Z25" i="30" s="1"/>
  <c r="Y26" i="30"/>
  <c r="Z26" i="30" s="1"/>
  <c r="Y27" i="30"/>
  <c r="Y28" i="30"/>
  <c r="Z28" i="30" s="1"/>
  <c r="Y29" i="30"/>
  <c r="Z29" i="30" s="1"/>
  <c r="Y19" i="30"/>
  <c r="Z19" i="30" s="1"/>
  <c r="Y8" i="30"/>
  <c r="Z8" i="30" s="1"/>
  <c r="Y9" i="30"/>
  <c r="Z9" i="30" s="1"/>
  <c r="Y10" i="30"/>
  <c r="Y11" i="30"/>
  <c r="Z11" i="30" s="1"/>
  <c r="Y12" i="30"/>
  <c r="Z12" i="30" s="1"/>
  <c r="Y13" i="30"/>
  <c r="Z13" i="30" s="1"/>
  <c r="Y14" i="30"/>
  <c r="Y15" i="30"/>
  <c r="Z15" i="30" s="1"/>
  <c r="Y16" i="30"/>
  <c r="Z16" i="30" s="1"/>
  <c r="Y17" i="30"/>
  <c r="Z17" i="30" s="1"/>
  <c r="Y7" i="30"/>
  <c r="Q8" i="30"/>
  <c r="Q9" i="30"/>
  <c r="Q10" i="30"/>
  <c r="Q11" i="30"/>
  <c r="Q12" i="30"/>
  <c r="Q13" i="30"/>
  <c r="Q14" i="30"/>
  <c r="Q15" i="30"/>
  <c r="Q16" i="30"/>
  <c r="Q17" i="30"/>
  <c r="Q18" i="30"/>
  <c r="Q19" i="30"/>
  <c r="Q20" i="30"/>
  <c r="Q21" i="30"/>
  <c r="Q22" i="30"/>
  <c r="Q23" i="30"/>
  <c r="Q24" i="30"/>
  <c r="Q25" i="30"/>
  <c r="Q26" i="30"/>
  <c r="Q27" i="30"/>
  <c r="Q28" i="30"/>
  <c r="Q29" i="30"/>
  <c r="Q30" i="30"/>
  <c r="Q31" i="30"/>
  <c r="Q32" i="30"/>
  <c r="Q33" i="30"/>
  <c r="Q7" i="30"/>
  <c r="W8" i="30"/>
  <c r="W9" i="30"/>
  <c r="W10" i="30"/>
  <c r="W11" i="30"/>
  <c r="W12" i="30"/>
  <c r="W13" i="30"/>
  <c r="W14" i="30"/>
  <c r="W15" i="30"/>
  <c r="W16" i="30"/>
  <c r="W17" i="30"/>
  <c r="W18" i="30"/>
  <c r="W19" i="30"/>
  <c r="W20" i="30"/>
  <c r="W21" i="30"/>
  <c r="W22" i="30"/>
  <c r="W23" i="30"/>
  <c r="W24" i="30"/>
  <c r="W25" i="30"/>
  <c r="W26" i="30"/>
  <c r="W27" i="30"/>
  <c r="W28" i="30"/>
  <c r="W29" i="30"/>
  <c r="W30" i="30"/>
  <c r="W31" i="30"/>
  <c r="W32" i="30"/>
  <c r="W33" i="30"/>
  <c r="W7" i="30"/>
  <c r="V8" i="30"/>
  <c r="V9" i="30"/>
  <c r="V10" i="30"/>
  <c r="V11" i="30"/>
  <c r="V12" i="30"/>
  <c r="V13" i="30"/>
  <c r="V14" i="30"/>
  <c r="V15" i="30"/>
  <c r="V16" i="30"/>
  <c r="V17" i="30"/>
  <c r="V18" i="30"/>
  <c r="V19" i="30"/>
  <c r="V20" i="30"/>
  <c r="V21" i="30"/>
  <c r="V22" i="30"/>
  <c r="V23" i="30"/>
  <c r="V24" i="30"/>
  <c r="V25" i="30"/>
  <c r="V26" i="30"/>
  <c r="V27" i="30"/>
  <c r="V28" i="30"/>
  <c r="V29" i="30"/>
  <c r="V30" i="30"/>
  <c r="V31" i="30"/>
  <c r="V32" i="30"/>
  <c r="V33" i="30"/>
  <c r="V7" i="30"/>
  <c r="S8" i="30"/>
  <c r="S9" i="30"/>
  <c r="S10" i="30"/>
  <c r="S11" i="30"/>
  <c r="S12" i="30"/>
  <c r="S13" i="30"/>
  <c r="S14" i="30"/>
  <c r="S15" i="30"/>
  <c r="S16" i="30"/>
  <c r="S17" i="30"/>
  <c r="S18" i="30"/>
  <c r="S19" i="30"/>
  <c r="S20" i="30"/>
  <c r="S21" i="30"/>
  <c r="S22" i="30"/>
  <c r="S23" i="30"/>
  <c r="S24" i="30"/>
  <c r="S25" i="30"/>
  <c r="S26" i="30"/>
  <c r="S27" i="30"/>
  <c r="S28" i="30"/>
  <c r="S29" i="30"/>
  <c r="S30" i="30"/>
  <c r="S31" i="30"/>
  <c r="S32" i="30"/>
  <c r="S33" i="30"/>
  <c r="S7" i="30"/>
  <c r="K86" i="30"/>
  <c r="K88" i="30" s="1"/>
  <c r="L86" i="30"/>
  <c r="L88" i="30" s="1"/>
  <c r="AD9" i="31"/>
  <c r="S9" i="31" s="1"/>
  <c r="AG9" i="31" s="1"/>
  <c r="O9" i="31"/>
  <c r="R9" i="31" s="1"/>
  <c r="N9" i="31"/>
  <c r="Q9" i="31" s="1"/>
  <c r="AA86" i="30"/>
  <c r="S86" i="30"/>
  <c r="R86" i="30"/>
  <c r="P86" i="30"/>
  <c r="H86" i="30"/>
  <c r="G86" i="30"/>
  <c r="F86" i="30"/>
  <c r="AB85" i="30"/>
  <c r="X85" i="30"/>
  <c r="AB84" i="30"/>
  <c r="X84" i="30"/>
  <c r="AB83" i="30"/>
  <c r="X83" i="30"/>
  <c r="AB82" i="30"/>
  <c r="X82" i="30"/>
  <c r="AB81" i="30"/>
  <c r="X81" i="30"/>
  <c r="AB80" i="30"/>
  <c r="X80" i="30"/>
  <c r="AB79" i="30"/>
  <c r="X79" i="30"/>
  <c r="AB78" i="30"/>
  <c r="X78" i="30"/>
  <c r="S68" i="30"/>
  <c r="R68" i="30"/>
  <c r="Q68" i="30"/>
  <c r="P68" i="30"/>
  <c r="L68" i="30"/>
  <c r="L70" i="30" s="1"/>
  <c r="K68" i="30"/>
  <c r="K70" i="30" s="1"/>
  <c r="H68" i="30"/>
  <c r="G68" i="30"/>
  <c r="F68" i="30"/>
  <c r="X67" i="30"/>
  <c r="Z67" i="30" s="1"/>
  <c r="U67" i="30"/>
  <c r="T67" i="30"/>
  <c r="O67" i="30"/>
  <c r="AA67" i="30" s="1"/>
  <c r="X66" i="30"/>
  <c r="Z66" i="30" s="1"/>
  <c r="U66" i="30"/>
  <c r="T66" i="30"/>
  <c r="O66" i="30"/>
  <c r="AA66" i="30" s="1"/>
  <c r="X65" i="30"/>
  <c r="Z65" i="30" s="1"/>
  <c r="U65" i="30"/>
  <c r="O65" i="30"/>
  <c r="AA65" i="30" s="1"/>
  <c r="X64" i="30"/>
  <c r="Z64" i="30" s="1"/>
  <c r="U64" i="30"/>
  <c r="O64" i="30"/>
  <c r="AA64" i="30" s="1"/>
  <c r="X63" i="30"/>
  <c r="U63" i="30"/>
  <c r="O63" i="30"/>
  <c r="V63" i="30" s="1"/>
  <c r="X62" i="30"/>
  <c r="U62" i="30"/>
  <c r="O62" i="30"/>
  <c r="T62" i="30" s="1"/>
  <c r="X61" i="30"/>
  <c r="U61" i="30"/>
  <c r="O61" i="30"/>
  <c r="T61" i="30" s="1"/>
  <c r="X60" i="30"/>
  <c r="U60" i="30"/>
  <c r="O60" i="30"/>
  <c r="X59" i="30"/>
  <c r="U59" i="30"/>
  <c r="O59" i="30"/>
  <c r="V59" i="30" s="1"/>
  <c r="X58" i="30"/>
  <c r="U58" i="30"/>
  <c r="O58" i="30"/>
  <c r="T58" i="30" s="1"/>
  <c r="X57" i="30"/>
  <c r="U57" i="30"/>
  <c r="O57" i="30"/>
  <c r="T57" i="30" s="1"/>
  <c r="X56" i="30"/>
  <c r="U56" i="30"/>
  <c r="O56" i="30"/>
  <c r="X55" i="30"/>
  <c r="U55" i="30"/>
  <c r="O55" i="30"/>
  <c r="V55" i="30" s="1"/>
  <c r="X54" i="30"/>
  <c r="U54" i="30"/>
  <c r="O54" i="30"/>
  <c r="T54" i="30" s="1"/>
  <c r="X53" i="30"/>
  <c r="U53" i="30"/>
  <c r="O53" i="30"/>
  <c r="T53" i="30" s="1"/>
  <c r="X52" i="30"/>
  <c r="U52" i="30"/>
  <c r="O52" i="30"/>
  <c r="X51" i="30"/>
  <c r="U51" i="30"/>
  <c r="O51" i="30"/>
  <c r="V51" i="30" s="1"/>
  <c r="X50" i="30"/>
  <c r="U50" i="30"/>
  <c r="O50" i="30"/>
  <c r="T50" i="30" s="1"/>
  <c r="X49" i="30"/>
  <c r="U49" i="30"/>
  <c r="O49" i="30"/>
  <c r="T49" i="30" s="1"/>
  <c r="X48" i="30"/>
  <c r="U48" i="30"/>
  <c r="O48" i="30"/>
  <c r="X47" i="30"/>
  <c r="U47" i="30"/>
  <c r="O47" i="30"/>
  <c r="V47" i="30" s="1"/>
  <c r="X46" i="30"/>
  <c r="U46" i="30"/>
  <c r="O46" i="30"/>
  <c r="T46" i="30" s="1"/>
  <c r="X45" i="30"/>
  <c r="U45" i="30"/>
  <c r="O45" i="30"/>
  <c r="T45" i="30" s="1"/>
  <c r="X44" i="30"/>
  <c r="U44" i="30"/>
  <c r="O44" i="30"/>
  <c r="X43" i="30"/>
  <c r="U43" i="30"/>
  <c r="T43" i="30"/>
  <c r="O43" i="30"/>
  <c r="V43" i="30" s="1"/>
  <c r="X42" i="30"/>
  <c r="U42" i="30"/>
  <c r="O42" i="30"/>
  <c r="R34" i="30"/>
  <c r="P34" i="30"/>
  <c r="L34" i="30"/>
  <c r="L36" i="30" s="1"/>
  <c r="K34" i="30"/>
  <c r="K36" i="30" s="1"/>
  <c r="J34" i="30"/>
  <c r="I34" i="30"/>
  <c r="H34" i="30"/>
  <c r="G34" i="30"/>
  <c r="F34" i="30"/>
  <c r="AB33" i="30"/>
  <c r="U33" i="30"/>
  <c r="T33" i="30"/>
  <c r="N33" i="30"/>
  <c r="M33" i="30"/>
  <c r="AB32" i="30"/>
  <c r="U32" i="30"/>
  <c r="T32" i="30"/>
  <c r="N32" i="30"/>
  <c r="M32" i="30"/>
  <c r="AB31" i="30"/>
  <c r="U31" i="30"/>
  <c r="T31" i="30"/>
  <c r="N31" i="30"/>
  <c r="M31" i="30"/>
  <c r="AB30" i="30"/>
  <c r="U30" i="30"/>
  <c r="T30" i="30"/>
  <c r="N30" i="30"/>
  <c r="M30" i="30"/>
  <c r="AC29" i="30"/>
  <c r="AB29" i="30"/>
  <c r="U29" i="30"/>
  <c r="T29" i="30"/>
  <c r="N29" i="30"/>
  <c r="M29" i="30"/>
  <c r="AC28" i="30"/>
  <c r="AB28" i="30"/>
  <c r="U28" i="30"/>
  <c r="T28" i="30"/>
  <c r="N28" i="30"/>
  <c r="M28" i="30"/>
  <c r="AC27" i="30"/>
  <c r="AB27" i="30"/>
  <c r="Z27" i="30"/>
  <c r="U27" i="30"/>
  <c r="T27" i="30"/>
  <c r="N27" i="30"/>
  <c r="M27" i="30"/>
  <c r="AC26" i="30"/>
  <c r="AB26" i="30"/>
  <c r="U26" i="30"/>
  <c r="T26" i="30"/>
  <c r="N26" i="30"/>
  <c r="M26" i="30"/>
  <c r="AC25" i="30"/>
  <c r="AB25" i="30"/>
  <c r="U25" i="30"/>
  <c r="T25" i="30"/>
  <c r="N25" i="30"/>
  <c r="M25" i="30"/>
  <c r="AC24" i="30"/>
  <c r="AB24" i="30"/>
  <c r="U24" i="30"/>
  <c r="T24" i="30"/>
  <c r="N24" i="30"/>
  <c r="M24" i="30"/>
  <c r="AC23" i="30"/>
  <c r="AB23" i="30"/>
  <c r="Z23" i="30"/>
  <c r="U23" i="30"/>
  <c r="T23" i="30"/>
  <c r="N23" i="30"/>
  <c r="M23" i="30"/>
  <c r="AC22" i="30"/>
  <c r="AB22" i="30"/>
  <c r="U22" i="30"/>
  <c r="T22" i="30"/>
  <c r="N22" i="30"/>
  <c r="M22" i="30"/>
  <c r="AC21" i="30"/>
  <c r="AB21" i="30"/>
  <c r="U21" i="30"/>
  <c r="T21" i="30"/>
  <c r="N21" i="30"/>
  <c r="M21" i="30"/>
  <c r="AC20" i="30"/>
  <c r="AB20" i="30"/>
  <c r="U20" i="30"/>
  <c r="T20" i="30"/>
  <c r="N20" i="30"/>
  <c r="M20" i="30"/>
  <c r="AC19" i="30"/>
  <c r="AB19" i="30"/>
  <c r="U19" i="30"/>
  <c r="T19" i="30"/>
  <c r="N19" i="30"/>
  <c r="M19" i="30"/>
  <c r="AB18" i="30"/>
  <c r="U18" i="30"/>
  <c r="T18" i="30"/>
  <c r="N18" i="30"/>
  <c r="M18" i="30"/>
  <c r="AC17" i="30"/>
  <c r="AB17" i="30"/>
  <c r="U17" i="30"/>
  <c r="T17" i="30"/>
  <c r="N17" i="30"/>
  <c r="M17" i="30"/>
  <c r="AC16" i="30"/>
  <c r="AB16" i="30"/>
  <c r="U16" i="30"/>
  <c r="T16" i="30"/>
  <c r="N16" i="30"/>
  <c r="M16" i="30"/>
  <c r="AC15" i="30"/>
  <c r="AB15" i="30"/>
  <c r="U15" i="30"/>
  <c r="T15" i="30"/>
  <c r="N15" i="30"/>
  <c r="M15" i="30"/>
  <c r="AC14" i="30"/>
  <c r="AB14" i="30"/>
  <c r="Z14" i="30"/>
  <c r="U14" i="30"/>
  <c r="T14" i="30"/>
  <c r="N14" i="30"/>
  <c r="M14" i="30"/>
  <c r="AC13" i="30"/>
  <c r="AB13" i="30"/>
  <c r="U13" i="30"/>
  <c r="T13" i="30"/>
  <c r="N13" i="30"/>
  <c r="M13" i="30"/>
  <c r="AC12" i="30"/>
  <c r="AB12" i="30"/>
  <c r="U12" i="30"/>
  <c r="T12" i="30"/>
  <c r="N12" i="30"/>
  <c r="M12" i="30"/>
  <c r="AC11" i="30"/>
  <c r="AB11" i="30"/>
  <c r="U11" i="30"/>
  <c r="T11" i="30"/>
  <c r="N11" i="30"/>
  <c r="M11" i="30"/>
  <c r="AC10" i="30"/>
  <c r="AB10" i="30"/>
  <c r="Z10" i="30"/>
  <c r="U10" i="30"/>
  <c r="T10" i="30"/>
  <c r="N10" i="30"/>
  <c r="M10" i="30"/>
  <c r="AC9" i="30"/>
  <c r="AB9" i="30"/>
  <c r="U9" i="30"/>
  <c r="T9" i="30"/>
  <c r="N9" i="30"/>
  <c r="M9" i="30"/>
  <c r="AC8" i="30"/>
  <c r="AB8" i="30"/>
  <c r="U8" i="30"/>
  <c r="T8" i="30"/>
  <c r="N8" i="30"/>
  <c r="M8" i="30"/>
  <c r="AC7" i="30"/>
  <c r="AB7" i="30"/>
  <c r="U7" i="30"/>
  <c r="T7" i="30"/>
  <c r="N7" i="30"/>
  <c r="M7" i="30"/>
  <c r="R63" i="29"/>
  <c r="S63" i="29" s="1"/>
  <c r="R64" i="29"/>
  <c r="S64" i="29" s="1"/>
  <c r="O64" i="29" s="1"/>
  <c r="T64" i="29" s="1"/>
  <c r="R65" i="29"/>
  <c r="R66" i="29"/>
  <c r="S66" i="29" s="1"/>
  <c r="O66" i="29" s="1"/>
  <c r="T66" i="29" s="1"/>
  <c r="R67" i="29"/>
  <c r="R68" i="29"/>
  <c r="S68" i="29" s="1"/>
  <c r="O68" i="29" s="1"/>
  <c r="T68" i="29" s="1"/>
  <c r="R62" i="29"/>
  <c r="S62" i="29" s="1"/>
  <c r="R42" i="29"/>
  <c r="S42" i="29" s="1"/>
  <c r="O42" i="29" s="1"/>
  <c r="V42" i="29" s="1"/>
  <c r="R43" i="29"/>
  <c r="R44" i="29"/>
  <c r="S44" i="29" s="1"/>
  <c r="O44" i="29" s="1"/>
  <c r="V44" i="29" s="1"/>
  <c r="R45" i="29"/>
  <c r="S45" i="29" s="1"/>
  <c r="R46" i="29"/>
  <c r="R47" i="29"/>
  <c r="S47" i="29" s="1"/>
  <c r="O47" i="29" s="1"/>
  <c r="V47" i="29" s="1"/>
  <c r="R41" i="29"/>
  <c r="Z27" i="29"/>
  <c r="Z23" i="29"/>
  <c r="AE8" i="29"/>
  <c r="AE9" i="29"/>
  <c r="AE10" i="29"/>
  <c r="AE11" i="29"/>
  <c r="AE12" i="29"/>
  <c r="AE13" i="29"/>
  <c r="AE7" i="29"/>
  <c r="X8" i="29"/>
  <c r="X14" i="29" s="1"/>
  <c r="X9" i="29"/>
  <c r="Y9" i="29" s="1"/>
  <c r="X10" i="29"/>
  <c r="Y10" i="29" s="1"/>
  <c r="X11" i="29"/>
  <c r="Y11" i="29" s="1"/>
  <c r="X12" i="29"/>
  <c r="Y12" i="29" s="1"/>
  <c r="X13" i="29"/>
  <c r="Y13" i="29" s="1"/>
  <c r="X7" i="29"/>
  <c r="AD8" i="29"/>
  <c r="AD9" i="29"/>
  <c r="AD10" i="29"/>
  <c r="AD11" i="29"/>
  <c r="AD12" i="29"/>
  <c r="AD13" i="29"/>
  <c r="AD7" i="29"/>
  <c r="AC8" i="29"/>
  <c r="AC9" i="29"/>
  <c r="AC10" i="29"/>
  <c r="AC11" i="29"/>
  <c r="AC12" i="29"/>
  <c r="AC13" i="29"/>
  <c r="AC7" i="29"/>
  <c r="N8" i="29"/>
  <c r="N9" i="29"/>
  <c r="N10" i="29"/>
  <c r="N11" i="29"/>
  <c r="AK11" i="29" s="1"/>
  <c r="N12" i="29"/>
  <c r="N13" i="29"/>
  <c r="M8" i="29"/>
  <c r="AK8" i="29" s="1"/>
  <c r="M9" i="29"/>
  <c r="AK9" i="29" s="1"/>
  <c r="M10" i="29"/>
  <c r="AK10" i="29" s="1"/>
  <c r="M11" i="29"/>
  <c r="M12" i="29"/>
  <c r="AK12" i="29" s="1"/>
  <c r="M13" i="29"/>
  <c r="AK13" i="29" s="1"/>
  <c r="N7" i="29"/>
  <c r="M7" i="29"/>
  <c r="AK7" i="29" s="1"/>
  <c r="L14" i="29"/>
  <c r="I14" i="29"/>
  <c r="Q69" i="29"/>
  <c r="P69" i="29"/>
  <c r="L69" i="29"/>
  <c r="K69" i="29"/>
  <c r="H69" i="29"/>
  <c r="G69" i="29"/>
  <c r="F69" i="29"/>
  <c r="E69" i="29"/>
  <c r="W68" i="29"/>
  <c r="U68" i="29"/>
  <c r="W67" i="29"/>
  <c r="U67" i="29"/>
  <c r="W66" i="29"/>
  <c r="U66" i="29"/>
  <c r="W65" i="29"/>
  <c r="U65" i="29"/>
  <c r="S65" i="29"/>
  <c r="O65" i="29" s="1"/>
  <c r="T65" i="29" s="1"/>
  <c r="W64" i="29"/>
  <c r="U64" i="29"/>
  <c r="W63" i="29"/>
  <c r="U63" i="29"/>
  <c r="W62" i="29"/>
  <c r="U62" i="29"/>
  <c r="Q48" i="29"/>
  <c r="P48" i="29"/>
  <c r="L48" i="29"/>
  <c r="K48" i="29"/>
  <c r="H48" i="29"/>
  <c r="G48" i="29"/>
  <c r="F48" i="29"/>
  <c r="E48" i="29"/>
  <c r="X47" i="29"/>
  <c r="U47" i="29"/>
  <c r="X46" i="29"/>
  <c r="U46" i="29"/>
  <c r="X45" i="29"/>
  <c r="U45" i="29"/>
  <c r="X44" i="29"/>
  <c r="U44" i="29"/>
  <c r="X43" i="29"/>
  <c r="U43" i="29"/>
  <c r="S43" i="29"/>
  <c r="O43" i="29" s="1"/>
  <c r="V43" i="29" s="1"/>
  <c r="X42" i="29"/>
  <c r="U42" i="29"/>
  <c r="X41" i="29"/>
  <c r="U41" i="29"/>
  <c r="W30" i="29"/>
  <c r="V30" i="29"/>
  <c r="U30" i="29"/>
  <c r="T30" i="29"/>
  <c r="S30" i="29"/>
  <c r="R30" i="29"/>
  <c r="Q30" i="29"/>
  <c r="P30" i="29"/>
  <c r="L30" i="29"/>
  <c r="K30" i="29"/>
  <c r="H30" i="29"/>
  <c r="G30" i="29"/>
  <c r="F30" i="29"/>
  <c r="E30" i="29"/>
  <c r="AB29" i="29"/>
  <c r="Y29" i="29"/>
  <c r="O29" i="29"/>
  <c r="X29" i="29" s="1"/>
  <c r="AB28" i="29"/>
  <c r="Y28" i="29"/>
  <c r="O28" i="29"/>
  <c r="AB27" i="29"/>
  <c r="Y27" i="29"/>
  <c r="O27" i="29"/>
  <c r="X27" i="29" s="1"/>
  <c r="AB26" i="29"/>
  <c r="Y26" i="29"/>
  <c r="O26" i="29"/>
  <c r="AB25" i="29"/>
  <c r="Y25" i="29"/>
  <c r="O25" i="29"/>
  <c r="X25" i="29" s="1"/>
  <c r="AB24" i="29"/>
  <c r="Y24" i="29"/>
  <c r="O24" i="29"/>
  <c r="AB23" i="29"/>
  <c r="Y23" i="29"/>
  <c r="O23" i="29"/>
  <c r="AB14" i="29"/>
  <c r="AA14" i="29"/>
  <c r="Z14" i="29"/>
  <c r="U14" i="29"/>
  <c r="T14" i="29"/>
  <c r="S14" i="29"/>
  <c r="P14" i="29"/>
  <c r="K14" i="29"/>
  <c r="J14" i="29"/>
  <c r="H14" i="29"/>
  <c r="G14" i="29"/>
  <c r="F14" i="29"/>
  <c r="E14" i="29"/>
  <c r="AH13" i="29"/>
  <c r="AG13" i="29"/>
  <c r="W13" i="29"/>
  <c r="V13" i="29"/>
  <c r="R13" i="29"/>
  <c r="Q13" i="29"/>
  <c r="AH12" i="29"/>
  <c r="AG12" i="29"/>
  <c r="W12" i="29"/>
  <c r="V12" i="29"/>
  <c r="R12" i="29"/>
  <c r="Q12" i="29"/>
  <c r="AH11" i="29"/>
  <c r="AG11" i="29"/>
  <c r="W11" i="29"/>
  <c r="V11" i="29"/>
  <c r="R11" i="29"/>
  <c r="Q11" i="29"/>
  <c r="AH10" i="29"/>
  <c r="AG10" i="29"/>
  <c r="W10" i="29"/>
  <c r="V10" i="29"/>
  <c r="R10" i="29"/>
  <c r="Q10" i="29"/>
  <c r="AH9" i="29"/>
  <c r="AG9" i="29"/>
  <c r="W9" i="29"/>
  <c r="V9" i="29"/>
  <c r="R9" i="29"/>
  <c r="Q9" i="29"/>
  <c r="AH8" i="29"/>
  <c r="AG8" i="29"/>
  <c r="W8" i="29"/>
  <c r="V8" i="29"/>
  <c r="R8" i="29"/>
  <c r="Q8" i="29"/>
  <c r="AH7" i="29"/>
  <c r="AG7" i="29"/>
  <c r="Y7" i="29"/>
  <c r="W7" i="29"/>
  <c r="V7" i="29"/>
  <c r="R7" i="29"/>
  <c r="Q7" i="29"/>
  <c r="H16" i="28"/>
  <c r="R16" i="28"/>
  <c r="T16" i="28"/>
  <c r="V16" i="28"/>
  <c r="Z16" i="28"/>
  <c r="AF16" i="28"/>
  <c r="AG26" i="28"/>
  <c r="AG25" i="28"/>
  <c r="AG24" i="28"/>
  <c r="AB25" i="28"/>
  <c r="N25" i="28"/>
  <c r="AE25" i="28" s="1"/>
  <c r="N24" i="28"/>
  <c r="AE24" i="28" s="1"/>
  <c r="X14" i="28"/>
  <c r="X13" i="28"/>
  <c r="Q14" i="28"/>
  <c r="Q13" i="28"/>
  <c r="AD11" i="28"/>
  <c r="AD10" i="28"/>
  <c r="AC11" i="28"/>
  <c r="AC10" i="28"/>
  <c r="AF15" i="28"/>
  <c r="X11" i="28"/>
  <c r="X10" i="28"/>
  <c r="W11" i="28"/>
  <c r="W10" i="28"/>
  <c r="Q11" i="28"/>
  <c r="N11" i="28" s="1"/>
  <c r="AE11" i="28" s="1"/>
  <c r="Q10" i="28"/>
  <c r="N10" i="28" s="1"/>
  <c r="AE10" i="28" s="1"/>
  <c r="E15" i="28"/>
  <c r="F15" i="28"/>
  <c r="F16" i="28" s="1"/>
  <c r="G15" i="28"/>
  <c r="J15" i="28"/>
  <c r="J16" i="28" s="1"/>
  <c r="K15" i="28"/>
  <c r="E12" i="28"/>
  <c r="E16" i="28" s="1"/>
  <c r="F12" i="28"/>
  <c r="G12" i="28"/>
  <c r="G16" i="28" s="1"/>
  <c r="H12" i="28"/>
  <c r="I12" i="28"/>
  <c r="I16" i="28" s="1"/>
  <c r="J12" i="28"/>
  <c r="K12" i="28"/>
  <c r="O12" i="28"/>
  <c r="O16" i="28" s="1"/>
  <c r="P12" i="28"/>
  <c r="P16" i="28" s="1"/>
  <c r="R12" i="28"/>
  <c r="S12" i="28"/>
  <c r="S16" i="28" s="1"/>
  <c r="T12" i="28"/>
  <c r="U12" i="28"/>
  <c r="U16" i="28" s="1"/>
  <c r="V12" i="28"/>
  <c r="Y12" i="28"/>
  <c r="Y16" i="28" s="1"/>
  <c r="Z12" i="28"/>
  <c r="AA12" i="28"/>
  <c r="AA16" i="28" s="1"/>
  <c r="AI38" i="27"/>
  <c r="AI39" i="27"/>
  <c r="AI40" i="27"/>
  <c r="AI41" i="27"/>
  <c r="AI37" i="27"/>
  <c r="AE38" i="27"/>
  <c r="AE39" i="27"/>
  <c r="AE40" i="27"/>
  <c r="AE41" i="27"/>
  <c r="AD40" i="27"/>
  <c r="P39" i="27"/>
  <c r="AD39" i="27" s="1"/>
  <c r="AB38" i="27"/>
  <c r="P38" i="27" s="1"/>
  <c r="AG38" i="27" s="1"/>
  <c r="AB40" i="27"/>
  <c r="AB37" i="27"/>
  <c r="AA38" i="27"/>
  <c r="AA39" i="27"/>
  <c r="AB39" i="27" s="1"/>
  <c r="AA40" i="27"/>
  <c r="P40" i="27" s="1"/>
  <c r="AG40" i="27" s="1"/>
  <c r="AA41" i="27"/>
  <c r="AB41" i="27" s="1"/>
  <c r="AA37" i="27"/>
  <c r="AI26" i="27"/>
  <c r="AI27" i="27"/>
  <c r="AI28" i="27"/>
  <c r="AI29" i="27"/>
  <c r="AI25" i="27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29" i="19"/>
  <c r="AC30" i="19"/>
  <c r="AC31" i="19"/>
  <c r="AC32" i="19"/>
  <c r="AC9" i="19"/>
  <c r="AA29" i="19"/>
  <c r="AA30" i="19"/>
  <c r="AA31" i="19"/>
  <c r="AA32" i="19"/>
  <c r="AA28" i="19"/>
  <c r="AB28" i="19" s="1"/>
  <c r="AA24" i="19"/>
  <c r="AA10" i="19"/>
  <c r="AA11" i="19"/>
  <c r="AA12" i="19"/>
  <c r="AA13" i="19"/>
  <c r="AA14" i="19"/>
  <c r="AA15" i="19"/>
  <c r="AA16" i="19"/>
  <c r="AA17" i="19"/>
  <c r="AA18" i="19"/>
  <c r="AA19" i="19"/>
  <c r="AA20" i="19"/>
  <c r="AA21" i="19"/>
  <c r="AA22" i="19"/>
  <c r="AA23" i="19"/>
  <c r="AA9" i="19"/>
  <c r="AF10" i="27"/>
  <c r="AF12" i="27"/>
  <c r="AF14" i="27"/>
  <c r="AF15" i="27"/>
  <c r="AF9" i="27"/>
  <c r="AE10" i="27"/>
  <c r="AE11" i="27"/>
  <c r="AE12" i="27"/>
  <c r="AE13" i="27"/>
  <c r="AE14" i="27"/>
  <c r="AE15" i="27"/>
  <c r="AE16" i="27"/>
  <c r="AE17" i="27"/>
  <c r="AE9" i="27"/>
  <c r="AC10" i="27"/>
  <c r="AC11" i="27"/>
  <c r="AC12" i="27"/>
  <c r="AC13" i="27"/>
  <c r="AC14" i="27"/>
  <c r="AC15" i="27"/>
  <c r="AC16" i="27"/>
  <c r="AC9" i="27"/>
  <c r="AA10" i="27"/>
  <c r="AB10" i="27" s="1"/>
  <c r="AA11" i="27"/>
  <c r="AB11" i="27" s="1"/>
  <c r="AA12" i="27"/>
  <c r="AB12" i="27" s="1"/>
  <c r="AA13" i="27"/>
  <c r="AB13" i="27" s="1"/>
  <c r="AA14" i="27"/>
  <c r="AB14" i="27" s="1"/>
  <c r="AA15" i="27"/>
  <c r="AB15" i="27" s="1"/>
  <c r="AA16" i="27"/>
  <c r="AB16" i="27" s="1"/>
  <c r="P16" i="27" s="1"/>
  <c r="AG16" i="27" s="1"/>
  <c r="AA9" i="27"/>
  <c r="AB9" i="27" s="1"/>
  <c r="Z10" i="27"/>
  <c r="Z11" i="27"/>
  <c r="Z12" i="27"/>
  <c r="Z13" i="27"/>
  <c r="Z14" i="27"/>
  <c r="Z15" i="27"/>
  <c r="Z16" i="27"/>
  <c r="Z9" i="27"/>
  <c r="Y10" i="27"/>
  <c r="Y11" i="27"/>
  <c r="Y12" i="27"/>
  <c r="Y13" i="27"/>
  <c r="Y14" i="27"/>
  <c r="Y15" i="27"/>
  <c r="Y16" i="27"/>
  <c r="Y9" i="27"/>
  <c r="T10" i="27"/>
  <c r="P10" i="27" s="1"/>
  <c r="T11" i="27"/>
  <c r="P11" i="27" s="1"/>
  <c r="AG11" i="27" s="1"/>
  <c r="T12" i="27"/>
  <c r="P12" i="27" s="1"/>
  <c r="AG12" i="27" s="1"/>
  <c r="T13" i="27"/>
  <c r="P13" i="27" s="1"/>
  <c r="T14" i="27"/>
  <c r="P14" i="27" s="1"/>
  <c r="T15" i="27"/>
  <c r="T16" i="27"/>
  <c r="T9" i="27"/>
  <c r="P9" i="27" s="1"/>
  <c r="M11" i="28"/>
  <c r="M13" i="28"/>
  <c r="M14" i="28"/>
  <c r="AC14" i="28" s="1"/>
  <c r="M10" i="28"/>
  <c r="L11" i="28"/>
  <c r="L13" i="28"/>
  <c r="AG13" i="28" s="1"/>
  <c r="L14" i="28"/>
  <c r="L10" i="28"/>
  <c r="AG10" i="28" s="1"/>
  <c r="O10" i="27"/>
  <c r="O11" i="27"/>
  <c r="O12" i="27"/>
  <c r="AI12" i="27" s="1"/>
  <c r="O13" i="27"/>
  <c r="O14" i="27"/>
  <c r="AI14" i="27" s="1"/>
  <c r="O15" i="27"/>
  <c r="O16" i="27"/>
  <c r="O9" i="27"/>
  <c r="O17" i="27" s="1"/>
  <c r="N10" i="27"/>
  <c r="AI10" i="27" s="1"/>
  <c r="N11" i="27"/>
  <c r="N12" i="27"/>
  <c r="AD12" i="27" s="1"/>
  <c r="N13" i="27"/>
  <c r="AI13" i="27" s="1"/>
  <c r="N14" i="27"/>
  <c r="N15" i="27"/>
  <c r="AI15" i="27" s="1"/>
  <c r="N16" i="27"/>
  <c r="AI16" i="27" s="1"/>
  <c r="N9" i="27"/>
  <c r="AI9" i="27" s="1"/>
  <c r="J17" i="27"/>
  <c r="K17" i="27"/>
  <c r="AF17" i="27" s="1"/>
  <c r="L17" i="27"/>
  <c r="M17" i="27"/>
  <c r="Y87" i="23"/>
  <c r="Y88" i="23"/>
  <c r="Y89" i="23"/>
  <c r="Y90" i="23"/>
  <c r="Y91" i="23"/>
  <c r="Y92" i="23"/>
  <c r="Y86" i="23"/>
  <c r="Y93" i="23" s="1"/>
  <c r="U87" i="23"/>
  <c r="U88" i="23"/>
  <c r="U89" i="23"/>
  <c r="U90" i="23"/>
  <c r="U91" i="23"/>
  <c r="U92" i="23"/>
  <c r="R87" i="23"/>
  <c r="R88" i="23"/>
  <c r="R89" i="23"/>
  <c r="R90" i="23"/>
  <c r="R91" i="23"/>
  <c r="R92" i="23"/>
  <c r="R86" i="23"/>
  <c r="AB53" i="23"/>
  <c r="AB54" i="23"/>
  <c r="AB55" i="23"/>
  <c r="AB56" i="23"/>
  <c r="AB57" i="23"/>
  <c r="AB58" i="23"/>
  <c r="AB59" i="23"/>
  <c r="AB60" i="23"/>
  <c r="AB61" i="23"/>
  <c r="AB62" i="23"/>
  <c r="AB63" i="23"/>
  <c r="AB64" i="23"/>
  <c r="AB65" i="23"/>
  <c r="AB66" i="23"/>
  <c r="AB67" i="23"/>
  <c r="AB68" i="23"/>
  <c r="AB69" i="23"/>
  <c r="AB70" i="23"/>
  <c r="AB71" i="23"/>
  <c r="AB72" i="23"/>
  <c r="AB73" i="23"/>
  <c r="AB74" i="23"/>
  <c r="AB75" i="23"/>
  <c r="AB52" i="23"/>
  <c r="AB76" i="23" s="1"/>
  <c r="Y53" i="23"/>
  <c r="Y54" i="23"/>
  <c r="Y55" i="23"/>
  <c r="Y56" i="23"/>
  <c r="Y57" i="23"/>
  <c r="Y58" i="23"/>
  <c r="Y59" i="23"/>
  <c r="Y60" i="23"/>
  <c r="Y61" i="23"/>
  <c r="Y62" i="23"/>
  <c r="Y63" i="23"/>
  <c r="Y64" i="23"/>
  <c r="Y65" i="23"/>
  <c r="Y66" i="23"/>
  <c r="Y67" i="23"/>
  <c r="Y68" i="23"/>
  <c r="Y69" i="23"/>
  <c r="Y70" i="23"/>
  <c r="Y71" i="23"/>
  <c r="Y72" i="23"/>
  <c r="Y73" i="23"/>
  <c r="Y74" i="23"/>
  <c r="Y75" i="23"/>
  <c r="AD10" i="23"/>
  <c r="AD11" i="23"/>
  <c r="AD12" i="23"/>
  <c r="AD13" i="23"/>
  <c r="AD15" i="23"/>
  <c r="AD16" i="23"/>
  <c r="AD17" i="23"/>
  <c r="AD18" i="23"/>
  <c r="AD19" i="23"/>
  <c r="AD20" i="23"/>
  <c r="AD21" i="23"/>
  <c r="AD22" i="23"/>
  <c r="AD23" i="23"/>
  <c r="AD24" i="23"/>
  <c r="AD25" i="23"/>
  <c r="AD26" i="23"/>
  <c r="AD34" i="23"/>
  <c r="AD35" i="23"/>
  <c r="AD39" i="23"/>
  <c r="AD40" i="23"/>
  <c r="AC10" i="23"/>
  <c r="AC11" i="23"/>
  <c r="AC12" i="23"/>
  <c r="AC13" i="23"/>
  <c r="AC14" i="23"/>
  <c r="AC15" i="23"/>
  <c r="AC16" i="23"/>
  <c r="AC17" i="23"/>
  <c r="AC18" i="23"/>
  <c r="AC19" i="23"/>
  <c r="AC20" i="23"/>
  <c r="AC21" i="23"/>
  <c r="AC22" i="23"/>
  <c r="AC23" i="23"/>
  <c r="AC24" i="23"/>
  <c r="AC25" i="23"/>
  <c r="AC26" i="23"/>
  <c r="AC27" i="23"/>
  <c r="AC28" i="23"/>
  <c r="AC29" i="23"/>
  <c r="AC30" i="23"/>
  <c r="AC31" i="23"/>
  <c r="AC32" i="23"/>
  <c r="AC33" i="23"/>
  <c r="AC34" i="23"/>
  <c r="AC35" i="23"/>
  <c r="AC36" i="23"/>
  <c r="AC37" i="23"/>
  <c r="AC38" i="23"/>
  <c r="AC39" i="23"/>
  <c r="AC40" i="23"/>
  <c r="AC9" i="23"/>
  <c r="AA10" i="23"/>
  <c r="AA11" i="23"/>
  <c r="AA12" i="23"/>
  <c r="AA13" i="23"/>
  <c r="AA14" i="23"/>
  <c r="AA15" i="23"/>
  <c r="AA16" i="23"/>
  <c r="AA17" i="23"/>
  <c r="AA18" i="23"/>
  <c r="AA19" i="23"/>
  <c r="AA20" i="23"/>
  <c r="AA21" i="23"/>
  <c r="AA22" i="23"/>
  <c r="AA23" i="23"/>
  <c r="AA24" i="23"/>
  <c r="AA25" i="23"/>
  <c r="AA26" i="23"/>
  <c r="AA27" i="23"/>
  <c r="AA28" i="23"/>
  <c r="AA29" i="23"/>
  <c r="AA30" i="23"/>
  <c r="AA31" i="23"/>
  <c r="AA32" i="23"/>
  <c r="AA33" i="23"/>
  <c r="AA34" i="23"/>
  <c r="AA35" i="23"/>
  <c r="AA36" i="23"/>
  <c r="AA37" i="23"/>
  <c r="AA38" i="23"/>
  <c r="AA39" i="23"/>
  <c r="AA40" i="23"/>
  <c r="AA9" i="23"/>
  <c r="W32" i="23"/>
  <c r="X32" i="23" s="1"/>
  <c r="W31" i="23"/>
  <c r="X31" i="23" s="1"/>
  <c r="W40" i="23"/>
  <c r="X40" i="23" s="1"/>
  <c r="W39" i="23"/>
  <c r="X39" i="23" s="1"/>
  <c r="W35" i="23"/>
  <c r="X35" i="23" s="1"/>
  <c r="W34" i="23"/>
  <c r="X34" i="23" s="1"/>
  <c r="W16" i="23"/>
  <c r="X16" i="23" s="1"/>
  <c r="W17" i="23"/>
  <c r="X17" i="23" s="1"/>
  <c r="W18" i="23"/>
  <c r="X18" i="23" s="1"/>
  <c r="W19" i="23"/>
  <c r="X19" i="23" s="1"/>
  <c r="W20" i="23"/>
  <c r="X20" i="23" s="1"/>
  <c r="W21" i="23"/>
  <c r="X21" i="23" s="1"/>
  <c r="W22" i="23"/>
  <c r="X22" i="23" s="1"/>
  <c r="W23" i="23"/>
  <c r="X23" i="23" s="1"/>
  <c r="W24" i="23"/>
  <c r="X24" i="23" s="1"/>
  <c r="W25" i="23"/>
  <c r="X25" i="23" s="1"/>
  <c r="W26" i="23"/>
  <c r="X26" i="23" s="1"/>
  <c r="W15" i="23"/>
  <c r="X15" i="23" s="1"/>
  <c r="W11" i="23"/>
  <c r="X11" i="23" s="1"/>
  <c r="W12" i="23"/>
  <c r="X12" i="23" s="1"/>
  <c r="W13" i="23"/>
  <c r="X13" i="23" s="1"/>
  <c r="W10" i="23"/>
  <c r="X10" i="23" s="1"/>
  <c r="Y10" i="23"/>
  <c r="Y11" i="23"/>
  <c r="Y12" i="23"/>
  <c r="Y13" i="23"/>
  <c r="Y14" i="23"/>
  <c r="Y15" i="23"/>
  <c r="Y16" i="23"/>
  <c r="Y17" i="23"/>
  <c r="Y18" i="23"/>
  <c r="Y19" i="23"/>
  <c r="Y20" i="23"/>
  <c r="Y21" i="23"/>
  <c r="Y22" i="23"/>
  <c r="Y23" i="23"/>
  <c r="Y24" i="23"/>
  <c r="Y25" i="23"/>
  <c r="Y26" i="23"/>
  <c r="Y27" i="23"/>
  <c r="Y28" i="23"/>
  <c r="Y29" i="23"/>
  <c r="Y30" i="23"/>
  <c r="Y31" i="23"/>
  <c r="Y32" i="23"/>
  <c r="Y33" i="23"/>
  <c r="Y34" i="23"/>
  <c r="Y35" i="23"/>
  <c r="Y36" i="23"/>
  <c r="Y37" i="23"/>
  <c r="Y38" i="23"/>
  <c r="Y39" i="23"/>
  <c r="Y40" i="23"/>
  <c r="Y9" i="23"/>
  <c r="Z10" i="23"/>
  <c r="Z11" i="23"/>
  <c r="Z12" i="23"/>
  <c r="Z13" i="23"/>
  <c r="Z14" i="23"/>
  <c r="Z15" i="23"/>
  <c r="Z16" i="23"/>
  <c r="Z17" i="23"/>
  <c r="Z18" i="23"/>
  <c r="Z19" i="23"/>
  <c r="Z20" i="23"/>
  <c r="Z21" i="23"/>
  <c r="Z22" i="23"/>
  <c r="Z23" i="23"/>
  <c r="Z24" i="23"/>
  <c r="Z25" i="23"/>
  <c r="Z26" i="23"/>
  <c r="Z27" i="23"/>
  <c r="Z28" i="23"/>
  <c r="Z29" i="23"/>
  <c r="Z30" i="23"/>
  <c r="Z31" i="23"/>
  <c r="Z32" i="23"/>
  <c r="Z33" i="23"/>
  <c r="Z34" i="23"/>
  <c r="Z35" i="23"/>
  <c r="Z36" i="23"/>
  <c r="Z37" i="23"/>
  <c r="Z38" i="23"/>
  <c r="Z39" i="23"/>
  <c r="Z40" i="23"/>
  <c r="Z9" i="23"/>
  <c r="S10" i="23"/>
  <c r="S11" i="23"/>
  <c r="S12" i="23"/>
  <c r="S13" i="23"/>
  <c r="S14" i="23"/>
  <c r="S15" i="23"/>
  <c r="S16" i="23"/>
  <c r="S17" i="23"/>
  <c r="S18" i="23"/>
  <c r="S19" i="23"/>
  <c r="S20" i="23"/>
  <c r="S21" i="23"/>
  <c r="S22" i="23"/>
  <c r="S23" i="23"/>
  <c r="S24" i="23"/>
  <c r="S25" i="23"/>
  <c r="S26" i="23"/>
  <c r="S27" i="23"/>
  <c r="S28" i="23"/>
  <c r="S29" i="23"/>
  <c r="S30" i="23"/>
  <c r="S31" i="23"/>
  <c r="S32" i="23"/>
  <c r="S33" i="23"/>
  <c r="S34" i="23"/>
  <c r="S35" i="23"/>
  <c r="S36" i="23"/>
  <c r="S37" i="23"/>
  <c r="S38" i="23"/>
  <c r="S39" i="23"/>
  <c r="S40" i="23"/>
  <c r="S9" i="23"/>
  <c r="Q87" i="23"/>
  <c r="Q88" i="23"/>
  <c r="Q89" i="23"/>
  <c r="Q90" i="23"/>
  <c r="Q91" i="23"/>
  <c r="Q92" i="23"/>
  <c r="Q86" i="23"/>
  <c r="O72" i="23"/>
  <c r="Z72" i="23" s="1"/>
  <c r="O73" i="23"/>
  <c r="X73" i="23" s="1"/>
  <c r="O74" i="23"/>
  <c r="X74" i="23" s="1"/>
  <c r="O75" i="23"/>
  <c r="X75" i="23" s="1"/>
  <c r="Q10" i="23"/>
  <c r="Q11" i="23"/>
  <c r="Q12" i="23"/>
  <c r="Q13" i="23"/>
  <c r="Q14" i="23"/>
  <c r="Q15" i="23"/>
  <c r="Q16" i="23"/>
  <c r="Q17" i="23"/>
  <c r="Q18" i="23"/>
  <c r="Q19" i="23"/>
  <c r="Q20" i="23"/>
  <c r="Q21" i="23"/>
  <c r="Q22" i="23"/>
  <c r="Q23" i="23"/>
  <c r="Q24" i="23"/>
  <c r="Q25" i="23"/>
  <c r="Q26" i="23"/>
  <c r="Q27" i="23"/>
  <c r="Q28" i="23"/>
  <c r="Q29" i="23"/>
  <c r="Q30" i="23"/>
  <c r="Q31" i="23"/>
  <c r="Q32" i="23"/>
  <c r="Q33" i="23"/>
  <c r="Q34" i="23"/>
  <c r="Q35" i="23"/>
  <c r="Q36" i="23"/>
  <c r="Q37" i="23"/>
  <c r="Q38" i="23"/>
  <c r="Q39" i="23"/>
  <c r="Q40" i="23"/>
  <c r="Q9" i="23"/>
  <c r="N10" i="23"/>
  <c r="N11" i="23"/>
  <c r="N12" i="23"/>
  <c r="N13" i="23"/>
  <c r="N14" i="23"/>
  <c r="N15" i="23"/>
  <c r="N16" i="23"/>
  <c r="N17" i="23"/>
  <c r="N18" i="23"/>
  <c r="N19" i="23"/>
  <c r="N20" i="23"/>
  <c r="N21" i="23"/>
  <c r="N22" i="23"/>
  <c r="N23" i="23"/>
  <c r="N24" i="23"/>
  <c r="N25" i="23"/>
  <c r="N26" i="23"/>
  <c r="N27" i="23"/>
  <c r="N28" i="23"/>
  <c r="N29" i="23"/>
  <c r="N30" i="23"/>
  <c r="N31" i="23"/>
  <c r="N32" i="23"/>
  <c r="N33" i="23"/>
  <c r="N34" i="23"/>
  <c r="N35" i="23"/>
  <c r="N36" i="23"/>
  <c r="N37" i="23"/>
  <c r="N38" i="23"/>
  <c r="N39" i="23"/>
  <c r="N40" i="23"/>
  <c r="N9" i="23"/>
  <c r="M10" i="23"/>
  <c r="AG10" i="23" s="1"/>
  <c r="M11" i="23"/>
  <c r="AG11" i="23" s="1"/>
  <c r="M12" i="23"/>
  <c r="M13" i="23"/>
  <c r="AG13" i="23" s="1"/>
  <c r="M14" i="23"/>
  <c r="AG14" i="23" s="1"/>
  <c r="M15" i="23"/>
  <c r="AG15" i="23" s="1"/>
  <c r="M16" i="23"/>
  <c r="M17" i="23"/>
  <c r="AG17" i="23" s="1"/>
  <c r="M18" i="23"/>
  <c r="AG18" i="23" s="1"/>
  <c r="M19" i="23"/>
  <c r="AG19" i="23" s="1"/>
  <c r="M20" i="23"/>
  <c r="M21" i="23"/>
  <c r="AG21" i="23" s="1"/>
  <c r="M22" i="23"/>
  <c r="AG22" i="23" s="1"/>
  <c r="M23" i="23"/>
  <c r="AG23" i="23" s="1"/>
  <c r="M24" i="23"/>
  <c r="M25" i="23"/>
  <c r="AG25" i="23" s="1"/>
  <c r="M26" i="23"/>
  <c r="AG26" i="23" s="1"/>
  <c r="M27" i="23"/>
  <c r="AG27" i="23" s="1"/>
  <c r="M28" i="23"/>
  <c r="M29" i="23"/>
  <c r="AG29" i="23" s="1"/>
  <c r="M30" i="23"/>
  <c r="AG30" i="23" s="1"/>
  <c r="M31" i="23"/>
  <c r="AG31" i="23" s="1"/>
  <c r="M32" i="23"/>
  <c r="M33" i="23"/>
  <c r="AG33" i="23" s="1"/>
  <c r="M34" i="23"/>
  <c r="AG34" i="23" s="1"/>
  <c r="M35" i="23"/>
  <c r="AG35" i="23" s="1"/>
  <c r="M36" i="23"/>
  <c r="M37" i="23"/>
  <c r="AG37" i="23" s="1"/>
  <c r="M38" i="23"/>
  <c r="AG38" i="23" s="1"/>
  <c r="M39" i="23"/>
  <c r="AG39" i="23" s="1"/>
  <c r="M40" i="23"/>
  <c r="M9" i="23"/>
  <c r="I41" i="23"/>
  <c r="J41" i="23"/>
  <c r="AD41" i="23" s="1"/>
  <c r="AI11" i="19"/>
  <c r="AI15" i="19"/>
  <c r="AI19" i="19"/>
  <c r="AI23" i="19"/>
  <c r="AI27" i="19"/>
  <c r="AI31" i="19"/>
  <c r="AF10" i="19"/>
  <c r="AF11" i="19"/>
  <c r="AF12" i="19"/>
  <c r="AF13" i="19"/>
  <c r="AF14" i="19"/>
  <c r="AF15" i="19"/>
  <c r="AF16" i="19"/>
  <c r="AF17" i="19"/>
  <c r="AF18" i="19"/>
  <c r="AF19" i="19"/>
  <c r="AF20" i="19"/>
  <c r="AF21" i="19"/>
  <c r="AF22" i="19"/>
  <c r="AF23" i="19"/>
  <c r="AF24" i="19"/>
  <c r="AF28" i="19"/>
  <c r="AF29" i="19"/>
  <c r="AF30" i="19"/>
  <c r="AF31" i="19"/>
  <c r="AF32" i="19"/>
  <c r="AF9" i="19"/>
  <c r="AE10" i="19"/>
  <c r="AE11" i="19"/>
  <c r="AE12" i="19"/>
  <c r="AE13" i="19"/>
  <c r="AE14" i="19"/>
  <c r="AE15" i="19"/>
  <c r="AE16" i="19"/>
  <c r="AE17" i="19"/>
  <c r="AE18" i="19"/>
  <c r="AE19" i="19"/>
  <c r="AE20" i="19"/>
  <c r="AE21" i="19"/>
  <c r="AE22" i="19"/>
  <c r="AE23" i="19"/>
  <c r="AE24" i="19"/>
  <c r="AE25" i="19"/>
  <c r="AE26" i="19"/>
  <c r="AE27" i="19"/>
  <c r="AE28" i="19"/>
  <c r="AE29" i="19"/>
  <c r="AE30" i="19"/>
  <c r="AE31" i="19"/>
  <c r="AE32" i="19"/>
  <c r="AE9" i="19"/>
  <c r="AC16" i="16"/>
  <c r="AC17" i="16"/>
  <c r="AC18" i="16"/>
  <c r="AC19" i="16"/>
  <c r="AC20" i="16"/>
  <c r="AC21" i="16"/>
  <c r="AC22" i="16"/>
  <c r="AC29" i="16"/>
  <c r="AC30" i="16"/>
  <c r="AC33" i="16"/>
  <c r="AC35" i="16"/>
  <c r="AC37" i="16"/>
  <c r="AC39" i="16"/>
  <c r="AB7" i="16"/>
  <c r="AB8" i="16"/>
  <c r="AB9" i="16"/>
  <c r="AB10" i="16"/>
  <c r="AB11" i="16"/>
  <c r="AB12" i="16"/>
  <c r="AB13" i="16"/>
  <c r="AB14" i="16"/>
  <c r="AB15" i="16"/>
  <c r="AB16" i="16"/>
  <c r="AB17" i="16"/>
  <c r="AB18" i="16"/>
  <c r="AB19" i="16"/>
  <c r="AB20" i="16"/>
  <c r="AB21" i="16"/>
  <c r="AB22" i="16"/>
  <c r="AB23" i="16"/>
  <c r="AB24" i="16"/>
  <c r="AB25" i="16"/>
  <c r="AB26" i="16"/>
  <c r="AB27" i="16"/>
  <c r="AB28" i="16"/>
  <c r="AB29" i="16"/>
  <c r="AB30" i="16"/>
  <c r="AB31" i="16"/>
  <c r="AB32" i="16"/>
  <c r="AB33" i="16"/>
  <c r="AB34" i="16"/>
  <c r="AB35" i="16"/>
  <c r="AB36" i="16"/>
  <c r="AB37" i="16"/>
  <c r="AB38" i="16"/>
  <c r="AB39" i="16"/>
  <c r="AB40" i="16"/>
  <c r="AB6" i="16"/>
  <c r="AE11" i="14"/>
  <c r="AE12" i="14"/>
  <c r="AE13" i="14"/>
  <c r="AE14" i="14"/>
  <c r="AE15" i="14"/>
  <c r="AE16" i="14"/>
  <c r="AE17" i="14"/>
  <c r="AE18" i="14"/>
  <c r="AE19" i="14"/>
  <c r="AE24" i="14"/>
  <c r="AE25" i="14"/>
  <c r="AE26" i="14"/>
  <c r="AE40" i="14"/>
  <c r="AE10" i="14"/>
  <c r="AD11" i="14"/>
  <c r="AD12" i="14"/>
  <c r="AD13" i="14"/>
  <c r="AD14" i="14"/>
  <c r="AD15" i="14"/>
  <c r="AD16" i="14"/>
  <c r="AD17" i="14"/>
  <c r="AD18" i="14"/>
  <c r="AD19" i="14"/>
  <c r="AD20" i="14"/>
  <c r="AD21" i="14"/>
  <c r="AD22" i="14"/>
  <c r="AD23" i="14"/>
  <c r="AD24" i="14"/>
  <c r="AD25" i="14"/>
  <c r="AD26" i="14"/>
  <c r="AD27" i="14"/>
  <c r="AD28" i="14"/>
  <c r="AD29" i="14"/>
  <c r="AD30" i="14"/>
  <c r="AD31" i="14"/>
  <c r="AD32" i="14"/>
  <c r="AD33" i="14"/>
  <c r="AD34" i="14"/>
  <c r="AD35" i="14"/>
  <c r="AD36" i="14"/>
  <c r="AD37" i="14"/>
  <c r="AD38" i="14"/>
  <c r="AD39" i="14"/>
  <c r="AD40" i="14"/>
  <c r="AD10" i="14"/>
  <c r="Z9" i="13"/>
  <c r="Z10" i="13"/>
  <c r="Z11" i="13"/>
  <c r="Z12" i="13"/>
  <c r="Z13" i="13"/>
  <c r="Z14" i="13"/>
  <c r="Z15" i="13"/>
  <c r="Z8" i="13"/>
  <c r="Y9" i="13"/>
  <c r="Y10" i="13"/>
  <c r="Y11" i="13"/>
  <c r="Y12" i="13"/>
  <c r="Y13" i="13"/>
  <c r="Y14" i="13"/>
  <c r="Y15" i="13"/>
  <c r="Y16" i="13"/>
  <c r="Y17" i="13"/>
  <c r="Y18" i="13"/>
  <c r="Y19" i="13"/>
  <c r="Y20" i="13"/>
  <c r="Y21" i="13"/>
  <c r="Y22" i="13"/>
  <c r="Y23" i="13"/>
  <c r="Y24" i="13"/>
  <c r="Y25" i="13"/>
  <c r="Y26" i="13"/>
  <c r="Y8" i="13"/>
  <c r="AC8" i="12"/>
  <c r="AC9" i="12"/>
  <c r="AC10" i="12"/>
  <c r="AC11" i="12"/>
  <c r="AC12" i="12"/>
  <c r="AC13" i="12"/>
  <c r="AC14" i="12"/>
  <c r="AC15" i="12"/>
  <c r="AC16" i="12"/>
  <c r="AC17" i="12"/>
  <c r="AC19" i="12"/>
  <c r="AC20" i="12"/>
  <c r="AC21" i="12"/>
  <c r="AC22" i="12"/>
  <c r="AC23" i="12"/>
  <c r="AC24" i="12"/>
  <c r="AC25" i="12"/>
  <c r="AC26" i="12"/>
  <c r="AC27" i="12"/>
  <c r="AC28" i="12"/>
  <c r="AC29" i="12"/>
  <c r="AC7" i="12"/>
  <c r="AB8" i="12"/>
  <c r="AB9" i="12"/>
  <c r="AB10" i="12"/>
  <c r="AB11" i="12"/>
  <c r="AB12" i="12"/>
  <c r="AB13" i="12"/>
  <c r="AB14" i="12"/>
  <c r="AB15" i="12"/>
  <c r="AB16" i="12"/>
  <c r="AB17" i="12"/>
  <c r="AB18" i="12"/>
  <c r="AB19" i="12"/>
  <c r="AB20" i="12"/>
  <c r="AB21" i="12"/>
  <c r="AB22" i="12"/>
  <c r="AB23" i="12"/>
  <c r="AB24" i="12"/>
  <c r="AB25" i="12"/>
  <c r="AB26" i="12"/>
  <c r="AB27" i="12"/>
  <c r="AB28" i="12"/>
  <c r="AB29" i="12"/>
  <c r="AB30" i="12"/>
  <c r="AB31" i="12"/>
  <c r="AB32" i="12"/>
  <c r="AB33" i="12"/>
  <c r="AB7" i="12"/>
  <c r="AK7" i="9"/>
  <c r="AH8" i="9"/>
  <c r="AH9" i="9"/>
  <c r="AH10" i="9"/>
  <c r="AH11" i="9"/>
  <c r="AH12" i="9"/>
  <c r="AH13" i="9"/>
  <c r="AH7" i="9"/>
  <c r="AG8" i="9"/>
  <c r="AG9" i="9"/>
  <c r="AG10" i="9"/>
  <c r="AG11" i="9"/>
  <c r="AG12" i="9"/>
  <c r="AG13" i="9"/>
  <c r="AG7" i="9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8" i="13"/>
  <c r="T8" i="13"/>
  <c r="U8" i="13" s="1"/>
  <c r="T9" i="13"/>
  <c r="U9" i="13" s="1"/>
  <c r="T10" i="13"/>
  <c r="U10" i="13" s="1"/>
  <c r="T11" i="13"/>
  <c r="T12" i="13"/>
  <c r="U12" i="13" s="1"/>
  <c r="T13" i="13"/>
  <c r="U13" i="13" s="1"/>
  <c r="T14" i="13"/>
  <c r="U14" i="13" s="1"/>
  <c r="T15" i="13"/>
  <c r="T16" i="13"/>
  <c r="U16" i="13" s="1"/>
  <c r="T17" i="13"/>
  <c r="U17" i="13" s="1"/>
  <c r="T18" i="13"/>
  <c r="U18" i="13" s="1"/>
  <c r="T19" i="13"/>
  <c r="T20" i="13"/>
  <c r="U20" i="13" s="1"/>
  <c r="T21" i="13"/>
  <c r="U21" i="13" s="1"/>
  <c r="T22" i="13"/>
  <c r="U22" i="13" s="1"/>
  <c r="T23" i="13"/>
  <c r="T24" i="13"/>
  <c r="U24" i="13" s="1"/>
  <c r="T25" i="13"/>
  <c r="U25" i="13" s="1"/>
  <c r="T26" i="13"/>
  <c r="Z77" i="19"/>
  <c r="Z78" i="19"/>
  <c r="Z79" i="19"/>
  <c r="Z80" i="19"/>
  <c r="Z81" i="19"/>
  <c r="Z82" i="19"/>
  <c r="Z83" i="19"/>
  <c r="Z84" i="19"/>
  <c r="Z85" i="19"/>
  <c r="Z86" i="19"/>
  <c r="Z87" i="19"/>
  <c r="Z88" i="19"/>
  <c r="Z89" i="19"/>
  <c r="Z90" i="19"/>
  <c r="Z91" i="19"/>
  <c r="Z92" i="19"/>
  <c r="Z93" i="19"/>
  <c r="Z94" i="19"/>
  <c r="Z76" i="19"/>
  <c r="V78" i="19"/>
  <c r="V80" i="19"/>
  <c r="V82" i="19"/>
  <c r="V84" i="19"/>
  <c r="V86" i="19"/>
  <c r="V88" i="19"/>
  <c r="V90" i="19"/>
  <c r="V92" i="19"/>
  <c r="V94" i="19"/>
  <c r="U77" i="19"/>
  <c r="V77" i="19" s="1"/>
  <c r="U78" i="19"/>
  <c r="U79" i="19"/>
  <c r="V79" i="19" s="1"/>
  <c r="U80" i="19"/>
  <c r="U81" i="19"/>
  <c r="V81" i="19" s="1"/>
  <c r="U82" i="19"/>
  <c r="U83" i="19"/>
  <c r="V83" i="19" s="1"/>
  <c r="U84" i="19"/>
  <c r="U85" i="19"/>
  <c r="V85" i="19" s="1"/>
  <c r="U86" i="19"/>
  <c r="U87" i="19"/>
  <c r="V87" i="19" s="1"/>
  <c r="U88" i="19"/>
  <c r="U89" i="19"/>
  <c r="V89" i="19" s="1"/>
  <c r="U90" i="19"/>
  <c r="U91" i="19"/>
  <c r="V91" i="19" s="1"/>
  <c r="U92" i="19"/>
  <c r="U93" i="19"/>
  <c r="V93" i="19" s="1"/>
  <c r="U94" i="19"/>
  <c r="U76" i="19"/>
  <c r="V76" i="19" s="1"/>
  <c r="R77" i="19"/>
  <c r="R78" i="19"/>
  <c r="R79" i="19"/>
  <c r="R80" i="19"/>
  <c r="R81" i="19"/>
  <c r="R82" i="19"/>
  <c r="R83" i="19"/>
  <c r="R84" i="19"/>
  <c r="R85" i="19"/>
  <c r="R86" i="19"/>
  <c r="R87" i="19"/>
  <c r="R88" i="19"/>
  <c r="R89" i="19"/>
  <c r="R90" i="19"/>
  <c r="R91" i="19"/>
  <c r="R92" i="19"/>
  <c r="R93" i="19"/>
  <c r="R94" i="19"/>
  <c r="R76" i="19"/>
  <c r="AI47" i="19"/>
  <c r="AI48" i="19"/>
  <c r="AI49" i="19"/>
  <c r="AI50" i="19"/>
  <c r="AI51" i="19"/>
  <c r="AI52" i="19"/>
  <c r="AI53" i="19"/>
  <c r="AI54" i="19"/>
  <c r="AI55" i="19"/>
  <c r="AI56" i="19"/>
  <c r="AI57" i="19"/>
  <c r="AI58" i="19"/>
  <c r="AI59" i="19"/>
  <c r="AI60" i="19"/>
  <c r="AI61" i="19"/>
  <c r="AI62" i="19"/>
  <c r="AI63" i="19"/>
  <c r="AI64" i="19"/>
  <c r="AI65" i="19"/>
  <c r="AI66" i="19"/>
  <c r="AI46" i="19"/>
  <c r="AI67" i="19" s="1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25" i="19"/>
  <c r="T26" i="19"/>
  <c r="T27" i="19"/>
  <c r="T28" i="19"/>
  <c r="T29" i="19"/>
  <c r="T30" i="19"/>
  <c r="T31" i="19"/>
  <c r="T32" i="19"/>
  <c r="T9" i="19"/>
  <c r="AB29" i="19"/>
  <c r="AB30" i="19"/>
  <c r="AB31" i="19"/>
  <c r="AB32" i="19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B22" i="19"/>
  <c r="AB23" i="19"/>
  <c r="AB24" i="19"/>
  <c r="AB9" i="19"/>
  <c r="P21" i="19"/>
  <c r="AG21" i="19" s="1"/>
  <c r="Z10" i="19"/>
  <c r="Z11" i="19"/>
  <c r="Z12" i="19"/>
  <c r="Z13" i="19"/>
  <c r="Z14" i="19"/>
  <c r="Z15" i="19"/>
  <c r="Z16" i="19"/>
  <c r="Z17" i="19"/>
  <c r="Z18" i="19"/>
  <c r="Z19" i="19"/>
  <c r="Z20" i="19"/>
  <c r="Z21" i="19"/>
  <c r="Z22" i="19"/>
  <c r="Z23" i="19"/>
  <c r="Z24" i="19"/>
  <c r="Z25" i="19"/>
  <c r="Z26" i="19"/>
  <c r="Z27" i="19"/>
  <c r="Z28" i="19"/>
  <c r="Z29" i="19"/>
  <c r="Z30" i="19"/>
  <c r="Z31" i="19"/>
  <c r="Z32" i="19"/>
  <c r="Z9" i="19"/>
  <c r="Y10" i="19"/>
  <c r="Y11" i="19"/>
  <c r="Y12" i="19"/>
  <c r="P12" i="19" s="1"/>
  <c r="AG12" i="19" s="1"/>
  <c r="Y13" i="19"/>
  <c r="Y14" i="19"/>
  <c r="Y15" i="19"/>
  <c r="Y16" i="19"/>
  <c r="Y17" i="19"/>
  <c r="Y18" i="19"/>
  <c r="Y19" i="19"/>
  <c r="Y20" i="19"/>
  <c r="Y21" i="19"/>
  <c r="Y22" i="19"/>
  <c r="Y23" i="19"/>
  <c r="Y24" i="19"/>
  <c r="Y25" i="19"/>
  <c r="Y26" i="19"/>
  <c r="Y27" i="19"/>
  <c r="Y28" i="19"/>
  <c r="Y29" i="19"/>
  <c r="Y30" i="19"/>
  <c r="Y31" i="19"/>
  <c r="Y32" i="19"/>
  <c r="Y9" i="19"/>
  <c r="U10" i="19"/>
  <c r="U11" i="19"/>
  <c r="U12" i="19"/>
  <c r="U13" i="19"/>
  <c r="U14" i="19"/>
  <c r="U15" i="19"/>
  <c r="U16" i="19"/>
  <c r="U17" i="19"/>
  <c r="U18" i="19"/>
  <c r="U19" i="19"/>
  <c r="U20" i="19"/>
  <c r="U21" i="19"/>
  <c r="U22" i="19"/>
  <c r="U23" i="19"/>
  <c r="U24" i="19"/>
  <c r="U25" i="19"/>
  <c r="U26" i="19"/>
  <c r="U27" i="19"/>
  <c r="U28" i="19"/>
  <c r="U29" i="19"/>
  <c r="U30" i="19"/>
  <c r="U31" i="19"/>
  <c r="U32" i="19"/>
  <c r="U9" i="19"/>
  <c r="U33" i="19" s="1"/>
  <c r="W10" i="19"/>
  <c r="W11" i="19"/>
  <c r="W12" i="19"/>
  <c r="W13" i="19"/>
  <c r="W14" i="19"/>
  <c r="W15" i="19"/>
  <c r="W16" i="19"/>
  <c r="W17" i="19"/>
  <c r="W18" i="19"/>
  <c r="W19" i="19"/>
  <c r="W20" i="19"/>
  <c r="W21" i="19"/>
  <c r="W22" i="19"/>
  <c r="W23" i="19"/>
  <c r="W24" i="19"/>
  <c r="W25" i="19"/>
  <c r="W26" i="19"/>
  <c r="W27" i="19"/>
  <c r="W28" i="19"/>
  <c r="W29" i="19"/>
  <c r="W30" i="19"/>
  <c r="W31" i="19"/>
  <c r="W32" i="19"/>
  <c r="W9" i="19"/>
  <c r="V10" i="19"/>
  <c r="V11" i="19"/>
  <c r="V12" i="19"/>
  <c r="V13" i="19"/>
  <c r="V14" i="19"/>
  <c r="V15" i="19"/>
  <c r="V16" i="19"/>
  <c r="V17" i="19"/>
  <c r="V18" i="19"/>
  <c r="V19" i="19"/>
  <c r="V20" i="19"/>
  <c r="V21" i="19"/>
  <c r="V22" i="19"/>
  <c r="V23" i="19"/>
  <c r="V24" i="19"/>
  <c r="V25" i="19"/>
  <c r="V26" i="19"/>
  <c r="V27" i="19"/>
  <c r="V28" i="19"/>
  <c r="V29" i="19"/>
  <c r="V30" i="19"/>
  <c r="V31" i="19"/>
  <c r="V32" i="19"/>
  <c r="V9" i="19"/>
  <c r="R10" i="19"/>
  <c r="R11" i="19"/>
  <c r="R12" i="19"/>
  <c r="R13" i="19"/>
  <c r="P13" i="19" s="1"/>
  <c r="AG13" i="19" s="1"/>
  <c r="R14" i="19"/>
  <c r="R15" i="19"/>
  <c r="R16" i="19"/>
  <c r="P16" i="19" s="1"/>
  <c r="AG16" i="19" s="1"/>
  <c r="R17" i="19"/>
  <c r="R18" i="19"/>
  <c r="R19" i="19"/>
  <c r="R20" i="19"/>
  <c r="P20" i="19" s="1"/>
  <c r="AG20" i="19" s="1"/>
  <c r="R21" i="19"/>
  <c r="R22" i="19"/>
  <c r="R23" i="19"/>
  <c r="R24" i="19"/>
  <c r="R25" i="19"/>
  <c r="P25" i="19" s="1"/>
  <c r="AD25" i="19" s="1"/>
  <c r="R26" i="19"/>
  <c r="R27" i="19"/>
  <c r="R28" i="19"/>
  <c r="R29" i="19"/>
  <c r="R30" i="19"/>
  <c r="R31" i="19"/>
  <c r="R32" i="19"/>
  <c r="P32" i="19" s="1"/>
  <c r="AG32" i="19" s="1"/>
  <c r="R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9" i="19"/>
  <c r="N10" i="19"/>
  <c r="AI10" i="19" s="1"/>
  <c r="N11" i="19"/>
  <c r="N12" i="19"/>
  <c r="AI12" i="19" s="1"/>
  <c r="N13" i="19"/>
  <c r="AI13" i="19" s="1"/>
  <c r="N14" i="19"/>
  <c r="AI14" i="19" s="1"/>
  <c r="N15" i="19"/>
  <c r="N16" i="19"/>
  <c r="AI16" i="19" s="1"/>
  <c r="N17" i="19"/>
  <c r="AI17" i="19" s="1"/>
  <c r="N18" i="19"/>
  <c r="AI18" i="19" s="1"/>
  <c r="N19" i="19"/>
  <c r="N20" i="19"/>
  <c r="AI20" i="19" s="1"/>
  <c r="N21" i="19"/>
  <c r="AI21" i="19" s="1"/>
  <c r="N22" i="19"/>
  <c r="AI22" i="19" s="1"/>
  <c r="N23" i="19"/>
  <c r="N24" i="19"/>
  <c r="AI24" i="19" s="1"/>
  <c r="N25" i="19"/>
  <c r="AI25" i="19" s="1"/>
  <c r="N26" i="19"/>
  <c r="AI26" i="19" s="1"/>
  <c r="N27" i="19"/>
  <c r="N28" i="19"/>
  <c r="AI28" i="19" s="1"/>
  <c r="N29" i="19"/>
  <c r="AI29" i="19" s="1"/>
  <c r="N30" i="19"/>
  <c r="AI30" i="19" s="1"/>
  <c r="N31" i="19"/>
  <c r="N32" i="19"/>
  <c r="AI32" i="19" s="1"/>
  <c r="N9" i="19"/>
  <c r="AI9" i="19" s="1"/>
  <c r="J33" i="19"/>
  <c r="AF33" i="19" s="1"/>
  <c r="K33" i="19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6" i="16"/>
  <c r="L7" i="16"/>
  <c r="AF7" i="16" s="1"/>
  <c r="L8" i="16"/>
  <c r="AF8" i="16" s="1"/>
  <c r="L9" i="16"/>
  <c r="L10" i="16"/>
  <c r="AF10" i="16" s="1"/>
  <c r="L11" i="16"/>
  <c r="AF11" i="16" s="1"/>
  <c r="L12" i="16"/>
  <c r="AF12" i="16" s="1"/>
  <c r="L13" i="16"/>
  <c r="L14" i="16"/>
  <c r="AF14" i="16" s="1"/>
  <c r="L15" i="16"/>
  <c r="AF15" i="16" s="1"/>
  <c r="L16" i="16"/>
  <c r="AF16" i="16" s="1"/>
  <c r="L17" i="16"/>
  <c r="L18" i="16"/>
  <c r="AF18" i="16" s="1"/>
  <c r="L19" i="16"/>
  <c r="AF19" i="16" s="1"/>
  <c r="L20" i="16"/>
  <c r="AF20" i="16" s="1"/>
  <c r="L21" i="16"/>
  <c r="L22" i="16"/>
  <c r="AF22" i="16" s="1"/>
  <c r="L23" i="16"/>
  <c r="AF23" i="16" s="1"/>
  <c r="L24" i="16"/>
  <c r="AF24" i="16" s="1"/>
  <c r="L25" i="16"/>
  <c r="L26" i="16"/>
  <c r="AF26" i="16" s="1"/>
  <c r="L27" i="16"/>
  <c r="AF27" i="16" s="1"/>
  <c r="L28" i="16"/>
  <c r="AF28" i="16" s="1"/>
  <c r="L29" i="16"/>
  <c r="L30" i="16"/>
  <c r="AF30" i="16" s="1"/>
  <c r="L31" i="16"/>
  <c r="AF31" i="16" s="1"/>
  <c r="L32" i="16"/>
  <c r="AF32" i="16" s="1"/>
  <c r="L33" i="16"/>
  <c r="L34" i="16"/>
  <c r="AF34" i="16" s="1"/>
  <c r="L35" i="16"/>
  <c r="AF35" i="16" s="1"/>
  <c r="L36" i="16"/>
  <c r="AF36" i="16" s="1"/>
  <c r="L37" i="16"/>
  <c r="L38" i="16"/>
  <c r="AF38" i="16" s="1"/>
  <c r="L39" i="16"/>
  <c r="AF39" i="16" s="1"/>
  <c r="L40" i="16"/>
  <c r="AF40" i="16" s="1"/>
  <c r="L6" i="16"/>
  <c r="AF6" i="16" s="1"/>
  <c r="H41" i="16"/>
  <c r="I41" i="16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N26" i="14"/>
  <c r="N27" i="14"/>
  <c r="N28" i="14"/>
  <c r="N29" i="14"/>
  <c r="N30" i="14"/>
  <c r="N31" i="14"/>
  <c r="N32" i="14"/>
  <c r="N33" i="14"/>
  <c r="N34" i="14"/>
  <c r="N35" i="14"/>
  <c r="N36" i="14"/>
  <c r="N37" i="14"/>
  <c r="N38" i="14"/>
  <c r="N39" i="14"/>
  <c r="N40" i="14"/>
  <c r="N10" i="14"/>
  <c r="M11" i="14"/>
  <c r="M12" i="14"/>
  <c r="AH12" i="14" s="1"/>
  <c r="M13" i="14"/>
  <c r="M14" i="14"/>
  <c r="AH14" i="14" s="1"/>
  <c r="M15" i="14"/>
  <c r="M16" i="14"/>
  <c r="AH16" i="14" s="1"/>
  <c r="M17" i="14"/>
  <c r="M18" i="14"/>
  <c r="AH18" i="14" s="1"/>
  <c r="M19" i="14"/>
  <c r="M20" i="14"/>
  <c r="AH20" i="14" s="1"/>
  <c r="M21" i="14"/>
  <c r="M22" i="14"/>
  <c r="AH22" i="14" s="1"/>
  <c r="M23" i="14"/>
  <c r="M24" i="14"/>
  <c r="AH24" i="14" s="1"/>
  <c r="M25" i="14"/>
  <c r="M26" i="14"/>
  <c r="AH26" i="14" s="1"/>
  <c r="M27" i="14"/>
  <c r="M28" i="14"/>
  <c r="AH28" i="14" s="1"/>
  <c r="M29" i="14"/>
  <c r="M30" i="14"/>
  <c r="AH30" i="14" s="1"/>
  <c r="M31" i="14"/>
  <c r="M32" i="14"/>
  <c r="AH32" i="14" s="1"/>
  <c r="M33" i="14"/>
  <c r="M34" i="14"/>
  <c r="AH34" i="14" s="1"/>
  <c r="M35" i="14"/>
  <c r="M36" i="14"/>
  <c r="AH36" i="14" s="1"/>
  <c r="M37" i="14"/>
  <c r="M38" i="14"/>
  <c r="AH38" i="14" s="1"/>
  <c r="M39" i="14"/>
  <c r="M40" i="14"/>
  <c r="AH40" i="14" s="1"/>
  <c r="M10" i="14"/>
  <c r="I41" i="14"/>
  <c r="J41" i="14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8" i="13"/>
  <c r="AB8" i="13" s="1"/>
  <c r="M9" i="13"/>
  <c r="AB9" i="13" s="1"/>
  <c r="M10" i="13"/>
  <c r="AB10" i="13" s="1"/>
  <c r="M11" i="13"/>
  <c r="AB11" i="13" s="1"/>
  <c r="M12" i="13"/>
  <c r="AB12" i="13" s="1"/>
  <c r="M13" i="13"/>
  <c r="AB13" i="13" s="1"/>
  <c r="M14" i="13"/>
  <c r="AB14" i="13" s="1"/>
  <c r="M15" i="13"/>
  <c r="AB15" i="13" s="1"/>
  <c r="M16" i="13"/>
  <c r="AB16" i="13" s="1"/>
  <c r="M17" i="13"/>
  <c r="AB17" i="13" s="1"/>
  <c r="M18" i="13"/>
  <c r="AB18" i="13" s="1"/>
  <c r="M19" i="13"/>
  <c r="AB19" i="13" s="1"/>
  <c r="M20" i="13"/>
  <c r="AB20" i="13" s="1"/>
  <c r="M21" i="13"/>
  <c r="AB21" i="13" s="1"/>
  <c r="M22" i="13"/>
  <c r="AB22" i="13" s="1"/>
  <c r="M23" i="13"/>
  <c r="AB23" i="13" s="1"/>
  <c r="M24" i="13"/>
  <c r="AB24" i="13" s="1"/>
  <c r="M25" i="13"/>
  <c r="AB25" i="13" s="1"/>
  <c r="M26" i="13"/>
  <c r="AB26" i="13" s="1"/>
  <c r="M8" i="13"/>
  <c r="I27" i="13"/>
  <c r="Z27" i="13" s="1"/>
  <c r="J27" i="13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7" i="12"/>
  <c r="M8" i="12"/>
  <c r="AF8" i="12" s="1"/>
  <c r="M9" i="12"/>
  <c r="AF9" i="12" s="1"/>
  <c r="M10" i="12"/>
  <c r="M11" i="12"/>
  <c r="AF11" i="12" s="1"/>
  <c r="M12" i="12"/>
  <c r="AF12" i="12" s="1"/>
  <c r="M13" i="12"/>
  <c r="AF13" i="12" s="1"/>
  <c r="M14" i="12"/>
  <c r="M15" i="12"/>
  <c r="AF15" i="12" s="1"/>
  <c r="M16" i="12"/>
  <c r="AF16" i="12" s="1"/>
  <c r="M17" i="12"/>
  <c r="AF17" i="12" s="1"/>
  <c r="M18" i="12"/>
  <c r="M19" i="12"/>
  <c r="AF19" i="12" s="1"/>
  <c r="M20" i="12"/>
  <c r="AF20" i="12" s="1"/>
  <c r="M21" i="12"/>
  <c r="AF21" i="12" s="1"/>
  <c r="M22" i="12"/>
  <c r="M23" i="12"/>
  <c r="AF23" i="12" s="1"/>
  <c r="M24" i="12"/>
  <c r="AF24" i="12" s="1"/>
  <c r="M25" i="12"/>
  <c r="AF25" i="12" s="1"/>
  <c r="M26" i="12"/>
  <c r="M27" i="12"/>
  <c r="AF27" i="12" s="1"/>
  <c r="M28" i="12"/>
  <c r="AF28" i="12" s="1"/>
  <c r="M29" i="12"/>
  <c r="AF29" i="12" s="1"/>
  <c r="M30" i="12"/>
  <c r="M31" i="12"/>
  <c r="AF31" i="12" s="1"/>
  <c r="M32" i="12"/>
  <c r="AF32" i="12" s="1"/>
  <c r="M33" i="12"/>
  <c r="AF33" i="12" s="1"/>
  <c r="M7" i="12"/>
  <c r="AF7" i="12" s="1"/>
  <c r="J34" i="12"/>
  <c r="AC34" i="12" s="1"/>
  <c r="I34" i="12"/>
  <c r="J14" i="9"/>
  <c r="AH14" i="9" s="1"/>
  <c r="I14" i="9"/>
  <c r="N8" i="9"/>
  <c r="N9" i="9"/>
  <c r="N10" i="9"/>
  <c r="N11" i="9"/>
  <c r="AK11" i="9" s="1"/>
  <c r="N12" i="9"/>
  <c r="N13" i="9"/>
  <c r="N7" i="9"/>
  <c r="M8" i="9"/>
  <c r="AK8" i="9" s="1"/>
  <c r="M9" i="9"/>
  <c r="AK9" i="9" s="1"/>
  <c r="M10" i="9"/>
  <c r="AK10" i="9" s="1"/>
  <c r="M11" i="9"/>
  <c r="M12" i="9"/>
  <c r="AK12" i="9" s="1"/>
  <c r="M13" i="9"/>
  <c r="AK13" i="9" s="1"/>
  <c r="M7" i="9"/>
  <c r="L33" i="19"/>
  <c r="M33" i="19"/>
  <c r="AE33" i="19" s="1"/>
  <c r="I33" i="19"/>
  <c r="AA90" i="16"/>
  <c r="AA91" i="16"/>
  <c r="AA92" i="16"/>
  <c r="AA93" i="16"/>
  <c r="AA94" i="16"/>
  <c r="AA95" i="16"/>
  <c r="AA96" i="16"/>
  <c r="AA97" i="16"/>
  <c r="AA98" i="16"/>
  <c r="AA99" i="16"/>
  <c r="AA100" i="16"/>
  <c r="AA101" i="16"/>
  <c r="AA89" i="16"/>
  <c r="S90" i="16"/>
  <c r="S91" i="16"/>
  <c r="S92" i="16"/>
  <c r="S93" i="16"/>
  <c r="S94" i="16"/>
  <c r="S95" i="16"/>
  <c r="S96" i="16"/>
  <c r="S97" i="16"/>
  <c r="S98" i="16"/>
  <c r="S99" i="16"/>
  <c r="S100" i="16"/>
  <c r="S101" i="16"/>
  <c r="S89" i="16"/>
  <c r="AB74" i="16"/>
  <c r="AB75" i="16"/>
  <c r="AB76" i="16"/>
  <c r="AB77" i="16"/>
  <c r="AB78" i="16"/>
  <c r="AB73" i="16"/>
  <c r="T74" i="16"/>
  <c r="T75" i="16"/>
  <c r="T76" i="16"/>
  <c r="T77" i="16"/>
  <c r="T78" i="16"/>
  <c r="T73" i="16"/>
  <c r="P74" i="16"/>
  <c r="P75" i="16"/>
  <c r="P76" i="16"/>
  <c r="P77" i="16"/>
  <c r="P78" i="16"/>
  <c r="P73" i="16"/>
  <c r="X52" i="16"/>
  <c r="X53" i="16"/>
  <c r="X54" i="16"/>
  <c r="X55" i="16"/>
  <c r="X56" i="16"/>
  <c r="X57" i="16"/>
  <c r="X58" i="16"/>
  <c r="X59" i="16"/>
  <c r="X60" i="16"/>
  <c r="X61" i="16"/>
  <c r="X62" i="16"/>
  <c r="X63" i="16"/>
  <c r="X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51" i="16"/>
  <c r="Y41" i="16"/>
  <c r="Z7" i="16"/>
  <c r="Z8" i="16"/>
  <c r="Z9" i="16"/>
  <c r="Z10" i="16"/>
  <c r="Z11" i="16"/>
  <c r="Z12" i="16"/>
  <c r="Z13" i="16"/>
  <c r="Z14" i="16"/>
  <c r="Z15" i="16"/>
  <c r="Z16" i="16"/>
  <c r="Z17" i="16"/>
  <c r="Z18" i="16"/>
  <c r="Z19" i="16"/>
  <c r="Z20" i="16"/>
  <c r="Z21" i="16"/>
  <c r="Z22" i="16"/>
  <c r="Z23" i="16"/>
  <c r="Z24" i="16"/>
  <c r="Z25" i="16"/>
  <c r="Z26" i="16"/>
  <c r="Z27" i="16"/>
  <c r="Z28" i="16"/>
  <c r="Z29" i="16"/>
  <c r="Z30" i="16"/>
  <c r="Z31" i="16"/>
  <c r="Z32" i="16"/>
  <c r="Z33" i="16"/>
  <c r="Z34" i="16"/>
  <c r="Z35" i="16"/>
  <c r="Z36" i="16"/>
  <c r="Z37" i="16"/>
  <c r="Z38" i="16"/>
  <c r="Z39" i="16"/>
  <c r="Z40" i="16"/>
  <c r="Z6" i="16"/>
  <c r="V39" i="16"/>
  <c r="W39" i="16" s="1"/>
  <c r="V37" i="16"/>
  <c r="W37" i="16" s="1"/>
  <c r="V35" i="16"/>
  <c r="W35" i="16" s="1"/>
  <c r="V33" i="16"/>
  <c r="W33" i="16" s="1"/>
  <c r="V30" i="16"/>
  <c r="W30" i="16" s="1"/>
  <c r="V29" i="16"/>
  <c r="W29" i="16" s="1"/>
  <c r="V17" i="16"/>
  <c r="W17" i="16" s="1"/>
  <c r="V18" i="16"/>
  <c r="W18" i="16" s="1"/>
  <c r="V19" i="16"/>
  <c r="W19" i="16" s="1"/>
  <c r="V20" i="16"/>
  <c r="W20" i="16" s="1"/>
  <c r="V21" i="16"/>
  <c r="V22" i="16"/>
  <c r="W22" i="16" s="1"/>
  <c r="V16" i="16"/>
  <c r="W16" i="16" s="1"/>
  <c r="W21" i="16"/>
  <c r="W23" i="16"/>
  <c r="W24" i="16"/>
  <c r="W25" i="16"/>
  <c r="W26" i="16"/>
  <c r="W27" i="16"/>
  <c r="W28" i="16"/>
  <c r="W31" i="16"/>
  <c r="W32" i="16"/>
  <c r="W34" i="16"/>
  <c r="W36" i="16"/>
  <c r="W38" i="16"/>
  <c r="W40" i="16"/>
  <c r="X7" i="16"/>
  <c r="X8" i="16"/>
  <c r="X9" i="16"/>
  <c r="X10" i="16"/>
  <c r="X11" i="16"/>
  <c r="X12" i="16"/>
  <c r="X13" i="16"/>
  <c r="X14" i="16"/>
  <c r="X15" i="16"/>
  <c r="X16" i="16"/>
  <c r="X17" i="16"/>
  <c r="X18" i="16"/>
  <c r="X19" i="16"/>
  <c r="X20" i="16"/>
  <c r="X21" i="16"/>
  <c r="X22" i="16"/>
  <c r="X23" i="16"/>
  <c r="X24" i="16"/>
  <c r="X25" i="16"/>
  <c r="X26" i="16"/>
  <c r="X27" i="16"/>
  <c r="X28" i="16"/>
  <c r="X29" i="16"/>
  <c r="X30" i="16"/>
  <c r="X31" i="16"/>
  <c r="X32" i="16"/>
  <c r="X33" i="16"/>
  <c r="X34" i="16"/>
  <c r="X35" i="16"/>
  <c r="X36" i="16"/>
  <c r="X37" i="16"/>
  <c r="X38" i="16"/>
  <c r="X39" i="16"/>
  <c r="X40" i="16"/>
  <c r="X6" i="16"/>
  <c r="U7" i="16"/>
  <c r="U8" i="16"/>
  <c r="U9" i="16"/>
  <c r="U10" i="16"/>
  <c r="U11" i="16"/>
  <c r="U12" i="16"/>
  <c r="U13" i="16"/>
  <c r="U14" i="16"/>
  <c r="U15" i="16"/>
  <c r="U16" i="16"/>
  <c r="U17" i="16"/>
  <c r="U18" i="16"/>
  <c r="U19" i="16"/>
  <c r="U20" i="16"/>
  <c r="U21" i="16"/>
  <c r="U22" i="16"/>
  <c r="U23" i="16"/>
  <c r="U24" i="16"/>
  <c r="U25" i="16"/>
  <c r="U26" i="16"/>
  <c r="U27" i="16"/>
  <c r="U28" i="16"/>
  <c r="U29" i="16"/>
  <c r="U30" i="16"/>
  <c r="U31" i="16"/>
  <c r="U32" i="16"/>
  <c r="U33" i="16"/>
  <c r="U34" i="16"/>
  <c r="U35" i="16"/>
  <c r="U36" i="16"/>
  <c r="U37" i="16"/>
  <c r="U38" i="16"/>
  <c r="U39" i="16"/>
  <c r="U40" i="16"/>
  <c r="U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R30" i="16"/>
  <c r="R31" i="16"/>
  <c r="R32" i="16"/>
  <c r="R33" i="16"/>
  <c r="R34" i="16"/>
  <c r="R35" i="16"/>
  <c r="R36" i="16"/>
  <c r="R37" i="16"/>
  <c r="R38" i="16"/>
  <c r="R39" i="16"/>
  <c r="R40" i="16"/>
  <c r="R6" i="16"/>
  <c r="Q7" i="16"/>
  <c r="Q8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35" i="16"/>
  <c r="Q36" i="16"/>
  <c r="Q37" i="16"/>
  <c r="Q38" i="16"/>
  <c r="Q39" i="16"/>
  <c r="Q40" i="16"/>
  <c r="Q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6" i="16"/>
  <c r="Y105" i="14"/>
  <c r="Y106" i="14"/>
  <c r="Y107" i="14"/>
  <c r="Y108" i="14"/>
  <c r="Y109" i="14"/>
  <c r="Y110" i="14"/>
  <c r="Y111" i="14"/>
  <c r="Y112" i="14"/>
  <c r="Y113" i="14"/>
  <c r="Y114" i="14"/>
  <c r="Y115" i="14"/>
  <c r="Y116" i="14"/>
  <c r="Y104" i="14"/>
  <c r="R105" i="14"/>
  <c r="R106" i="14"/>
  <c r="R107" i="14"/>
  <c r="R108" i="14"/>
  <c r="R109" i="14"/>
  <c r="R110" i="14"/>
  <c r="R111" i="14"/>
  <c r="R112" i="14"/>
  <c r="R113" i="14"/>
  <c r="R114" i="14"/>
  <c r="R115" i="14"/>
  <c r="R116" i="14"/>
  <c r="R104" i="14"/>
  <c r="P105" i="14"/>
  <c r="P106" i="14"/>
  <c r="P107" i="14"/>
  <c r="P108" i="14"/>
  <c r="P109" i="14"/>
  <c r="P110" i="14"/>
  <c r="P111" i="14"/>
  <c r="P112" i="14"/>
  <c r="P113" i="14"/>
  <c r="P114" i="14"/>
  <c r="P115" i="14"/>
  <c r="P116" i="14"/>
  <c r="P104" i="14"/>
  <c r="Z80" i="14"/>
  <c r="Z81" i="14"/>
  <c r="Z82" i="14"/>
  <c r="Z83" i="14"/>
  <c r="Z84" i="14"/>
  <c r="Z85" i="14"/>
  <c r="Z86" i="14"/>
  <c r="Z87" i="14"/>
  <c r="Z88" i="14"/>
  <c r="Z89" i="14"/>
  <c r="Z90" i="14"/>
  <c r="Z91" i="14"/>
  <c r="Z79" i="14"/>
  <c r="Q80" i="14"/>
  <c r="Q81" i="14"/>
  <c r="Q82" i="14"/>
  <c r="Q83" i="14"/>
  <c r="Q84" i="14"/>
  <c r="Q85" i="14"/>
  <c r="Q86" i="14"/>
  <c r="Q87" i="14"/>
  <c r="Q88" i="14"/>
  <c r="Q89" i="14"/>
  <c r="Q90" i="14"/>
  <c r="Q91" i="14"/>
  <c r="Q79" i="14"/>
  <c r="R80" i="14"/>
  <c r="R81" i="14"/>
  <c r="R82" i="14"/>
  <c r="R83" i="14"/>
  <c r="R84" i="14"/>
  <c r="R85" i="14"/>
  <c r="R86" i="14"/>
  <c r="R87" i="14"/>
  <c r="R88" i="14"/>
  <c r="R89" i="14"/>
  <c r="R90" i="14"/>
  <c r="R91" i="14"/>
  <c r="R79" i="14"/>
  <c r="Z52" i="14"/>
  <c r="Z53" i="14"/>
  <c r="Z54" i="14"/>
  <c r="Z55" i="14"/>
  <c r="Z56" i="14"/>
  <c r="Z57" i="14"/>
  <c r="Z58" i="14"/>
  <c r="Z59" i="14"/>
  <c r="Z60" i="14"/>
  <c r="Z61" i="14"/>
  <c r="Z62" i="14"/>
  <c r="Z63" i="14"/>
  <c r="Z64" i="14"/>
  <c r="Z51" i="14"/>
  <c r="AA11" i="14"/>
  <c r="AA12" i="14"/>
  <c r="AA13" i="14"/>
  <c r="AA14" i="14"/>
  <c r="AA15" i="14"/>
  <c r="AA16" i="14"/>
  <c r="AA17" i="14"/>
  <c r="AA18" i="14"/>
  <c r="AA19" i="14"/>
  <c r="AA20" i="14"/>
  <c r="AA21" i="14"/>
  <c r="AA22" i="14"/>
  <c r="AA23" i="14"/>
  <c r="AA24" i="14"/>
  <c r="AA25" i="14"/>
  <c r="AA26" i="14"/>
  <c r="AA27" i="14"/>
  <c r="AA28" i="14"/>
  <c r="AA29" i="14"/>
  <c r="AA30" i="14"/>
  <c r="AA31" i="14"/>
  <c r="AA32" i="14"/>
  <c r="AA33" i="14"/>
  <c r="AA34" i="14"/>
  <c r="AA35" i="14"/>
  <c r="AA36" i="14"/>
  <c r="AA37" i="14"/>
  <c r="AA38" i="14"/>
  <c r="AA39" i="14"/>
  <c r="AA40" i="14"/>
  <c r="AA10" i="14"/>
  <c r="Y11" i="14"/>
  <c r="Y13" i="14"/>
  <c r="Y15" i="14"/>
  <c r="Y17" i="14"/>
  <c r="Y19" i="14"/>
  <c r="Y20" i="14"/>
  <c r="Y21" i="14"/>
  <c r="Y22" i="14"/>
  <c r="Y23" i="14"/>
  <c r="Y25" i="14"/>
  <c r="Y27" i="14"/>
  <c r="Y28" i="14"/>
  <c r="Y29" i="14"/>
  <c r="Y30" i="14"/>
  <c r="Y31" i="14"/>
  <c r="Y32" i="14"/>
  <c r="Y33" i="14"/>
  <c r="Y34" i="14"/>
  <c r="Y35" i="14"/>
  <c r="Y36" i="14"/>
  <c r="Y37" i="14"/>
  <c r="Y38" i="14"/>
  <c r="Y39" i="14"/>
  <c r="Y10" i="14"/>
  <c r="X40" i="14"/>
  <c r="Y40" i="14" s="1"/>
  <c r="X25" i="14"/>
  <c r="X26" i="14"/>
  <c r="Y26" i="14" s="1"/>
  <c r="X24" i="14"/>
  <c r="Y24" i="14" s="1"/>
  <c r="X11" i="14"/>
  <c r="X12" i="14"/>
  <c r="Y12" i="14" s="1"/>
  <c r="X13" i="14"/>
  <c r="X14" i="14"/>
  <c r="Y14" i="14" s="1"/>
  <c r="X15" i="14"/>
  <c r="X16" i="14"/>
  <c r="Y16" i="14" s="1"/>
  <c r="X17" i="14"/>
  <c r="X18" i="14"/>
  <c r="Y18" i="14" s="1"/>
  <c r="X19" i="14"/>
  <c r="X10" i="14"/>
  <c r="Z11" i="14"/>
  <c r="Z12" i="14"/>
  <c r="Z13" i="14"/>
  <c r="Z14" i="14"/>
  <c r="Z15" i="14"/>
  <c r="Z16" i="14"/>
  <c r="Z17" i="14"/>
  <c r="Z18" i="14"/>
  <c r="Z19" i="14"/>
  <c r="Z20" i="14"/>
  <c r="Z21" i="14"/>
  <c r="Z22" i="14"/>
  <c r="Z23" i="14"/>
  <c r="Z24" i="14"/>
  <c r="Z25" i="14"/>
  <c r="Z26" i="14"/>
  <c r="Z27" i="14"/>
  <c r="Z28" i="14"/>
  <c r="Z29" i="14"/>
  <c r="Z30" i="14"/>
  <c r="Z31" i="14"/>
  <c r="Z32" i="14"/>
  <c r="Z33" i="14"/>
  <c r="Z34" i="14"/>
  <c r="Z35" i="14"/>
  <c r="Z36" i="14"/>
  <c r="Z37" i="14"/>
  <c r="Z38" i="14"/>
  <c r="Z39" i="14"/>
  <c r="Z40" i="14"/>
  <c r="Z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10" i="14"/>
  <c r="T11" i="14"/>
  <c r="T12" i="14"/>
  <c r="T13" i="14"/>
  <c r="T14" i="14"/>
  <c r="T15" i="14"/>
  <c r="T16" i="14"/>
  <c r="T17" i="14"/>
  <c r="T18" i="14"/>
  <c r="T19" i="14"/>
  <c r="T20" i="14"/>
  <c r="T21" i="14"/>
  <c r="T22" i="14"/>
  <c r="T23" i="14"/>
  <c r="T24" i="14"/>
  <c r="T25" i="14"/>
  <c r="T26" i="14"/>
  <c r="T27" i="14"/>
  <c r="T28" i="14"/>
  <c r="T29" i="14"/>
  <c r="O29" i="14" s="1"/>
  <c r="AF29" i="14" s="1"/>
  <c r="T30" i="14"/>
  <c r="T31" i="14"/>
  <c r="T32" i="14"/>
  <c r="T33" i="14"/>
  <c r="T34" i="14"/>
  <c r="T35" i="14"/>
  <c r="T36" i="14"/>
  <c r="T37" i="14"/>
  <c r="T38" i="14"/>
  <c r="T39" i="14"/>
  <c r="T40" i="14"/>
  <c r="T10" i="14"/>
  <c r="T41" i="14" s="1"/>
  <c r="U37" i="13"/>
  <c r="U38" i="13"/>
  <c r="U39" i="13"/>
  <c r="U40" i="13"/>
  <c r="U41" i="13"/>
  <c r="U42" i="13"/>
  <c r="U43" i="13"/>
  <c r="U36" i="13"/>
  <c r="U44" i="13" s="1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8" i="13"/>
  <c r="U11" i="13"/>
  <c r="U15" i="13"/>
  <c r="U19" i="13"/>
  <c r="U23" i="13"/>
  <c r="U26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8" i="13"/>
  <c r="Q27" i="13" s="1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8" i="13"/>
  <c r="V9" i="13"/>
  <c r="V10" i="13"/>
  <c r="V11" i="13"/>
  <c r="V12" i="13"/>
  <c r="V13" i="13"/>
  <c r="V14" i="13"/>
  <c r="V15" i="13"/>
  <c r="V16" i="13"/>
  <c r="V17" i="13"/>
  <c r="V18" i="13"/>
  <c r="V19" i="13"/>
  <c r="V20" i="13"/>
  <c r="V21" i="13"/>
  <c r="V22" i="13"/>
  <c r="V23" i="13"/>
  <c r="V24" i="13"/>
  <c r="V25" i="13"/>
  <c r="V26" i="13"/>
  <c r="V8" i="13"/>
  <c r="O42" i="13"/>
  <c r="S42" i="13" s="1"/>
  <c r="K27" i="13"/>
  <c r="AB79" i="12"/>
  <c r="AB80" i="12"/>
  <c r="AB81" i="12"/>
  <c r="AB82" i="12"/>
  <c r="AB83" i="12"/>
  <c r="AB84" i="12"/>
  <c r="AB85" i="12"/>
  <c r="AB78" i="12"/>
  <c r="AB86" i="12" s="1"/>
  <c r="T79" i="12"/>
  <c r="V79" i="12" s="1"/>
  <c r="T80" i="12"/>
  <c r="V80" i="12" s="1"/>
  <c r="O80" i="12" s="1"/>
  <c r="Y80" i="12" s="1"/>
  <c r="T81" i="12"/>
  <c r="V81" i="12" s="1"/>
  <c r="T82" i="12"/>
  <c r="V82" i="12" s="1"/>
  <c r="T83" i="12"/>
  <c r="V83" i="12" s="1"/>
  <c r="T84" i="12"/>
  <c r="V84" i="12" s="1"/>
  <c r="O84" i="12" s="1"/>
  <c r="Y84" i="12" s="1"/>
  <c r="T85" i="12"/>
  <c r="V85" i="12" s="1"/>
  <c r="T78" i="12"/>
  <c r="V78" i="12" s="1"/>
  <c r="Q79" i="12"/>
  <c r="O79" i="12" s="1"/>
  <c r="Y79" i="12" s="1"/>
  <c r="Q80" i="12"/>
  <c r="Q81" i="12"/>
  <c r="O81" i="12" s="1"/>
  <c r="Y81" i="12" s="1"/>
  <c r="Q82" i="12"/>
  <c r="O82" i="12" s="1"/>
  <c r="Y82" i="12" s="1"/>
  <c r="Q83" i="12"/>
  <c r="O83" i="12" s="1"/>
  <c r="Y83" i="12" s="1"/>
  <c r="Q84" i="12"/>
  <c r="Q85" i="12"/>
  <c r="O85" i="12" s="1"/>
  <c r="Y85" i="12" s="1"/>
  <c r="Q78" i="12"/>
  <c r="O78" i="12" s="1"/>
  <c r="Y78" i="12" s="1"/>
  <c r="X43" i="12"/>
  <c r="X44" i="12"/>
  <c r="X45" i="12"/>
  <c r="X46" i="12"/>
  <c r="X47" i="12"/>
  <c r="X48" i="12"/>
  <c r="X49" i="12"/>
  <c r="X50" i="12"/>
  <c r="X51" i="12"/>
  <c r="X52" i="12"/>
  <c r="X53" i="12"/>
  <c r="X54" i="12"/>
  <c r="X55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42" i="12"/>
  <c r="X68" i="12" s="1"/>
  <c r="V46" i="12"/>
  <c r="V50" i="12"/>
  <c r="V54" i="12"/>
  <c r="V58" i="12"/>
  <c r="V62" i="12"/>
  <c r="O43" i="12"/>
  <c r="V43" i="12" s="1"/>
  <c r="O44" i="12"/>
  <c r="V44" i="12" s="1"/>
  <c r="O45" i="12"/>
  <c r="V45" i="12" s="1"/>
  <c r="O46" i="12"/>
  <c r="O47" i="12"/>
  <c r="V47" i="12" s="1"/>
  <c r="O48" i="12"/>
  <c r="V48" i="12" s="1"/>
  <c r="O49" i="12"/>
  <c r="V49" i="12" s="1"/>
  <c r="O50" i="12"/>
  <c r="O51" i="12"/>
  <c r="V51" i="12" s="1"/>
  <c r="O52" i="12"/>
  <c r="V52" i="12" s="1"/>
  <c r="O53" i="12"/>
  <c r="V53" i="12" s="1"/>
  <c r="O54" i="12"/>
  <c r="O55" i="12"/>
  <c r="V55" i="12" s="1"/>
  <c r="O56" i="12"/>
  <c r="V56" i="12" s="1"/>
  <c r="O57" i="12"/>
  <c r="V57" i="12" s="1"/>
  <c r="O58" i="12"/>
  <c r="O59" i="12"/>
  <c r="V59" i="12" s="1"/>
  <c r="O60" i="12"/>
  <c r="V60" i="12" s="1"/>
  <c r="O61" i="12"/>
  <c r="V61" i="12" s="1"/>
  <c r="O62" i="12"/>
  <c r="O63" i="12"/>
  <c r="V63" i="12" s="1"/>
  <c r="O42" i="12"/>
  <c r="V42" i="12" s="1"/>
  <c r="K86" i="12"/>
  <c r="L86" i="12"/>
  <c r="K68" i="12"/>
  <c r="L68" i="12"/>
  <c r="X8" i="12"/>
  <c r="X9" i="12"/>
  <c r="X10" i="12"/>
  <c r="X11" i="12"/>
  <c r="X12" i="12"/>
  <c r="X13" i="12"/>
  <c r="X14" i="12"/>
  <c r="X15" i="12"/>
  <c r="X16" i="12"/>
  <c r="X17" i="12"/>
  <c r="X18" i="12"/>
  <c r="X19" i="12"/>
  <c r="X20" i="12"/>
  <c r="X21" i="12"/>
  <c r="X22" i="12"/>
  <c r="X23" i="12"/>
  <c r="X24" i="12"/>
  <c r="X25" i="12"/>
  <c r="X26" i="12"/>
  <c r="X27" i="12"/>
  <c r="X28" i="12"/>
  <c r="X29" i="12"/>
  <c r="X30" i="12"/>
  <c r="X31" i="12"/>
  <c r="X32" i="12"/>
  <c r="X33" i="12"/>
  <c r="X7" i="12"/>
  <c r="AH9" i="21"/>
  <c r="W9" i="21" s="1"/>
  <c r="AK9" i="21" s="1"/>
  <c r="Z25" i="12"/>
  <c r="Z26" i="12"/>
  <c r="Z11" i="12"/>
  <c r="Y20" i="12"/>
  <c r="Z20" i="12" s="1"/>
  <c r="Y21" i="12"/>
  <c r="Z21" i="12" s="1"/>
  <c r="Y22" i="12"/>
  <c r="Z22" i="12" s="1"/>
  <c r="Y23" i="12"/>
  <c r="Z23" i="12" s="1"/>
  <c r="Y24" i="12"/>
  <c r="Z24" i="12" s="1"/>
  <c r="Y25" i="12"/>
  <c r="Y26" i="12"/>
  <c r="Y27" i="12"/>
  <c r="Z27" i="12" s="1"/>
  <c r="Y28" i="12"/>
  <c r="Z28" i="12" s="1"/>
  <c r="Y29" i="12"/>
  <c r="Z29" i="12" s="1"/>
  <c r="Y19" i="12"/>
  <c r="Z19" i="12" s="1"/>
  <c r="Y8" i="12"/>
  <c r="Z8" i="12" s="1"/>
  <c r="Y9" i="12"/>
  <c r="Z9" i="12" s="1"/>
  <c r="Y10" i="12"/>
  <c r="Z10" i="12" s="1"/>
  <c r="Y11" i="12"/>
  <c r="Y12" i="12"/>
  <c r="Z12" i="12" s="1"/>
  <c r="Y13" i="12"/>
  <c r="Z13" i="12" s="1"/>
  <c r="Y14" i="12"/>
  <c r="Z14" i="12" s="1"/>
  <c r="Y15" i="12"/>
  <c r="Z15" i="12" s="1"/>
  <c r="Y16" i="12"/>
  <c r="Z16" i="12" s="1"/>
  <c r="Y17" i="12"/>
  <c r="Z17" i="12" s="1"/>
  <c r="Y7" i="12"/>
  <c r="Z7" i="12" s="1"/>
  <c r="U8" i="12"/>
  <c r="U9" i="12"/>
  <c r="U10" i="12"/>
  <c r="U11" i="12"/>
  <c r="U12" i="12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7" i="12"/>
  <c r="W8" i="12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7" i="12"/>
  <c r="V8" i="12"/>
  <c r="V9" i="12"/>
  <c r="V10" i="12"/>
  <c r="V11" i="12"/>
  <c r="V12" i="12"/>
  <c r="V13" i="12"/>
  <c r="V14" i="12"/>
  <c r="V15" i="12"/>
  <c r="V16" i="12"/>
  <c r="V17" i="12"/>
  <c r="V18" i="12"/>
  <c r="V19" i="12"/>
  <c r="V20" i="12"/>
  <c r="V21" i="12"/>
  <c r="V22" i="12"/>
  <c r="V23" i="12"/>
  <c r="V24" i="12"/>
  <c r="V25" i="12"/>
  <c r="V26" i="12"/>
  <c r="V27" i="12"/>
  <c r="V28" i="12"/>
  <c r="V29" i="12"/>
  <c r="V30" i="12"/>
  <c r="V31" i="12"/>
  <c r="V32" i="12"/>
  <c r="V33" i="12"/>
  <c r="V7" i="12"/>
  <c r="Q8" i="12"/>
  <c r="Q9" i="12"/>
  <c r="O9" i="12" s="1"/>
  <c r="AD9" i="12" s="1"/>
  <c r="Q10" i="12"/>
  <c r="Q11" i="12"/>
  <c r="Q12" i="12"/>
  <c r="Q13" i="12"/>
  <c r="O13" i="12" s="1"/>
  <c r="AD13" i="12" s="1"/>
  <c r="Q14" i="12"/>
  <c r="Q15" i="12"/>
  <c r="Q16" i="12"/>
  <c r="Q17" i="12"/>
  <c r="O17" i="12" s="1"/>
  <c r="AD17" i="12" s="1"/>
  <c r="Q18" i="12"/>
  <c r="Q19" i="12"/>
  <c r="Q20" i="12"/>
  <c r="Q21" i="12"/>
  <c r="Q22" i="12"/>
  <c r="Q23" i="12"/>
  <c r="Q24" i="12"/>
  <c r="Q25" i="12"/>
  <c r="O25" i="12" s="1"/>
  <c r="AD25" i="12" s="1"/>
  <c r="Q26" i="12"/>
  <c r="Q27" i="12"/>
  <c r="Q28" i="12"/>
  <c r="Q29" i="12"/>
  <c r="Q30" i="12"/>
  <c r="Q31" i="12"/>
  <c r="Q32" i="12"/>
  <c r="Q33" i="12"/>
  <c r="O33" i="12" s="1"/>
  <c r="AD33" i="12" s="1"/>
  <c r="Q7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7" i="12"/>
  <c r="T8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7" i="12"/>
  <c r="AG9" i="27" l="1"/>
  <c r="AD9" i="27"/>
  <c r="AA26" i="12"/>
  <c r="AG14" i="27"/>
  <c r="AD14" i="27"/>
  <c r="AG10" i="27"/>
  <c r="AD10" i="27"/>
  <c r="AC15" i="28"/>
  <c r="AD13" i="27"/>
  <c r="AG13" i="27"/>
  <c r="AA22" i="12"/>
  <c r="O29" i="12"/>
  <c r="O37" i="14"/>
  <c r="AF37" i="14" s="1"/>
  <c r="O21" i="14"/>
  <c r="AF21" i="14" s="1"/>
  <c r="AA33" i="12"/>
  <c r="AA17" i="12"/>
  <c r="P19" i="19"/>
  <c r="AG19" i="19" s="1"/>
  <c r="AF30" i="12"/>
  <c r="AF22" i="12"/>
  <c r="AF14" i="12"/>
  <c r="AI11" i="27"/>
  <c r="AD11" i="27"/>
  <c r="AB10" i="28"/>
  <c r="O24" i="12"/>
  <c r="AD24" i="12" s="1"/>
  <c r="O8" i="12"/>
  <c r="AD8" i="12" s="1"/>
  <c r="AG11" i="21"/>
  <c r="O40" i="14"/>
  <c r="O36" i="14"/>
  <c r="O32" i="14"/>
  <c r="O28" i="14"/>
  <c r="O24" i="14"/>
  <c r="O20" i="14"/>
  <c r="O16" i="14"/>
  <c r="O12" i="14"/>
  <c r="AA24" i="12"/>
  <c r="AA8" i="12"/>
  <c r="AH10" i="14"/>
  <c r="AF37" i="16"/>
  <c r="AF33" i="16"/>
  <c r="AF29" i="16"/>
  <c r="AF25" i="16"/>
  <c r="AF21" i="16"/>
  <c r="AF17" i="16"/>
  <c r="AF13" i="16"/>
  <c r="AF9" i="16"/>
  <c r="P22" i="19"/>
  <c r="AG22" i="19" s="1"/>
  <c r="P18" i="19"/>
  <c r="AG18" i="19" s="1"/>
  <c r="P26" i="19"/>
  <c r="AG26" i="19" s="1"/>
  <c r="AC41" i="23"/>
  <c r="W14" i="28"/>
  <c r="AD16" i="27"/>
  <c r="P24" i="19"/>
  <c r="P31" i="19"/>
  <c r="AG31" i="19" s="1"/>
  <c r="P27" i="19"/>
  <c r="AG27" i="19" s="1"/>
  <c r="L15" i="28"/>
  <c r="AD12" i="28"/>
  <c r="AD16" i="28" s="1"/>
  <c r="X15" i="28"/>
  <c r="Z24" i="29"/>
  <c r="X24" i="29"/>
  <c r="Z28" i="29"/>
  <c r="X28" i="29"/>
  <c r="Z29" i="29"/>
  <c r="Y78" i="30"/>
  <c r="O23" i="32"/>
  <c r="O19" i="32"/>
  <c r="O15" i="32"/>
  <c r="AA25" i="34"/>
  <c r="T52" i="34"/>
  <c r="V52" i="34"/>
  <c r="O22" i="12"/>
  <c r="AD22" i="12" s="1"/>
  <c r="O13" i="14"/>
  <c r="AF13" i="14" s="1"/>
  <c r="AA25" i="12"/>
  <c r="AA13" i="12"/>
  <c r="P23" i="19"/>
  <c r="AG23" i="19" s="1"/>
  <c r="AF26" i="12"/>
  <c r="AF18" i="12"/>
  <c r="AF10" i="12"/>
  <c r="O31" i="12"/>
  <c r="AD31" i="12" s="1"/>
  <c r="O23" i="12"/>
  <c r="AD23" i="12" s="1"/>
  <c r="O19" i="12"/>
  <c r="AD19" i="12" s="1"/>
  <c r="O15" i="12"/>
  <c r="AD15" i="12" s="1"/>
  <c r="Q42" i="13"/>
  <c r="AB79" i="16"/>
  <c r="AA102" i="16"/>
  <c r="AA31" i="12"/>
  <c r="AA23" i="12"/>
  <c r="AA19" i="12"/>
  <c r="AA15" i="12"/>
  <c r="P17" i="19"/>
  <c r="AG17" i="19" s="1"/>
  <c r="N17" i="27"/>
  <c r="AI17" i="27" s="1"/>
  <c r="AG15" i="28"/>
  <c r="AC13" i="28"/>
  <c r="M15" i="28"/>
  <c r="P15" i="27"/>
  <c r="AG15" i="27" s="1"/>
  <c r="AD15" i="27"/>
  <c r="AG39" i="27"/>
  <c r="K16" i="28"/>
  <c r="AC12" i="28"/>
  <c r="AC16" i="28" s="1"/>
  <c r="N14" i="28"/>
  <c r="Q15" i="28"/>
  <c r="AB24" i="28"/>
  <c r="R69" i="29"/>
  <c r="U102" i="34"/>
  <c r="T103" i="34" s="1"/>
  <c r="BA18" i="44"/>
  <c r="AY18" i="44"/>
  <c r="BA28" i="44"/>
  <c r="AY28" i="44"/>
  <c r="AA9" i="12"/>
  <c r="T42" i="30"/>
  <c r="V42" i="30"/>
  <c r="O7" i="12"/>
  <c r="AD7" i="12" s="1"/>
  <c r="O30" i="12"/>
  <c r="AD30" i="12" s="1"/>
  <c r="O26" i="12"/>
  <c r="AD26" i="12" s="1"/>
  <c r="O18" i="12"/>
  <c r="AD18" i="12" s="1"/>
  <c r="O14" i="12"/>
  <c r="AD14" i="12" s="1"/>
  <c r="O10" i="12"/>
  <c r="AD10" i="12" s="1"/>
  <c r="M34" i="12"/>
  <c r="AC41" i="16"/>
  <c r="AG11" i="28"/>
  <c r="AG12" i="28" s="1"/>
  <c r="AG16" i="28" s="1"/>
  <c r="AB11" i="28"/>
  <c r="P41" i="27"/>
  <c r="AD38" i="27"/>
  <c r="W13" i="28"/>
  <c r="AG14" i="28"/>
  <c r="X26" i="29"/>
  <c r="Z26" i="29"/>
  <c r="Z25" i="29"/>
  <c r="Y84" i="35"/>
  <c r="AA84" i="35"/>
  <c r="V66" i="30"/>
  <c r="V62" i="30"/>
  <c r="V58" i="30"/>
  <c r="V54" i="30"/>
  <c r="V50" i="30"/>
  <c r="V46" i="30"/>
  <c r="Q27" i="32"/>
  <c r="AH15" i="33"/>
  <c r="AH32" i="33"/>
  <c r="O107" i="33"/>
  <c r="U107" i="33" s="1"/>
  <c r="X53" i="33"/>
  <c r="Q41" i="34"/>
  <c r="AF10" i="34"/>
  <c r="AF34" i="34"/>
  <c r="AB41" i="34"/>
  <c r="N92" i="34"/>
  <c r="W92" i="34" s="1"/>
  <c r="N97" i="34"/>
  <c r="W97" i="34" s="1"/>
  <c r="U89" i="34"/>
  <c r="AG63" i="35"/>
  <c r="AG64" i="35"/>
  <c r="AG65" i="35"/>
  <c r="AF33" i="35"/>
  <c r="AJ66" i="35"/>
  <c r="AJ62" i="35"/>
  <c r="AJ58" i="35"/>
  <c r="AJ54" i="35"/>
  <c r="AJ50" i="35"/>
  <c r="AA77" i="35"/>
  <c r="AD27" i="36"/>
  <c r="W83" i="36"/>
  <c r="S111" i="36"/>
  <c r="P96" i="36"/>
  <c r="W96" i="36" s="1"/>
  <c r="P100" i="36"/>
  <c r="W100" i="36" s="1"/>
  <c r="P104" i="36"/>
  <c r="W104" i="36" s="1"/>
  <c r="P108" i="36"/>
  <c r="W108" i="36" s="1"/>
  <c r="P110" i="36"/>
  <c r="W110" i="36" s="1"/>
  <c r="O90" i="38"/>
  <c r="V90" i="38" s="1"/>
  <c r="BC12" i="43"/>
  <c r="BA12" i="43"/>
  <c r="BC23" i="43"/>
  <c r="BA23" i="43"/>
  <c r="BC35" i="43"/>
  <c r="BA35" i="43"/>
  <c r="BC39" i="43"/>
  <c r="BA39" i="43"/>
  <c r="BD26" i="40"/>
  <c r="BB26" i="40"/>
  <c r="BA25" i="43"/>
  <c r="BC25" i="43"/>
  <c r="BA35" i="44"/>
  <c r="AY35" i="44"/>
  <c r="BA31" i="44"/>
  <c r="AY31" i="44"/>
  <c r="BG10" i="45"/>
  <c r="BE10" i="45"/>
  <c r="BG28" i="45"/>
  <c r="BE28" i="45"/>
  <c r="BG24" i="45"/>
  <c r="BE24" i="45"/>
  <c r="W14" i="29"/>
  <c r="AG14" i="29"/>
  <c r="V65" i="30"/>
  <c r="V61" i="30"/>
  <c r="V57" i="30"/>
  <c r="V53" i="30"/>
  <c r="V49" i="30"/>
  <c r="V45" i="30"/>
  <c r="AB8" i="32"/>
  <c r="AB18" i="32"/>
  <c r="Y27" i="32"/>
  <c r="Q44" i="32"/>
  <c r="S44" i="32"/>
  <c r="AH29" i="33"/>
  <c r="AH33" i="33"/>
  <c r="Q92" i="33"/>
  <c r="O111" i="33"/>
  <c r="U111" i="33" s="1"/>
  <c r="X56" i="33"/>
  <c r="R41" i="34"/>
  <c r="N91" i="34"/>
  <c r="W91" i="34" s="1"/>
  <c r="N96" i="34"/>
  <c r="W96" i="34" s="1"/>
  <c r="N100" i="34"/>
  <c r="W100" i="34" s="1"/>
  <c r="N17" i="34"/>
  <c r="AD17" i="34" s="1"/>
  <c r="N73" i="34"/>
  <c r="Z77" i="34"/>
  <c r="AJ49" i="35"/>
  <c r="AA93" i="35"/>
  <c r="AA85" i="35"/>
  <c r="W82" i="36"/>
  <c r="AB13" i="38"/>
  <c r="Z65" i="38"/>
  <c r="X65" i="38"/>
  <c r="AB34" i="30"/>
  <c r="BC13" i="43"/>
  <c r="BA13" i="43"/>
  <c r="BA17" i="43"/>
  <c r="BC17" i="43"/>
  <c r="BC20" i="43"/>
  <c r="BA20" i="43"/>
  <c r="BA24" i="43"/>
  <c r="BC24" i="43"/>
  <c r="BC28" i="43"/>
  <c r="BA28" i="43"/>
  <c r="BC36" i="43"/>
  <c r="BA36" i="43"/>
  <c r="BA40" i="43"/>
  <c r="BC40" i="43"/>
  <c r="BA7" i="44"/>
  <c r="AY7" i="44"/>
  <c r="BA11" i="44"/>
  <c r="AY11" i="44"/>
  <c r="BA13" i="44"/>
  <c r="AY13" i="44"/>
  <c r="BA17" i="44"/>
  <c r="AY17" i="44"/>
  <c r="BA19" i="44"/>
  <c r="AY19" i="44"/>
  <c r="BA21" i="44"/>
  <c r="AY21" i="44"/>
  <c r="BA27" i="44"/>
  <c r="AY27" i="44"/>
  <c r="BA33" i="44"/>
  <c r="AY33" i="44"/>
  <c r="BA37" i="44"/>
  <c r="AY37" i="44"/>
  <c r="BA39" i="44"/>
  <c r="AY39" i="44"/>
  <c r="BD16" i="40"/>
  <c r="BB16" i="40"/>
  <c r="BD32" i="40"/>
  <c r="BB32" i="40"/>
  <c r="BD31" i="40"/>
  <c r="BB31" i="40"/>
  <c r="BD19" i="40"/>
  <c r="BB19" i="40"/>
  <c r="BD17" i="40"/>
  <c r="BB17" i="40"/>
  <c r="BA32" i="43"/>
  <c r="BC32" i="43"/>
  <c r="BA29" i="44"/>
  <c r="AY29" i="44"/>
  <c r="BG14" i="45"/>
  <c r="BE14" i="45"/>
  <c r="BG30" i="45"/>
  <c r="BE30" i="45"/>
  <c r="BG11" i="45"/>
  <c r="BE11" i="45"/>
  <c r="BG12" i="45"/>
  <c r="BE12" i="45"/>
  <c r="O8" i="32"/>
  <c r="P117" i="33"/>
  <c r="AA41" i="33"/>
  <c r="X59" i="33"/>
  <c r="O116" i="33"/>
  <c r="U116" i="33" s="1"/>
  <c r="AA8" i="34"/>
  <c r="AF39" i="34"/>
  <c r="N76" i="34"/>
  <c r="Z76" i="34" s="1"/>
  <c r="N90" i="34"/>
  <c r="W90" i="34" s="1"/>
  <c r="N95" i="34"/>
  <c r="W95" i="34" s="1"/>
  <c r="X41" i="34"/>
  <c r="N29" i="34"/>
  <c r="AD29" i="34" s="1"/>
  <c r="V58" i="34"/>
  <c r="Y33" i="35"/>
  <c r="W33" i="35"/>
  <c r="AG48" i="35"/>
  <c r="AJ46" i="35"/>
  <c r="R95" i="35"/>
  <c r="P88" i="35"/>
  <c r="P80" i="35"/>
  <c r="AA92" i="35"/>
  <c r="P40" i="36"/>
  <c r="AD40" i="36" s="1"/>
  <c r="P116" i="36"/>
  <c r="W116" i="36" s="1"/>
  <c r="O59" i="37"/>
  <c r="V59" i="37" s="1"/>
  <c r="X52" i="38"/>
  <c r="Z52" i="38"/>
  <c r="Z57" i="38"/>
  <c r="X57" i="38"/>
  <c r="X68" i="38"/>
  <c r="Z68" i="38"/>
  <c r="AA21" i="34"/>
  <c r="BC10" i="43"/>
  <c r="BA10" i="43"/>
  <c r="BC14" i="43"/>
  <c r="BA14" i="43"/>
  <c r="BC21" i="43"/>
  <c r="BA21" i="43"/>
  <c r="BC29" i="43"/>
  <c r="BA29" i="43"/>
  <c r="BA33" i="43"/>
  <c r="BC33" i="43"/>
  <c r="BC37" i="43"/>
  <c r="BA37" i="43"/>
  <c r="BA15" i="44"/>
  <c r="AY15" i="44"/>
  <c r="BG18" i="45"/>
  <c r="BE18" i="45"/>
  <c r="BG32" i="45"/>
  <c r="BE32" i="45"/>
  <c r="BG16" i="45"/>
  <c r="BE16" i="45"/>
  <c r="AC33" i="19"/>
  <c r="R14" i="29"/>
  <c r="V14" i="29"/>
  <c r="V67" i="30"/>
  <c r="T86" i="30"/>
  <c r="U79" i="30"/>
  <c r="O79" i="30" s="1"/>
  <c r="AC11" i="31"/>
  <c r="T41" i="33"/>
  <c r="AH24" i="33"/>
  <c r="W65" i="33"/>
  <c r="Z92" i="33"/>
  <c r="X62" i="33"/>
  <c r="AA10" i="34"/>
  <c r="R33" i="35"/>
  <c r="AC33" i="35"/>
  <c r="AJ55" i="35"/>
  <c r="AD28" i="36"/>
  <c r="AG28" i="36"/>
  <c r="T40" i="37"/>
  <c r="V40" i="37"/>
  <c r="T44" i="37"/>
  <c r="V44" i="37"/>
  <c r="AB12" i="38"/>
  <c r="Z67" i="38"/>
  <c r="X67" i="38"/>
  <c r="BC11" i="43"/>
  <c r="BA11" i="43"/>
  <c r="BC15" i="43"/>
  <c r="BA15" i="43"/>
  <c r="BC18" i="43"/>
  <c r="BA18" i="43"/>
  <c r="BC22" i="43"/>
  <c r="BA22" i="43"/>
  <c r="BC26" i="43"/>
  <c r="BA26" i="43"/>
  <c r="BC30" i="43"/>
  <c r="BA30" i="43"/>
  <c r="BC34" i="43"/>
  <c r="BA34" i="43"/>
  <c r="BC38" i="43"/>
  <c r="BA38" i="43"/>
  <c r="BA6" i="44"/>
  <c r="X41" i="44"/>
  <c r="BA41" i="44" s="1"/>
  <c r="AY6" i="44"/>
  <c r="BA8" i="44"/>
  <c r="AY8" i="44"/>
  <c r="BA10" i="44"/>
  <c r="AY10" i="44"/>
  <c r="BA12" i="44"/>
  <c r="AY12" i="44"/>
  <c r="BA14" i="44"/>
  <c r="AY14" i="44"/>
  <c r="BA16" i="44"/>
  <c r="AY16" i="44"/>
  <c r="BA20" i="44"/>
  <c r="AY20" i="44"/>
  <c r="BA22" i="44"/>
  <c r="AY22" i="44"/>
  <c r="BA24" i="44"/>
  <c r="AY24" i="44"/>
  <c r="BA26" i="44"/>
  <c r="AY26" i="44"/>
  <c r="BA30" i="44"/>
  <c r="AY30" i="44"/>
  <c r="BA32" i="44"/>
  <c r="AY32" i="44"/>
  <c r="BA34" i="44"/>
  <c r="AY34" i="44"/>
  <c r="BA36" i="44"/>
  <c r="AY36" i="44"/>
  <c r="BA38" i="44"/>
  <c r="AY38" i="44"/>
  <c r="BA40" i="44"/>
  <c r="AY40" i="44"/>
  <c r="Y43" i="44"/>
  <c r="BA16" i="43"/>
  <c r="BC16" i="43"/>
  <c r="BC31" i="43"/>
  <c r="BA31" i="43"/>
  <c r="BG22" i="45"/>
  <c r="BE22" i="45"/>
  <c r="T17" i="36"/>
  <c r="M85" i="36"/>
  <c r="W84" i="36"/>
  <c r="AC17" i="36"/>
  <c r="Q45" i="37"/>
  <c r="P46" i="37" s="1"/>
  <c r="R61" i="37"/>
  <c r="AG24" i="38"/>
  <c r="O89" i="38"/>
  <c r="V89" i="38" s="1"/>
  <c r="O36" i="38"/>
  <c r="BA21" i="46"/>
  <c r="BK15" i="39"/>
  <c r="Y9" i="47"/>
  <c r="AJ41" i="47"/>
  <c r="AZ35" i="47"/>
  <c r="Y13" i="40"/>
  <c r="BB7" i="40"/>
  <c r="BD7" i="40"/>
  <c r="AT9" i="42"/>
  <c r="AT27" i="42" s="1"/>
  <c r="AR9" i="42"/>
  <c r="AT25" i="42"/>
  <c r="AR25" i="42"/>
  <c r="AG12" i="49"/>
  <c r="AS16" i="49"/>
  <c r="BA38" i="49"/>
  <c r="V36" i="49"/>
  <c r="AW36" i="49" s="1"/>
  <c r="BC36" i="49"/>
  <c r="AJ27" i="55"/>
  <c r="AJ39" i="57"/>
  <c r="BI18" i="57"/>
  <c r="BI30" i="57"/>
  <c r="L40" i="58"/>
  <c r="BK34" i="57"/>
  <c r="Y89" i="58"/>
  <c r="AF11" i="62"/>
  <c r="AP14" i="56"/>
  <c r="AU12" i="52"/>
  <c r="AI24" i="55"/>
  <c r="AI17" i="55"/>
  <c r="AU10" i="52"/>
  <c r="AX14" i="52"/>
  <c r="AR26" i="42"/>
  <c r="AR20" i="42"/>
  <c r="AR17" i="42"/>
  <c r="AI18" i="55"/>
  <c r="AI11" i="55"/>
  <c r="AI8" i="55"/>
  <c r="AR19" i="42"/>
  <c r="V15" i="48"/>
  <c r="BH33" i="45"/>
  <c r="BE20" i="45"/>
  <c r="Y16" i="46"/>
  <c r="Y17" i="46"/>
  <c r="BB18" i="46"/>
  <c r="AZ18" i="46"/>
  <c r="AY23" i="44"/>
  <c r="Y27" i="40"/>
  <c r="V12" i="48"/>
  <c r="AM34" i="45"/>
  <c r="AB9" i="45"/>
  <c r="AB15" i="45"/>
  <c r="BA19" i="43"/>
  <c r="BB20" i="40"/>
  <c r="BB9" i="40"/>
  <c r="BB29" i="40"/>
  <c r="AW16" i="48"/>
  <c r="W81" i="36"/>
  <c r="AG17" i="38"/>
  <c r="Z72" i="38"/>
  <c r="Z60" i="38"/>
  <c r="V88" i="38"/>
  <c r="BF33" i="45"/>
  <c r="AX17" i="48"/>
  <c r="AZ34" i="47"/>
  <c r="AG27" i="42"/>
  <c r="AT13" i="42"/>
  <c r="AR13" i="42"/>
  <c r="BA16" i="49"/>
  <c r="AR12" i="61"/>
  <c r="AR36" i="61"/>
  <c r="AR29" i="61"/>
  <c r="AE16" i="62"/>
  <c r="L36" i="63"/>
  <c r="Q36" i="63" s="1"/>
  <c r="BK19" i="57"/>
  <c r="AD66" i="58"/>
  <c r="BK38" i="57"/>
  <c r="AF13" i="62"/>
  <c r="AF15" i="62" s="1"/>
  <c r="AR17" i="61"/>
  <c r="BC41" i="49"/>
  <c r="AY12" i="49"/>
  <c r="AI12" i="55"/>
  <c r="AU9" i="52"/>
  <c r="AP16" i="56"/>
  <c r="AI21" i="55"/>
  <c r="AR10" i="42"/>
  <c r="AR24" i="42"/>
  <c r="AB42" i="49"/>
  <c r="AR22" i="42"/>
  <c r="AZ8" i="46"/>
  <c r="AI22" i="55"/>
  <c r="AI15" i="55"/>
  <c r="AY16" i="49"/>
  <c r="Y20" i="46"/>
  <c r="AY9" i="44"/>
  <c r="V14" i="48"/>
  <c r="BG27" i="45"/>
  <c r="BE27" i="45"/>
  <c r="AW11" i="48"/>
  <c r="BB11" i="40"/>
  <c r="BB8" i="40"/>
  <c r="BB24" i="40"/>
  <c r="AW13" i="48"/>
  <c r="BB21" i="40"/>
  <c r="AG40" i="38"/>
  <c r="V37" i="49"/>
  <c r="BC37" i="49"/>
  <c r="AS41" i="61"/>
  <c r="W22" i="61"/>
  <c r="AF66" i="58"/>
  <c r="X88" i="57"/>
  <c r="AP11" i="56"/>
  <c r="AP13" i="56"/>
  <c r="AU8" i="52"/>
  <c r="AI16" i="55"/>
  <c r="AI9" i="55"/>
  <c r="AI25" i="55"/>
  <c r="AU14" i="52"/>
  <c r="AR12" i="42"/>
  <c r="AJ7" i="46"/>
  <c r="AI21" i="46"/>
  <c r="AH22" i="46" s="1"/>
  <c r="AR8" i="42"/>
  <c r="AR27" i="42" s="1"/>
  <c r="AI10" i="55"/>
  <c r="AI26" i="55"/>
  <c r="V10" i="48"/>
  <c r="AI19" i="55"/>
  <c r="AT23" i="42"/>
  <c r="AR23" i="42"/>
  <c r="BB9" i="46"/>
  <c r="AZ9" i="46"/>
  <c r="BB10" i="46"/>
  <c r="AZ10" i="46"/>
  <c r="AB23" i="45"/>
  <c r="AB17" i="45"/>
  <c r="BG31" i="45"/>
  <c r="BE31" i="45"/>
  <c r="BA27" i="43"/>
  <c r="BB14" i="40"/>
  <c r="AY25" i="44"/>
  <c r="BB12" i="40"/>
  <c r="BB28" i="40"/>
  <c r="BB25" i="40"/>
  <c r="BB33" i="40"/>
  <c r="BB15" i="40"/>
  <c r="W27" i="54"/>
  <c r="AN33" i="59"/>
  <c r="W26" i="61"/>
  <c r="Z88" i="57"/>
  <c r="N66" i="58"/>
  <c r="AE66" i="58" s="1"/>
  <c r="AF54" i="58"/>
  <c r="AD54" i="58"/>
  <c r="BI35" i="57"/>
  <c r="AL14" i="52"/>
  <c r="AL16" i="52" s="1"/>
  <c r="AW30" i="52"/>
  <c r="AW31" i="52" s="1"/>
  <c r="AU30" i="52"/>
  <c r="R12" i="62"/>
  <c r="AH12" i="62" s="1"/>
  <c r="AH10" i="62"/>
  <c r="AF10" i="62"/>
  <c r="AP9" i="56"/>
  <c r="AP10" i="56"/>
  <c r="V40" i="49"/>
  <c r="BC40" i="49"/>
  <c r="AP15" i="56"/>
  <c r="AI20" i="55"/>
  <c r="AI13" i="55"/>
  <c r="AR21" i="42"/>
  <c r="AR16" i="42"/>
  <c r="AZ15" i="46"/>
  <c r="AI14" i="55"/>
  <c r="AI23" i="55"/>
  <c r="BB13" i="46"/>
  <c r="AZ13" i="46"/>
  <c r="BB14" i="46"/>
  <c r="AZ14" i="46"/>
  <c r="AB19" i="45"/>
  <c r="BB18" i="40"/>
  <c r="AW9" i="48"/>
  <c r="BB23" i="40"/>
  <c r="L11" i="63"/>
  <c r="Y34" i="59"/>
  <c r="AK9" i="57"/>
  <c r="BJ9" i="57" s="1"/>
  <c r="BI9" i="57"/>
  <c r="Z53" i="57"/>
  <c r="AK24" i="57"/>
  <c r="BJ24" i="57" s="1"/>
  <c r="AK13" i="57"/>
  <c r="BH13" i="57" s="1"/>
  <c r="BH28" i="57"/>
  <c r="BK18" i="57"/>
  <c r="Q63" i="57"/>
  <c r="AA63" i="57" s="1"/>
  <c r="Y52" i="57"/>
  <c r="Y56" i="57"/>
  <c r="Z56" i="57"/>
  <c r="BH35" i="57"/>
  <c r="Y53" i="57"/>
  <c r="Z52" i="57"/>
  <c r="Z55" i="57"/>
  <c r="BG21" i="58"/>
  <c r="BG27" i="58"/>
  <c r="BG20" i="58"/>
  <c r="BG32" i="58"/>
  <c r="BI11" i="57"/>
  <c r="BG17" i="58"/>
  <c r="BG18" i="58"/>
  <c r="BG16" i="58"/>
  <c r="BG14" i="58"/>
  <c r="BG28" i="58"/>
  <c r="BK9" i="57"/>
  <c r="BK13" i="57"/>
  <c r="BI14" i="57"/>
  <c r="BI23" i="57"/>
  <c r="BI8" i="57"/>
  <c r="BG34" i="58"/>
  <c r="BI19" i="58"/>
  <c r="BG29" i="58"/>
  <c r="BG36" i="58"/>
  <c r="BG38" i="58"/>
  <c r="AH40" i="58"/>
  <c r="BI40" i="58" s="1"/>
  <c r="BI15" i="57"/>
  <c r="BK22" i="57"/>
  <c r="BI12" i="57"/>
  <c r="BH24" i="57"/>
  <c r="BI24" i="57"/>
  <c r="BI10" i="57"/>
  <c r="AI39" i="57"/>
  <c r="BI39" i="57" s="1"/>
  <c r="AS21" i="60"/>
  <c r="AP17" i="60"/>
  <c r="AR18" i="60"/>
  <c r="AQ21" i="60"/>
  <c r="P16" i="62"/>
  <c r="Q16" i="62"/>
  <c r="AG15" i="62"/>
  <c r="V16" i="62"/>
  <c r="Y16" i="62"/>
  <c r="AD16" i="62"/>
  <c r="X16" i="62"/>
  <c r="AI15" i="62"/>
  <c r="AG17" i="56"/>
  <c r="AT18" i="61"/>
  <c r="AR18" i="61"/>
  <c r="AT38" i="61"/>
  <c r="AR38" i="61"/>
  <c r="AT11" i="61"/>
  <c r="AR11" i="61"/>
  <c r="AT26" i="61"/>
  <c r="AR26" i="61"/>
  <c r="AT21" i="61"/>
  <c r="AR21" i="61"/>
  <c r="AT22" i="61"/>
  <c r="AR22" i="61"/>
  <c r="AT34" i="61"/>
  <c r="AR34" i="61"/>
  <c r="AT19" i="61"/>
  <c r="AR19" i="61"/>
  <c r="AT39" i="61"/>
  <c r="AR39" i="61"/>
  <c r="AT27" i="61"/>
  <c r="AR27" i="61"/>
  <c r="AT10" i="61"/>
  <c r="AR10" i="61"/>
  <c r="AT14" i="61"/>
  <c r="AR14" i="61"/>
  <c r="AR9" i="61"/>
  <c r="AR37" i="61"/>
  <c r="AR23" i="61"/>
  <c r="AT23" i="61"/>
  <c r="AR35" i="61"/>
  <c r="AT35" i="61"/>
  <c r="AT30" i="61"/>
  <c r="AR30" i="61"/>
  <c r="AT31" i="61"/>
  <c r="AR31" i="61"/>
  <c r="AR25" i="61"/>
  <c r="AR20" i="61"/>
  <c r="W24" i="61"/>
  <c r="AR33" i="61"/>
  <c r="X22" i="59"/>
  <c r="AY22" i="59" s="1"/>
  <c r="X28" i="59"/>
  <c r="AY28" i="59" s="1"/>
  <c r="X16" i="59"/>
  <c r="AY16" i="59" s="1"/>
  <c r="X11" i="59"/>
  <c r="AY11" i="59" s="1"/>
  <c r="X18" i="59"/>
  <c r="AY18" i="59" s="1"/>
  <c r="X21" i="59"/>
  <c r="AY21" i="59" s="1"/>
  <c r="X12" i="59"/>
  <c r="AY12" i="59" s="1"/>
  <c r="X23" i="59"/>
  <c r="AY23" i="59" s="1"/>
  <c r="AX33" i="59"/>
  <c r="X14" i="59"/>
  <c r="AY14" i="59" s="1"/>
  <c r="X30" i="59"/>
  <c r="AY30" i="59" s="1"/>
  <c r="X17" i="59"/>
  <c r="AY17" i="59" s="1"/>
  <c r="X32" i="59"/>
  <c r="AY32" i="59" s="1"/>
  <c r="X24" i="59"/>
  <c r="AY24" i="59" s="1"/>
  <c r="X19" i="59"/>
  <c r="AY19" i="59" s="1"/>
  <c r="X10" i="59"/>
  <c r="AY10" i="59" s="1"/>
  <c r="X13" i="59"/>
  <c r="AY13" i="59" s="1"/>
  <c r="X20" i="59"/>
  <c r="AY20" i="59" s="1"/>
  <c r="X15" i="59"/>
  <c r="AY15" i="59" s="1"/>
  <c r="BF22" i="58"/>
  <c r="BF17" i="58"/>
  <c r="BF33" i="58"/>
  <c r="BF12" i="58"/>
  <c r="BF28" i="58"/>
  <c r="BF7" i="58"/>
  <c r="BF23" i="58"/>
  <c r="BF39" i="58"/>
  <c r="BF18" i="58"/>
  <c r="BF34" i="58"/>
  <c r="BF13" i="58"/>
  <c r="BF29" i="58"/>
  <c r="BF8" i="58"/>
  <c r="BF24" i="58"/>
  <c r="BF6" i="58"/>
  <c r="BF35" i="58"/>
  <c r="BF14" i="58"/>
  <c r="BF30" i="58"/>
  <c r="BF9" i="58"/>
  <c r="BF25" i="58"/>
  <c r="BF20" i="58"/>
  <c r="BF36" i="58"/>
  <c r="BF31" i="58"/>
  <c r="AJ19" i="58"/>
  <c r="AJ15" i="58"/>
  <c r="AJ38" i="58"/>
  <c r="BF10" i="58"/>
  <c r="BF26" i="58"/>
  <c r="BF21" i="58"/>
  <c r="BF37" i="58"/>
  <c r="BF16" i="58"/>
  <c r="BF32" i="58"/>
  <c r="BF11" i="58"/>
  <c r="BF27" i="58"/>
  <c r="AK10" i="57"/>
  <c r="BJ10" i="57" s="1"/>
  <c r="AK15" i="57"/>
  <c r="BJ15" i="57" s="1"/>
  <c r="BJ25" i="57"/>
  <c r="BH25" i="57"/>
  <c r="BH34" i="57"/>
  <c r="BJ34" i="57"/>
  <c r="BH26" i="57"/>
  <c r="BJ26" i="57"/>
  <c r="BJ37" i="57"/>
  <c r="BH37" i="57"/>
  <c r="AK17" i="57"/>
  <c r="AL41" i="57"/>
  <c r="BH16" i="57"/>
  <c r="AK12" i="57"/>
  <c r="AK8" i="57"/>
  <c r="AK23" i="57"/>
  <c r="AK11" i="57"/>
  <c r="BH27" i="57"/>
  <c r="BH36" i="57"/>
  <c r="BH9" i="57"/>
  <c r="BJ21" i="57"/>
  <c r="BH21" i="57"/>
  <c r="BJ33" i="57"/>
  <c r="BH33" i="57"/>
  <c r="BH18" i="57"/>
  <c r="BJ18" i="57"/>
  <c r="BJ38" i="57"/>
  <c r="BH38" i="57"/>
  <c r="BJ29" i="57"/>
  <c r="BH29" i="57"/>
  <c r="BJ30" i="57"/>
  <c r="BH30" i="57"/>
  <c r="AK14" i="57"/>
  <c r="AK22" i="57"/>
  <c r="BH31" i="57"/>
  <c r="BH20" i="57"/>
  <c r="BH32" i="57"/>
  <c r="V36" i="54"/>
  <c r="AU34" i="54"/>
  <c r="U36" i="54"/>
  <c r="AW34" i="54"/>
  <c r="AV14" i="54"/>
  <c r="AT14" i="54"/>
  <c r="AT32" i="54"/>
  <c r="AV32" i="54"/>
  <c r="AV20" i="54"/>
  <c r="AT20" i="54"/>
  <c r="AT28" i="54"/>
  <c r="AV28" i="54"/>
  <c r="AT11" i="54"/>
  <c r="AV11" i="54"/>
  <c r="AT16" i="54"/>
  <c r="AV16" i="54"/>
  <c r="AK34" i="54"/>
  <c r="AI34" i="54"/>
  <c r="AV21" i="54"/>
  <c r="AT21" i="54"/>
  <c r="AV33" i="54"/>
  <c r="AT33" i="54"/>
  <c r="AV23" i="54"/>
  <c r="AT23" i="54"/>
  <c r="AV9" i="54"/>
  <c r="AT9" i="54"/>
  <c r="AV7" i="54"/>
  <c r="AT7" i="54"/>
  <c r="AT18" i="54"/>
  <c r="AV18" i="54"/>
  <c r="AT24" i="54"/>
  <c r="AV24" i="54"/>
  <c r="AO34" i="54"/>
  <c r="AP12" i="54"/>
  <c r="AP34" i="54" s="1"/>
  <c r="AT25" i="54"/>
  <c r="AV25" i="54"/>
  <c r="AV13" i="54"/>
  <c r="AT13" i="54"/>
  <c r="AV26" i="54"/>
  <c r="AT26" i="54"/>
  <c r="AT10" i="54"/>
  <c r="AV10" i="54"/>
  <c r="AT19" i="54"/>
  <c r="AV19" i="54"/>
  <c r="AV29" i="54"/>
  <c r="AT29" i="54"/>
  <c r="AT31" i="54"/>
  <c r="AV31" i="54"/>
  <c r="AV15" i="54"/>
  <c r="AT15" i="54"/>
  <c r="AV17" i="54"/>
  <c r="AT17" i="54"/>
  <c r="AT22" i="54"/>
  <c r="AV22" i="54"/>
  <c r="AV8" i="54"/>
  <c r="AT8" i="54"/>
  <c r="AC12" i="62"/>
  <c r="AC15" i="62"/>
  <c r="W14" i="52"/>
  <c r="AW14" i="52" s="1"/>
  <c r="AU31" i="52"/>
  <c r="AI41" i="61"/>
  <c r="AM41" i="61"/>
  <c r="AL43" i="61" s="1"/>
  <c r="AN15" i="61"/>
  <c r="W15" i="61" s="1"/>
  <c r="AR20" i="60"/>
  <c r="AR16" i="60"/>
  <c r="AG21" i="60"/>
  <c r="AR33" i="59"/>
  <c r="AS9" i="59"/>
  <c r="AS33" i="59" s="1"/>
  <c r="AZ33" i="59"/>
  <c r="AW40" i="58"/>
  <c r="BC40" i="58"/>
  <c r="AX40" i="58"/>
  <c r="BC39" i="57"/>
  <c r="BD39" i="57"/>
  <c r="AY39" i="57"/>
  <c r="AQ17" i="56"/>
  <c r="V17" i="56"/>
  <c r="AR17" i="56" s="1"/>
  <c r="AL27" i="55"/>
  <c r="AE27" i="55"/>
  <c r="AG38" i="49"/>
  <c r="AG42" i="49" s="1"/>
  <c r="T42" i="49"/>
  <c r="BA42" i="49"/>
  <c r="AY38" i="49"/>
  <c r="AY42" i="49" s="1"/>
  <c r="AZ39" i="49"/>
  <c r="AW39" i="49"/>
  <c r="V38" i="49"/>
  <c r="AZ11" i="49"/>
  <c r="AW11" i="49"/>
  <c r="AW10" i="49"/>
  <c r="AZ10" i="49"/>
  <c r="AN16" i="49"/>
  <c r="AG16" i="49"/>
  <c r="AB16" i="49"/>
  <c r="AC16" i="49"/>
  <c r="AS17" i="48"/>
  <c r="AE18" i="48"/>
  <c r="AG17" i="48"/>
  <c r="BA33" i="45"/>
  <c r="AO33" i="45"/>
  <c r="AU41" i="44"/>
  <c r="AI41" i="44"/>
  <c r="AW41" i="43"/>
  <c r="Y34" i="40"/>
  <c r="BD34" i="40" s="1"/>
  <c r="AJ36" i="40"/>
  <c r="AL34" i="40"/>
  <c r="AV36" i="40"/>
  <c r="AX34" i="40"/>
  <c r="BL14" i="39"/>
  <c r="BJ14" i="39"/>
  <c r="Y26" i="47"/>
  <c r="BB26" i="47" s="1"/>
  <c r="Y15" i="47"/>
  <c r="AZ17" i="47"/>
  <c r="AZ19" i="47"/>
  <c r="AZ28" i="47"/>
  <c r="AZ13" i="47"/>
  <c r="AZ20" i="47"/>
  <c r="AZ30" i="47"/>
  <c r="BB29" i="47"/>
  <c r="AZ29" i="47"/>
  <c r="AZ36" i="47"/>
  <c r="AZ37" i="47"/>
  <c r="AZ16" i="47"/>
  <c r="AZ32" i="47"/>
  <c r="AZ31" i="47"/>
  <c r="AZ33" i="47"/>
  <c r="AZ9" i="47"/>
  <c r="BB9" i="47"/>
  <c r="BC41" i="47"/>
  <c r="AZ12" i="47"/>
  <c r="AZ11" i="47"/>
  <c r="AZ27" i="47"/>
  <c r="AZ14" i="47"/>
  <c r="AZ18" i="47"/>
  <c r="AZ40" i="47"/>
  <c r="AZ39" i="47"/>
  <c r="AZ38" i="47"/>
  <c r="AZ10" i="47"/>
  <c r="Y23" i="47"/>
  <c r="Y25" i="47"/>
  <c r="Y24" i="47"/>
  <c r="Y21" i="47"/>
  <c r="Y22" i="47"/>
  <c r="AV41" i="47"/>
  <c r="AT43" i="47"/>
  <c r="AH43" i="47"/>
  <c r="BL10" i="39"/>
  <c r="Y11" i="39"/>
  <c r="BJ11" i="39" s="1"/>
  <c r="BM15" i="39"/>
  <c r="Y8" i="39"/>
  <c r="BJ8" i="39" s="1"/>
  <c r="AI15" i="39"/>
  <c r="Y13" i="39"/>
  <c r="BJ13" i="39" s="1"/>
  <c r="AR15" i="39"/>
  <c r="AP16" i="39" s="1"/>
  <c r="AS7" i="39"/>
  <c r="BB7" i="39"/>
  <c r="BB15" i="39" s="1"/>
  <c r="Y9" i="39"/>
  <c r="Y12" i="39"/>
  <c r="BF15" i="39"/>
  <c r="AE16" i="49"/>
  <c r="T16" i="49"/>
  <c r="V12" i="49"/>
  <c r="AZ12" i="49" s="1"/>
  <c r="AK16" i="49"/>
  <c r="AJ17" i="48"/>
  <c r="AB41" i="44"/>
  <c r="AJ41" i="44"/>
  <c r="AA41" i="44"/>
  <c r="AG41" i="44"/>
  <c r="AG43" i="44" s="1"/>
  <c r="AH41" i="44"/>
  <c r="W41" i="44"/>
  <c r="V41" i="44"/>
  <c r="BB41" i="44" s="1"/>
  <c r="AE41" i="44"/>
  <c r="Z41" i="44"/>
  <c r="AF41" i="44"/>
  <c r="AL41" i="43"/>
  <c r="AK41" i="43"/>
  <c r="AF41" i="43"/>
  <c r="X41" i="43"/>
  <c r="AJ41" i="43"/>
  <c r="W41" i="43"/>
  <c r="AD41" i="43"/>
  <c r="AI41" i="43"/>
  <c r="M27" i="42"/>
  <c r="AO23" i="21"/>
  <c r="X34" i="40"/>
  <c r="W34" i="40"/>
  <c r="Q34" i="40"/>
  <c r="O33" i="38"/>
  <c r="AE33" i="38" s="1"/>
  <c r="O13" i="38"/>
  <c r="AE13" i="38" s="1"/>
  <c r="O35" i="38"/>
  <c r="O22" i="38"/>
  <c r="AE22" i="38" s="1"/>
  <c r="O24" i="38"/>
  <c r="O20" i="38"/>
  <c r="AE20" i="38" s="1"/>
  <c r="O16" i="38"/>
  <c r="O23" i="38"/>
  <c r="O15" i="38"/>
  <c r="AE15" i="38" s="1"/>
  <c r="O11" i="38"/>
  <c r="O92" i="38"/>
  <c r="S93" i="38"/>
  <c r="O91" i="38"/>
  <c r="O87" i="38"/>
  <c r="V87" i="38" s="1"/>
  <c r="R93" i="38"/>
  <c r="O86" i="38"/>
  <c r="Q93" i="38"/>
  <c r="P94" i="38" s="1"/>
  <c r="X59" i="38"/>
  <c r="X58" i="38"/>
  <c r="X55" i="38"/>
  <c r="X54" i="38"/>
  <c r="AG26" i="38"/>
  <c r="AG25" i="38"/>
  <c r="AG23" i="38"/>
  <c r="O21" i="38"/>
  <c r="AE21" i="38" s="1"/>
  <c r="AG21" i="38"/>
  <c r="AG20" i="38"/>
  <c r="AG18" i="38"/>
  <c r="N41" i="38"/>
  <c r="AG16" i="38"/>
  <c r="Y93" i="38"/>
  <c r="AG15" i="38"/>
  <c r="AG14" i="38"/>
  <c r="O14" i="38"/>
  <c r="AE14" i="38" s="1"/>
  <c r="O12" i="38"/>
  <c r="AE12" i="38" s="1"/>
  <c r="AG12" i="38"/>
  <c r="AG11" i="38"/>
  <c r="AG39" i="38"/>
  <c r="AG36" i="38"/>
  <c r="AG35" i="38"/>
  <c r="O37" i="38"/>
  <c r="AE37" i="38" s="1"/>
  <c r="AB76" i="38"/>
  <c r="Y76" i="38"/>
  <c r="U93" i="38"/>
  <c r="AG19" i="38"/>
  <c r="AG28" i="38"/>
  <c r="AG38" i="38"/>
  <c r="O9" i="38"/>
  <c r="AE9" i="38" s="1"/>
  <c r="O27" i="38"/>
  <c r="O28" i="38"/>
  <c r="O29" i="38"/>
  <c r="AE29" i="38" s="1"/>
  <c r="O30" i="38"/>
  <c r="AE30" i="38" s="1"/>
  <c r="AG32" i="38"/>
  <c r="O38" i="38"/>
  <c r="AE38" i="38" s="1"/>
  <c r="M41" i="38"/>
  <c r="AG10" i="38"/>
  <c r="AG30" i="38"/>
  <c r="AG13" i="38"/>
  <c r="O17" i="38"/>
  <c r="AE17" i="38" s="1"/>
  <c r="O18" i="38"/>
  <c r="AE18" i="38" s="1"/>
  <c r="AG22" i="38"/>
  <c r="O25" i="38"/>
  <c r="AE25" i="38" s="1"/>
  <c r="O26" i="38"/>
  <c r="AE26" i="38" s="1"/>
  <c r="O32" i="38"/>
  <c r="AG34" i="38"/>
  <c r="AG37" i="38"/>
  <c r="O39" i="38"/>
  <c r="O40" i="38"/>
  <c r="AE40" i="38" s="1"/>
  <c r="O10" i="38"/>
  <c r="AE10" i="38" s="1"/>
  <c r="O19" i="38"/>
  <c r="O31" i="38"/>
  <c r="O34" i="38"/>
  <c r="AE34" i="38" s="1"/>
  <c r="W41" i="38"/>
  <c r="T87" i="38"/>
  <c r="T89" i="38"/>
  <c r="T90" i="38"/>
  <c r="O76" i="38"/>
  <c r="Z76" i="38" s="1"/>
  <c r="AG9" i="38"/>
  <c r="AG27" i="38"/>
  <c r="AG29" i="38"/>
  <c r="AG33" i="38"/>
  <c r="Q41" i="38"/>
  <c r="P42" i="38" s="1"/>
  <c r="O58" i="37"/>
  <c r="V58" i="37" s="1"/>
  <c r="S57" i="37"/>
  <c r="S61" i="37" s="1"/>
  <c r="S58" i="37"/>
  <c r="AB21" i="37"/>
  <c r="Z21" i="37"/>
  <c r="O11" i="37"/>
  <c r="AF11" i="37" s="1"/>
  <c r="AA7" i="37"/>
  <c r="O7" i="37" s="1"/>
  <c r="AF7" i="37" s="1"/>
  <c r="O16" i="37"/>
  <c r="AF16" i="37" s="1"/>
  <c r="O12" i="37"/>
  <c r="AF12" i="37" s="1"/>
  <c r="O8" i="37"/>
  <c r="AF8" i="37" s="1"/>
  <c r="W21" i="37"/>
  <c r="O18" i="37"/>
  <c r="AF18" i="37" s="1"/>
  <c r="AH17" i="37"/>
  <c r="AH20" i="37"/>
  <c r="O19" i="37"/>
  <c r="AF19" i="37" s="1"/>
  <c r="AH19" i="37"/>
  <c r="AH13" i="37"/>
  <c r="O13" i="37"/>
  <c r="AH12" i="37"/>
  <c r="AH11" i="37"/>
  <c r="O10" i="37"/>
  <c r="AF10" i="37" s="1"/>
  <c r="N21" i="37"/>
  <c r="AH9" i="37"/>
  <c r="AH8" i="37"/>
  <c r="AC8" i="37"/>
  <c r="AH16" i="37"/>
  <c r="U45" i="37"/>
  <c r="AE21" i="37"/>
  <c r="U61" i="37"/>
  <c r="AH15" i="37"/>
  <c r="AH10" i="37"/>
  <c r="O14" i="37"/>
  <c r="AF14" i="37" s="1"/>
  <c r="AH18" i="37"/>
  <c r="O20" i="37"/>
  <c r="AD21" i="37"/>
  <c r="X21" i="37"/>
  <c r="M21" i="37"/>
  <c r="O9" i="37"/>
  <c r="O15" i="37"/>
  <c r="AF15" i="37" s="1"/>
  <c r="O17" i="37"/>
  <c r="AF17" i="37" s="1"/>
  <c r="T37" i="37"/>
  <c r="T39" i="37"/>
  <c r="T33" i="37"/>
  <c r="T35" i="37"/>
  <c r="T42" i="37"/>
  <c r="T38" i="37"/>
  <c r="T59" i="37"/>
  <c r="T34" i="37"/>
  <c r="T41" i="37"/>
  <c r="T43" i="37"/>
  <c r="T56" i="37"/>
  <c r="T60" i="37"/>
  <c r="T32" i="37"/>
  <c r="T36" i="37"/>
  <c r="T21" i="37"/>
  <c r="O31" i="37"/>
  <c r="V31" i="37" s="1"/>
  <c r="AH7" i="37"/>
  <c r="Z17" i="36"/>
  <c r="AI10" i="36"/>
  <c r="AI16" i="36"/>
  <c r="Y17" i="36"/>
  <c r="AE42" i="36"/>
  <c r="AI14" i="36"/>
  <c r="AE30" i="36"/>
  <c r="AI42" i="36"/>
  <c r="P15" i="36"/>
  <c r="AG15" i="36" s="1"/>
  <c r="P10" i="36"/>
  <c r="AG10" i="36" s="1"/>
  <c r="P13" i="36"/>
  <c r="AI15" i="36"/>
  <c r="AE17" i="36"/>
  <c r="P12" i="36"/>
  <c r="AG12" i="36" s="1"/>
  <c r="O17" i="36"/>
  <c r="N17" i="36"/>
  <c r="AI11" i="36"/>
  <c r="AI13" i="36"/>
  <c r="AF17" i="36"/>
  <c r="AG38" i="36"/>
  <c r="AD38" i="36"/>
  <c r="AB17" i="36"/>
  <c r="P11" i="36"/>
  <c r="AG11" i="36" s="1"/>
  <c r="P95" i="36"/>
  <c r="W95" i="36" s="1"/>
  <c r="P99" i="36"/>
  <c r="W99" i="36" s="1"/>
  <c r="P103" i="36"/>
  <c r="W103" i="36" s="1"/>
  <c r="P107" i="36"/>
  <c r="W107" i="36" s="1"/>
  <c r="P14" i="36"/>
  <c r="AG14" i="36" s="1"/>
  <c r="U74" i="36"/>
  <c r="V111" i="36"/>
  <c r="P94" i="36"/>
  <c r="W94" i="36" s="1"/>
  <c r="P98" i="36"/>
  <c r="W98" i="36" s="1"/>
  <c r="P102" i="36"/>
  <c r="W102" i="36" s="1"/>
  <c r="P106" i="36"/>
  <c r="W106" i="36" s="1"/>
  <c r="P9" i="36"/>
  <c r="AI12" i="36"/>
  <c r="AA17" i="36"/>
  <c r="AA18" i="36" s="1"/>
  <c r="P30" i="36"/>
  <c r="AG30" i="36" s="1"/>
  <c r="AI30" i="36"/>
  <c r="AA42" i="36"/>
  <c r="V84" i="36"/>
  <c r="P92" i="36"/>
  <c r="U111" i="36"/>
  <c r="P114" i="36"/>
  <c r="U119" i="36"/>
  <c r="AI9" i="36"/>
  <c r="AD16" i="36"/>
  <c r="AD26" i="36"/>
  <c r="AD30" i="36" s="1"/>
  <c r="AB37" i="36"/>
  <c r="AB42" i="36" s="1"/>
  <c r="P39" i="36"/>
  <c r="AG40" i="36"/>
  <c r="AB41" i="36"/>
  <c r="P41" i="36" s="1"/>
  <c r="W66" i="36"/>
  <c r="W67" i="36"/>
  <c r="W68" i="36"/>
  <c r="W69" i="36"/>
  <c r="W70" i="36"/>
  <c r="W71" i="36"/>
  <c r="W72" i="36"/>
  <c r="W73" i="36"/>
  <c r="V81" i="36"/>
  <c r="V115" i="36"/>
  <c r="P115" i="36" s="1"/>
  <c r="W115" i="36" s="1"/>
  <c r="P117" i="36"/>
  <c r="W117" i="36" s="1"/>
  <c r="P74" i="36"/>
  <c r="W74" i="36" s="1"/>
  <c r="U81" i="36"/>
  <c r="P78" i="35"/>
  <c r="X82" i="35"/>
  <c r="P82" i="35" s="1"/>
  <c r="X90" i="35"/>
  <c r="P90" i="35" s="1"/>
  <c r="P94" i="35"/>
  <c r="P86" i="35"/>
  <c r="P89" i="35"/>
  <c r="P81" i="35"/>
  <c r="Q96" i="35"/>
  <c r="P30" i="35"/>
  <c r="AJ30" i="35" s="1"/>
  <c r="P14" i="35"/>
  <c r="AJ14" i="35" s="1"/>
  <c r="X33" i="35"/>
  <c r="AL32" i="35"/>
  <c r="AL24" i="35"/>
  <c r="P22" i="35"/>
  <c r="AJ22" i="35" s="1"/>
  <c r="AL17" i="35"/>
  <c r="P17" i="35"/>
  <c r="AJ17" i="35" s="1"/>
  <c r="AL16" i="35"/>
  <c r="P12" i="35"/>
  <c r="AJ12" i="35" s="1"/>
  <c r="P11" i="35"/>
  <c r="AJ11" i="35" s="1"/>
  <c r="AL11" i="35"/>
  <c r="AL10" i="35"/>
  <c r="P20" i="35"/>
  <c r="AJ20" i="35" s="1"/>
  <c r="P19" i="35"/>
  <c r="AJ19" i="35" s="1"/>
  <c r="AL19" i="35"/>
  <c r="AL18" i="35"/>
  <c r="AL9" i="35"/>
  <c r="Z95" i="35"/>
  <c r="AG67" i="35"/>
  <c r="AL30" i="35"/>
  <c r="AC95" i="35"/>
  <c r="P28" i="35"/>
  <c r="AI33" i="35"/>
  <c r="AL28" i="35"/>
  <c r="AL27" i="35"/>
  <c r="AL26" i="35"/>
  <c r="AH33" i="35"/>
  <c r="AL67" i="35"/>
  <c r="AH67" i="35"/>
  <c r="N33" i="35"/>
  <c r="AL12" i="35"/>
  <c r="P16" i="35"/>
  <c r="AJ16" i="35" s="1"/>
  <c r="AL20" i="35"/>
  <c r="P24" i="35"/>
  <c r="AJ24" i="35" s="1"/>
  <c r="P10" i="35"/>
  <c r="AJ10" i="35" s="1"/>
  <c r="AL13" i="35"/>
  <c r="P13" i="35"/>
  <c r="AL14" i="35"/>
  <c r="P18" i="35"/>
  <c r="AJ18" i="35" s="1"/>
  <c r="AL21" i="35"/>
  <c r="P21" i="35"/>
  <c r="AL22" i="35"/>
  <c r="P26" i="35"/>
  <c r="P27" i="35"/>
  <c r="AJ27" i="35" s="1"/>
  <c r="AL29" i="35"/>
  <c r="AL31" i="35"/>
  <c r="AB33" i="35"/>
  <c r="AG25" i="35"/>
  <c r="AL25" i="35"/>
  <c r="P29" i="35"/>
  <c r="P31" i="35"/>
  <c r="AL15" i="35"/>
  <c r="P15" i="35"/>
  <c r="AL23" i="35"/>
  <c r="P23" i="35"/>
  <c r="AJ23" i="35" s="1"/>
  <c r="AE33" i="35"/>
  <c r="P9" i="35"/>
  <c r="AJ9" i="35" s="1"/>
  <c r="P79" i="35"/>
  <c r="P83" i="35"/>
  <c r="P87" i="35"/>
  <c r="P91" i="35"/>
  <c r="AG32" i="35"/>
  <c r="Q34" i="35"/>
  <c r="W95" i="35"/>
  <c r="O33" i="35"/>
  <c r="AD33" i="35"/>
  <c r="P67" i="35"/>
  <c r="AJ67" i="35" s="1"/>
  <c r="P76" i="35"/>
  <c r="AA76" i="35" s="1"/>
  <c r="N98" i="34"/>
  <c r="W98" i="34" s="1"/>
  <c r="N94" i="34"/>
  <c r="W94" i="34" s="1"/>
  <c r="N99" i="34"/>
  <c r="W99" i="34" s="1"/>
  <c r="N89" i="34"/>
  <c r="N74" i="34"/>
  <c r="N75" i="34"/>
  <c r="U79" i="34"/>
  <c r="N78" i="34"/>
  <c r="Z78" i="34" s="1"/>
  <c r="Z41" i="34"/>
  <c r="N19" i="34"/>
  <c r="AD19" i="34" s="1"/>
  <c r="N30" i="34"/>
  <c r="AD30" i="34" s="1"/>
  <c r="N16" i="34"/>
  <c r="AD16" i="34" s="1"/>
  <c r="W41" i="34"/>
  <c r="N14" i="34"/>
  <c r="AD14" i="34" s="1"/>
  <c r="N32" i="34"/>
  <c r="AD32" i="34" s="1"/>
  <c r="N12" i="34"/>
  <c r="AD12" i="34" s="1"/>
  <c r="N39" i="34"/>
  <c r="AD39" i="34" s="1"/>
  <c r="N31" i="34"/>
  <c r="AD31" i="34" s="1"/>
  <c r="N38" i="34"/>
  <c r="AD38" i="34" s="1"/>
  <c r="N35" i="34"/>
  <c r="AD35" i="34" s="1"/>
  <c r="N27" i="34"/>
  <c r="AD27" i="34" s="1"/>
  <c r="N23" i="34"/>
  <c r="AD23" i="34" s="1"/>
  <c r="N37" i="34"/>
  <c r="AD37" i="34" s="1"/>
  <c r="AF37" i="34"/>
  <c r="N36" i="34"/>
  <c r="AD36" i="34" s="1"/>
  <c r="AF35" i="34"/>
  <c r="N34" i="34"/>
  <c r="AD34" i="34" s="1"/>
  <c r="N33" i="34"/>
  <c r="AD33" i="34" s="1"/>
  <c r="N40" i="34"/>
  <c r="AD40" i="34" s="1"/>
  <c r="AF38" i="34"/>
  <c r="AF31" i="34"/>
  <c r="AA102" i="34"/>
  <c r="AF30" i="34"/>
  <c r="AF29" i="34"/>
  <c r="N28" i="34"/>
  <c r="AD28" i="34" s="1"/>
  <c r="N21" i="34"/>
  <c r="AD21" i="34" s="1"/>
  <c r="N20" i="34"/>
  <c r="AD20" i="34" s="1"/>
  <c r="AF20" i="34"/>
  <c r="AF19" i="34"/>
  <c r="AF27" i="34"/>
  <c r="N26" i="34"/>
  <c r="AD26" i="34" s="1"/>
  <c r="AF25" i="34"/>
  <c r="N24" i="34"/>
  <c r="AD24" i="34" s="1"/>
  <c r="AF23" i="34"/>
  <c r="N22" i="34"/>
  <c r="AD22" i="34" s="1"/>
  <c r="AF22" i="34"/>
  <c r="N18" i="34"/>
  <c r="AD18" i="34" s="1"/>
  <c r="AF18" i="34"/>
  <c r="AF16" i="34"/>
  <c r="N15" i="34"/>
  <c r="AD15" i="34" s="1"/>
  <c r="N13" i="34"/>
  <c r="AD13" i="34" s="1"/>
  <c r="AF14" i="34"/>
  <c r="N9" i="34"/>
  <c r="AD9" i="34" s="1"/>
  <c r="AF8" i="34"/>
  <c r="U41" i="34"/>
  <c r="N7" i="34"/>
  <c r="AD7" i="34" s="1"/>
  <c r="AF12" i="34"/>
  <c r="M41" i="34"/>
  <c r="N11" i="34"/>
  <c r="AD11" i="34" s="1"/>
  <c r="L41" i="34"/>
  <c r="N6" i="34"/>
  <c r="AC41" i="34"/>
  <c r="X79" i="34"/>
  <c r="X64" i="34"/>
  <c r="U64" i="34"/>
  <c r="AF7" i="34"/>
  <c r="AF9" i="34"/>
  <c r="AF11" i="34"/>
  <c r="AF13" i="34"/>
  <c r="AF15" i="34"/>
  <c r="AF24" i="34"/>
  <c r="AF26" i="34"/>
  <c r="AF28" i="34"/>
  <c r="AF32" i="34"/>
  <c r="AF36" i="34"/>
  <c r="AF40" i="34"/>
  <c r="T53" i="34"/>
  <c r="T61" i="34"/>
  <c r="T55" i="34"/>
  <c r="T63" i="34"/>
  <c r="O80" i="34"/>
  <c r="T57" i="34"/>
  <c r="Y76" i="34"/>
  <c r="W76" i="34"/>
  <c r="N64" i="34"/>
  <c r="V64" i="34" s="1"/>
  <c r="T51" i="34"/>
  <c r="T59" i="34"/>
  <c r="W78" i="34"/>
  <c r="Y78" i="34"/>
  <c r="T80" i="34"/>
  <c r="P41" i="34"/>
  <c r="O42" i="34" s="1"/>
  <c r="P64" i="34"/>
  <c r="O65" i="34" s="1"/>
  <c r="N79" i="34"/>
  <c r="AF6" i="34"/>
  <c r="V41" i="34"/>
  <c r="T54" i="34"/>
  <c r="T56" i="34"/>
  <c r="T60" i="34"/>
  <c r="T62" i="34"/>
  <c r="Y73" i="34"/>
  <c r="Y77" i="34"/>
  <c r="O113" i="33"/>
  <c r="U113" i="33" s="1"/>
  <c r="O115" i="33"/>
  <c r="U115" i="33" s="1"/>
  <c r="O109" i="33"/>
  <c r="U109" i="33" s="1"/>
  <c r="O90" i="33"/>
  <c r="W90" i="33" s="1"/>
  <c r="O82" i="33"/>
  <c r="W82" i="33" s="1"/>
  <c r="O86" i="33"/>
  <c r="W86" i="33" s="1"/>
  <c r="S92" i="33"/>
  <c r="O80" i="33"/>
  <c r="W80" i="33" s="1"/>
  <c r="O81" i="33"/>
  <c r="W81" i="33" s="1"/>
  <c r="O83" i="33"/>
  <c r="W83" i="33" s="1"/>
  <c r="O84" i="33"/>
  <c r="W84" i="33" s="1"/>
  <c r="O85" i="33"/>
  <c r="W85" i="33" s="1"/>
  <c r="O87" i="33"/>
  <c r="W87" i="33" s="1"/>
  <c r="O88" i="33"/>
  <c r="W88" i="33" s="1"/>
  <c r="O89" i="33"/>
  <c r="W89" i="33" s="1"/>
  <c r="O91" i="33"/>
  <c r="V52" i="33"/>
  <c r="V65" i="33" s="1"/>
  <c r="O36" i="33"/>
  <c r="AF36" i="33" s="1"/>
  <c r="X41" i="33"/>
  <c r="O13" i="33"/>
  <c r="AF13" i="33" s="1"/>
  <c r="O16" i="33"/>
  <c r="O19" i="33"/>
  <c r="O11" i="33"/>
  <c r="AF11" i="33" s="1"/>
  <c r="O27" i="33"/>
  <c r="AF27" i="33" s="1"/>
  <c r="O14" i="33"/>
  <c r="AF14" i="33" s="1"/>
  <c r="O32" i="33"/>
  <c r="AF32" i="33" s="1"/>
  <c r="O26" i="33"/>
  <c r="AF26" i="33" s="1"/>
  <c r="AH25" i="33"/>
  <c r="O24" i="33"/>
  <c r="O38" i="33"/>
  <c r="AF38" i="33" s="1"/>
  <c r="O23" i="33"/>
  <c r="AF23" i="33" s="1"/>
  <c r="AH14" i="33"/>
  <c r="O12" i="33"/>
  <c r="AF12" i="33" s="1"/>
  <c r="O10" i="33"/>
  <c r="AH10" i="33"/>
  <c r="O22" i="33"/>
  <c r="AF22" i="33" s="1"/>
  <c r="AD41" i="33"/>
  <c r="Y117" i="33"/>
  <c r="AH17" i="33"/>
  <c r="AE41" i="33"/>
  <c r="V117" i="33"/>
  <c r="V92" i="33"/>
  <c r="Z65" i="33"/>
  <c r="AH20" i="33"/>
  <c r="Z41" i="33"/>
  <c r="AH27" i="33"/>
  <c r="O31" i="33"/>
  <c r="AF31" i="33" s="1"/>
  <c r="AH36" i="33"/>
  <c r="AH11" i="33"/>
  <c r="O15" i="33"/>
  <c r="AF15" i="33" s="1"/>
  <c r="AH19" i="33"/>
  <c r="O20" i="33"/>
  <c r="AF20" i="33" s="1"/>
  <c r="AH23" i="33"/>
  <c r="O25" i="33"/>
  <c r="AF25" i="33" s="1"/>
  <c r="O28" i="33"/>
  <c r="AF28" i="33" s="1"/>
  <c r="O29" i="33"/>
  <c r="AF29" i="33" s="1"/>
  <c r="O30" i="33"/>
  <c r="AF30" i="33" s="1"/>
  <c r="O34" i="33"/>
  <c r="AF34" i="33" s="1"/>
  <c r="AH38" i="33"/>
  <c r="O40" i="33"/>
  <c r="AF40" i="33" s="1"/>
  <c r="AH30" i="33"/>
  <c r="AH34" i="33"/>
  <c r="AH13" i="33"/>
  <c r="O17" i="33"/>
  <c r="AF17" i="33" s="1"/>
  <c r="O35" i="33"/>
  <c r="AF35" i="33" s="1"/>
  <c r="O37" i="33"/>
  <c r="AF37" i="33" s="1"/>
  <c r="AH39" i="33"/>
  <c r="V41" i="33"/>
  <c r="AH12" i="33"/>
  <c r="N41" i="33"/>
  <c r="O33" i="33"/>
  <c r="AF33" i="33" s="1"/>
  <c r="O39" i="33"/>
  <c r="AF39" i="33" s="1"/>
  <c r="AH40" i="33"/>
  <c r="O18" i="33"/>
  <c r="AF18" i="33" s="1"/>
  <c r="S117" i="33"/>
  <c r="O106" i="33"/>
  <c r="U106" i="33" s="1"/>
  <c r="O110" i="33"/>
  <c r="U110" i="33" s="1"/>
  <c r="O114" i="33"/>
  <c r="U114" i="33" s="1"/>
  <c r="U83" i="33"/>
  <c r="U86" i="33"/>
  <c r="Y41" i="33"/>
  <c r="U104" i="33"/>
  <c r="M41" i="33"/>
  <c r="O105" i="33"/>
  <c r="U105" i="33" s="1"/>
  <c r="AC21" i="33"/>
  <c r="AH22" i="33"/>
  <c r="AH28" i="33"/>
  <c r="O79" i="33"/>
  <c r="W79" i="33" s="1"/>
  <c r="AH18" i="33"/>
  <c r="O65" i="33"/>
  <c r="X65" i="33" s="1"/>
  <c r="R117" i="33"/>
  <c r="R92" i="33"/>
  <c r="AC37" i="14"/>
  <c r="AC13" i="14"/>
  <c r="O33" i="14"/>
  <c r="AF33" i="14" s="1"/>
  <c r="O25" i="14"/>
  <c r="AF25" i="14" s="1"/>
  <c r="O17" i="14"/>
  <c r="AF17" i="14" s="1"/>
  <c r="AC29" i="14"/>
  <c r="AC21" i="14"/>
  <c r="Z65" i="14"/>
  <c r="Z92" i="14"/>
  <c r="AE41" i="14"/>
  <c r="AF40" i="14"/>
  <c r="AC40" i="14"/>
  <c r="AF36" i="14"/>
  <c r="AC36" i="14"/>
  <c r="AF32" i="14"/>
  <c r="AC32" i="14"/>
  <c r="AF28" i="14"/>
  <c r="AC28" i="14"/>
  <c r="AF24" i="14"/>
  <c r="AC24" i="14"/>
  <c r="AF20" i="14"/>
  <c r="AC20" i="14"/>
  <c r="AF16" i="14"/>
  <c r="AC16" i="14"/>
  <c r="AF12" i="14"/>
  <c r="AC12" i="14"/>
  <c r="AC33" i="14"/>
  <c r="AC25" i="14"/>
  <c r="AC17" i="14"/>
  <c r="O39" i="14"/>
  <c r="AF39" i="14" s="1"/>
  <c r="O35" i="14"/>
  <c r="AF35" i="14" s="1"/>
  <c r="O31" i="14"/>
  <c r="AF31" i="14" s="1"/>
  <c r="O27" i="14"/>
  <c r="AF27" i="14" s="1"/>
  <c r="O23" i="14"/>
  <c r="AF23" i="14" s="1"/>
  <c r="O19" i="14"/>
  <c r="AF19" i="14" s="1"/>
  <c r="O15" i="14"/>
  <c r="AF15" i="14" s="1"/>
  <c r="O11" i="14"/>
  <c r="AF11" i="14" s="1"/>
  <c r="AH37" i="14"/>
  <c r="AH33" i="14"/>
  <c r="AH29" i="14"/>
  <c r="AH25" i="14"/>
  <c r="AH21" i="14"/>
  <c r="AH17" i="14"/>
  <c r="AH13" i="14"/>
  <c r="M41" i="14"/>
  <c r="O10" i="14"/>
  <c r="AF10" i="14" s="1"/>
  <c r="AH39" i="14"/>
  <c r="AH35" i="14"/>
  <c r="AH31" i="14"/>
  <c r="AH27" i="14"/>
  <c r="AH23" i="14"/>
  <c r="AH19" i="14"/>
  <c r="AH15" i="14"/>
  <c r="AH11" i="14"/>
  <c r="O38" i="14"/>
  <c r="O34" i="14"/>
  <c r="O30" i="14"/>
  <c r="O26" i="14"/>
  <c r="O22" i="14"/>
  <c r="O18" i="14"/>
  <c r="O14" i="14"/>
  <c r="T27" i="32"/>
  <c r="X21" i="32"/>
  <c r="X22" i="32"/>
  <c r="V27" i="32"/>
  <c r="X17" i="32"/>
  <c r="X9" i="32"/>
  <c r="X26" i="32"/>
  <c r="AB21" i="32"/>
  <c r="N27" i="32"/>
  <c r="X10" i="32"/>
  <c r="AB10" i="32"/>
  <c r="R44" i="32"/>
  <c r="U44" i="32"/>
  <c r="X15" i="32"/>
  <c r="AB15" i="32"/>
  <c r="Z27" i="32"/>
  <c r="AB14" i="32"/>
  <c r="AB22" i="32"/>
  <c r="AB12" i="32"/>
  <c r="AB13" i="32"/>
  <c r="X13" i="32"/>
  <c r="X16" i="32"/>
  <c r="AB17" i="32"/>
  <c r="X23" i="32"/>
  <c r="X25" i="32"/>
  <c r="AB26" i="32"/>
  <c r="AB11" i="32"/>
  <c r="X11" i="32"/>
  <c r="X14" i="32"/>
  <c r="X18" i="32"/>
  <c r="S27" i="32"/>
  <c r="X20" i="32"/>
  <c r="U27" i="32"/>
  <c r="X24" i="32"/>
  <c r="X19" i="32"/>
  <c r="AB16" i="32"/>
  <c r="AB20" i="32"/>
  <c r="AB24" i="32"/>
  <c r="AB9" i="32"/>
  <c r="AB19" i="32"/>
  <c r="AB23" i="32"/>
  <c r="S38" i="32"/>
  <c r="S42" i="32"/>
  <c r="X12" i="32"/>
  <c r="M27" i="32"/>
  <c r="U86" i="30"/>
  <c r="T47" i="30"/>
  <c r="T59" i="30"/>
  <c r="O32" i="30"/>
  <c r="AD32" i="30" s="1"/>
  <c r="T63" i="30"/>
  <c r="X86" i="30"/>
  <c r="AB86" i="30"/>
  <c r="AF9" i="31"/>
  <c r="AF26" i="30"/>
  <c r="AC34" i="30"/>
  <c r="AF25" i="30"/>
  <c r="AF27" i="30"/>
  <c r="AF30" i="30"/>
  <c r="Q34" i="30"/>
  <c r="P35" i="30" s="1"/>
  <c r="V34" i="30"/>
  <c r="O9" i="30"/>
  <c r="AD9" i="30" s="1"/>
  <c r="O29" i="30"/>
  <c r="AD29" i="30" s="1"/>
  <c r="AF11" i="30"/>
  <c r="AF12" i="30"/>
  <c r="AF13" i="30"/>
  <c r="AF14" i="30"/>
  <c r="AF19" i="30"/>
  <c r="AF20" i="30"/>
  <c r="O31" i="30"/>
  <c r="AD31" i="30" s="1"/>
  <c r="T55" i="30"/>
  <c r="O17" i="30"/>
  <c r="AD17" i="30" s="1"/>
  <c r="O21" i="30"/>
  <c r="AD21" i="30" s="1"/>
  <c r="O22" i="30"/>
  <c r="AD22" i="30" s="1"/>
  <c r="O30" i="30"/>
  <c r="AD30" i="30" s="1"/>
  <c r="T51" i="30"/>
  <c r="O68" i="30"/>
  <c r="Y34" i="30"/>
  <c r="O14" i="30"/>
  <c r="AD14" i="30" s="1"/>
  <c r="O28" i="30"/>
  <c r="AD28" i="30" s="1"/>
  <c r="W80" i="30"/>
  <c r="W82" i="30"/>
  <c r="W84" i="30"/>
  <c r="T34" i="30"/>
  <c r="X34" i="30"/>
  <c r="O13" i="30"/>
  <c r="AD13" i="30" s="1"/>
  <c r="O23" i="30"/>
  <c r="AD23" i="30" s="1"/>
  <c r="O25" i="30"/>
  <c r="AD25" i="30" s="1"/>
  <c r="O26" i="30"/>
  <c r="AD26" i="30" s="1"/>
  <c r="X68" i="30"/>
  <c r="T65" i="30"/>
  <c r="U34" i="30"/>
  <c r="O12" i="30"/>
  <c r="AD12" i="30" s="1"/>
  <c r="O15" i="30"/>
  <c r="AD15" i="30" s="1"/>
  <c r="O20" i="30"/>
  <c r="AD20" i="30" s="1"/>
  <c r="W34" i="30"/>
  <c r="O10" i="30"/>
  <c r="AD10" i="30" s="1"/>
  <c r="O11" i="30"/>
  <c r="AD11" i="30" s="1"/>
  <c r="O18" i="30"/>
  <c r="O24" i="30"/>
  <c r="AD24" i="30" s="1"/>
  <c r="O33" i="30"/>
  <c r="AD33" i="30" s="1"/>
  <c r="T44" i="30"/>
  <c r="T48" i="30"/>
  <c r="T52" i="30"/>
  <c r="T56" i="30"/>
  <c r="T60" i="30"/>
  <c r="T64" i="30"/>
  <c r="AF18" i="30"/>
  <c r="AF24" i="30"/>
  <c r="AF33" i="30"/>
  <c r="M34" i="30"/>
  <c r="M36" i="30" s="1"/>
  <c r="AF8" i="30"/>
  <c r="AF9" i="30"/>
  <c r="AF15" i="30"/>
  <c r="AF16" i="30"/>
  <c r="AF17" i="30"/>
  <c r="AF21" i="30"/>
  <c r="AF29" i="30"/>
  <c r="AF31" i="30"/>
  <c r="N34" i="30"/>
  <c r="N36" i="30" s="1"/>
  <c r="AF10" i="30"/>
  <c r="AF22" i="30"/>
  <c r="AF23" i="30"/>
  <c r="AF32" i="30"/>
  <c r="AE9" i="31"/>
  <c r="AK9" i="31"/>
  <c r="O8" i="30"/>
  <c r="AD8" i="30" s="1"/>
  <c r="O16" i="30"/>
  <c r="AD16" i="30" s="1"/>
  <c r="O19" i="30"/>
  <c r="AD19" i="30" s="1"/>
  <c r="O27" i="30"/>
  <c r="AD27" i="30" s="1"/>
  <c r="AF28" i="30"/>
  <c r="AF7" i="30"/>
  <c r="AD64" i="30"/>
  <c r="AD65" i="30"/>
  <c r="AD66" i="30"/>
  <c r="AD67" i="30"/>
  <c r="U68" i="30"/>
  <c r="V86" i="30"/>
  <c r="Q86" i="30"/>
  <c r="S34" i="30"/>
  <c r="Z7" i="30"/>
  <c r="O67" i="29"/>
  <c r="T67" i="29" s="1"/>
  <c r="S67" i="29"/>
  <c r="S46" i="29"/>
  <c r="O46" i="29" s="1"/>
  <c r="V46" i="29" s="1"/>
  <c r="R48" i="29"/>
  <c r="O30" i="29"/>
  <c r="Z30" i="29" s="1"/>
  <c r="AE14" i="29"/>
  <c r="Y8" i="29"/>
  <c r="Y14" i="29" s="1"/>
  <c r="X15" i="29" s="1"/>
  <c r="O13" i="29"/>
  <c r="AI13" i="29" s="1"/>
  <c r="AC14" i="29"/>
  <c r="U69" i="29"/>
  <c r="X48" i="29"/>
  <c r="AB30" i="29"/>
  <c r="O12" i="29"/>
  <c r="AI12" i="29" s="1"/>
  <c r="O11" i="29"/>
  <c r="AI11" i="29" s="1"/>
  <c r="O8" i="29"/>
  <c r="AI8" i="29" s="1"/>
  <c r="AD14" i="29"/>
  <c r="O9" i="29"/>
  <c r="AI9" i="29" s="1"/>
  <c r="O7" i="29"/>
  <c r="AI7" i="29" s="1"/>
  <c r="O10" i="29"/>
  <c r="AI10" i="29" s="1"/>
  <c r="N14" i="29"/>
  <c r="M14" i="29"/>
  <c r="AH14" i="29"/>
  <c r="T43" i="29"/>
  <c r="T42" i="29"/>
  <c r="T44" i="29"/>
  <c r="T47" i="29"/>
  <c r="S69" i="29"/>
  <c r="R70" i="29" s="1"/>
  <c r="O62" i="29"/>
  <c r="Y30" i="29"/>
  <c r="U48" i="29"/>
  <c r="Q14" i="29"/>
  <c r="P15" i="29" s="1"/>
  <c r="W69" i="29"/>
  <c r="X23" i="29"/>
  <c r="X30" i="29" s="1"/>
  <c r="O63" i="29"/>
  <c r="T63" i="29" s="1"/>
  <c r="O45" i="29"/>
  <c r="V45" i="29" s="1"/>
  <c r="S41" i="29"/>
  <c r="X41" i="16"/>
  <c r="Z41" i="16"/>
  <c r="X64" i="16"/>
  <c r="AB12" i="28"/>
  <c r="N12" i="28"/>
  <c r="X12" i="28"/>
  <c r="X16" i="28" s="1"/>
  <c r="W12" i="28"/>
  <c r="Q12" i="28"/>
  <c r="Q16" i="28" s="1"/>
  <c r="L12" i="28"/>
  <c r="L16" i="28" s="1"/>
  <c r="M12" i="28"/>
  <c r="M16" i="28" s="1"/>
  <c r="AG25" i="19"/>
  <c r="AD24" i="19"/>
  <c r="AG24" i="19"/>
  <c r="AB33" i="19"/>
  <c r="AG40" i="23"/>
  <c r="AG36" i="23"/>
  <c r="AG32" i="23"/>
  <c r="AG28" i="23"/>
  <c r="AG24" i="23"/>
  <c r="AG20" i="23"/>
  <c r="AG16" i="23"/>
  <c r="AG12" i="23"/>
  <c r="X72" i="23"/>
  <c r="Z73" i="23"/>
  <c r="M41" i="23"/>
  <c r="AG9" i="23"/>
  <c r="Z74" i="23"/>
  <c r="Z75" i="23"/>
  <c r="N41" i="23"/>
  <c r="N27" i="13"/>
  <c r="L41" i="16"/>
  <c r="AD27" i="19"/>
  <c r="AD26" i="19"/>
  <c r="AD16" i="19"/>
  <c r="AD17" i="19"/>
  <c r="AD20" i="19"/>
  <c r="AD31" i="19"/>
  <c r="AD21" i="19"/>
  <c r="P10" i="19"/>
  <c r="AG10" i="19" s="1"/>
  <c r="P11" i="19"/>
  <c r="AG11" i="19" s="1"/>
  <c r="P9" i="19"/>
  <c r="AG9" i="19" s="1"/>
  <c r="AD32" i="19"/>
  <c r="P29" i="19"/>
  <c r="P30" i="19"/>
  <c r="P28" i="19"/>
  <c r="AG28" i="19" s="1"/>
  <c r="AD22" i="19"/>
  <c r="AD18" i="19"/>
  <c r="AD12" i="19"/>
  <c r="AD23" i="19"/>
  <c r="AD19" i="19"/>
  <c r="AD13" i="19"/>
  <c r="P14" i="19"/>
  <c r="AG14" i="19" s="1"/>
  <c r="P15" i="19"/>
  <c r="AG15" i="19" s="1"/>
  <c r="O33" i="19"/>
  <c r="N33" i="19"/>
  <c r="M41" i="16"/>
  <c r="N41" i="14"/>
  <c r="M27" i="13"/>
  <c r="AB27" i="13" s="1"/>
  <c r="N34" i="12"/>
  <c r="M14" i="9"/>
  <c r="N14" i="9"/>
  <c r="V41" i="16"/>
  <c r="O32" i="12"/>
  <c r="AD32" i="12" s="1"/>
  <c r="O28" i="12"/>
  <c r="AD28" i="12" s="1"/>
  <c r="O20" i="12"/>
  <c r="AD20" i="12" s="1"/>
  <c r="O16" i="12"/>
  <c r="AD16" i="12" s="1"/>
  <c r="O12" i="12"/>
  <c r="AD12" i="12" s="1"/>
  <c r="O21" i="12"/>
  <c r="O27" i="12"/>
  <c r="AD27" i="12" s="1"/>
  <c r="O11" i="12"/>
  <c r="AD11" i="12" s="1"/>
  <c r="W63" i="9"/>
  <c r="W64" i="9"/>
  <c r="W65" i="9"/>
  <c r="W66" i="9"/>
  <c r="W67" i="9"/>
  <c r="W68" i="9"/>
  <c r="W62" i="9"/>
  <c r="R63" i="9"/>
  <c r="S63" i="9" s="1"/>
  <c r="R64" i="9"/>
  <c r="S64" i="9" s="1"/>
  <c r="O64" i="9" s="1"/>
  <c r="T64" i="9" s="1"/>
  <c r="R65" i="9"/>
  <c r="S65" i="9" s="1"/>
  <c r="R66" i="9"/>
  <c r="S66" i="9" s="1"/>
  <c r="R67" i="9"/>
  <c r="S67" i="9" s="1"/>
  <c r="R68" i="9"/>
  <c r="S68" i="9" s="1"/>
  <c r="O68" i="9" s="1"/>
  <c r="T68" i="9" s="1"/>
  <c r="R62" i="9"/>
  <c r="S62" i="9" s="1"/>
  <c r="X42" i="9"/>
  <c r="X43" i="9"/>
  <c r="X44" i="9"/>
  <c r="X45" i="9"/>
  <c r="X46" i="9"/>
  <c r="X47" i="9"/>
  <c r="X41" i="9"/>
  <c r="R42" i="9"/>
  <c r="S42" i="9" s="1"/>
  <c r="R43" i="9"/>
  <c r="S43" i="9" s="1"/>
  <c r="O43" i="9" s="1"/>
  <c r="V43" i="9" s="1"/>
  <c r="R44" i="9"/>
  <c r="S44" i="9" s="1"/>
  <c r="O44" i="9" s="1"/>
  <c r="V44" i="9" s="1"/>
  <c r="R45" i="9"/>
  <c r="R46" i="9"/>
  <c r="S46" i="9" s="1"/>
  <c r="R47" i="9"/>
  <c r="S47" i="9" s="1"/>
  <c r="R41" i="9"/>
  <c r="S41" i="9" s="1"/>
  <c r="O41" i="9" s="1"/>
  <c r="V41" i="9" s="1"/>
  <c r="X8" i="9"/>
  <c r="Y8" i="9" s="1"/>
  <c r="X9" i="9"/>
  <c r="Y9" i="9" s="1"/>
  <c r="X10" i="9"/>
  <c r="Y10" i="9" s="1"/>
  <c r="X11" i="9"/>
  <c r="Y11" i="9" s="1"/>
  <c r="X12" i="9"/>
  <c r="Y12" i="9" s="1"/>
  <c r="X13" i="9"/>
  <c r="Y13" i="9" s="1"/>
  <c r="X7" i="9"/>
  <c r="Y7" i="9" s="1"/>
  <c r="AB24" i="9"/>
  <c r="AB25" i="9"/>
  <c r="AB26" i="9"/>
  <c r="AB27" i="9"/>
  <c r="AB28" i="9"/>
  <c r="AB29" i="9"/>
  <c r="AB23" i="9"/>
  <c r="O24" i="9"/>
  <c r="Z24" i="9" s="1"/>
  <c r="O25" i="9"/>
  <c r="Z25" i="9" s="1"/>
  <c r="O26" i="9"/>
  <c r="Z26" i="9" s="1"/>
  <c r="O27" i="9"/>
  <c r="Z27" i="9" s="1"/>
  <c r="O28" i="9"/>
  <c r="Z28" i="9" s="1"/>
  <c r="O29" i="9"/>
  <c r="Z29" i="9" s="1"/>
  <c r="O23" i="9"/>
  <c r="Z23" i="9" s="1"/>
  <c r="AE8" i="9"/>
  <c r="AE9" i="9"/>
  <c r="AE10" i="9"/>
  <c r="AE11" i="9"/>
  <c r="AE12" i="9"/>
  <c r="AE13" i="9"/>
  <c r="AE7" i="9"/>
  <c r="AD8" i="9"/>
  <c r="AD9" i="9"/>
  <c r="AD10" i="9"/>
  <c r="AD11" i="9"/>
  <c r="AD12" i="9"/>
  <c r="AD13" i="9"/>
  <c r="AD7" i="9"/>
  <c r="AC8" i="9"/>
  <c r="AC9" i="9"/>
  <c r="AC10" i="9"/>
  <c r="AC11" i="9"/>
  <c r="AC12" i="9"/>
  <c r="AC13" i="9"/>
  <c r="AC7" i="9"/>
  <c r="W8" i="9"/>
  <c r="W9" i="9"/>
  <c r="W10" i="9"/>
  <c r="W11" i="9"/>
  <c r="W12" i="9"/>
  <c r="W13" i="9"/>
  <c r="W7" i="9"/>
  <c r="V8" i="9"/>
  <c r="V9" i="9"/>
  <c r="V10" i="9"/>
  <c r="V11" i="9"/>
  <c r="V12" i="9"/>
  <c r="V13" i="9"/>
  <c r="V7" i="9"/>
  <c r="R8" i="9"/>
  <c r="R9" i="9"/>
  <c r="R10" i="9"/>
  <c r="R11" i="9"/>
  <c r="R12" i="9"/>
  <c r="R13" i="9"/>
  <c r="R7" i="9"/>
  <c r="Q8" i="9"/>
  <c r="Q9" i="9"/>
  <c r="Q10" i="9"/>
  <c r="Q11" i="9"/>
  <c r="Q12" i="9"/>
  <c r="Q13" i="9"/>
  <c r="Q7" i="9"/>
  <c r="S86" i="23"/>
  <c r="S89" i="23"/>
  <c r="O89" i="23" s="1"/>
  <c r="S90" i="23"/>
  <c r="O90" i="23" s="1"/>
  <c r="S91" i="23"/>
  <c r="S92" i="23"/>
  <c r="S81" i="14"/>
  <c r="S82" i="14"/>
  <c r="S83" i="14"/>
  <c r="S84" i="14"/>
  <c r="S85" i="14"/>
  <c r="S86" i="14"/>
  <c r="S87" i="14"/>
  <c r="S88" i="14"/>
  <c r="S89" i="14"/>
  <c r="S90" i="14"/>
  <c r="S91" i="14"/>
  <c r="S80" i="14"/>
  <c r="U74" i="16"/>
  <c r="U75" i="16"/>
  <c r="U77" i="16"/>
  <c r="U78" i="16"/>
  <c r="U73" i="16"/>
  <c r="X73" i="16"/>
  <c r="X74" i="16"/>
  <c r="X75" i="16"/>
  <c r="U76" i="16"/>
  <c r="X76" i="16"/>
  <c r="X77" i="16"/>
  <c r="X78" i="16"/>
  <c r="E79" i="16"/>
  <c r="F79" i="16"/>
  <c r="G79" i="16"/>
  <c r="J79" i="16"/>
  <c r="K79" i="16"/>
  <c r="O79" i="16"/>
  <c r="V79" i="16"/>
  <c r="X90" i="16"/>
  <c r="X91" i="16"/>
  <c r="X92" i="16"/>
  <c r="X93" i="16"/>
  <c r="X94" i="16"/>
  <c r="X95" i="16"/>
  <c r="X96" i="16"/>
  <c r="X97" i="16"/>
  <c r="X98" i="16"/>
  <c r="X99" i="16"/>
  <c r="X100" i="16"/>
  <c r="X101" i="16"/>
  <c r="X89" i="16"/>
  <c r="E102" i="16"/>
  <c r="F102" i="16"/>
  <c r="G102" i="16"/>
  <c r="K102" i="16"/>
  <c r="J102" i="16"/>
  <c r="O102" i="16"/>
  <c r="S105" i="14"/>
  <c r="S106" i="14"/>
  <c r="S107" i="14"/>
  <c r="O107" i="14" s="1"/>
  <c r="S108" i="14"/>
  <c r="S109" i="14"/>
  <c r="S111" i="14"/>
  <c r="O111" i="14" s="1"/>
  <c r="S112" i="14"/>
  <c r="S113" i="14"/>
  <c r="S114" i="14"/>
  <c r="S115" i="14"/>
  <c r="O115" i="14" s="1"/>
  <c r="S116" i="14"/>
  <c r="S79" i="14"/>
  <c r="Y117" i="14"/>
  <c r="P117" i="14"/>
  <c r="L117" i="14"/>
  <c r="K117" i="14"/>
  <c r="H117" i="14"/>
  <c r="G117" i="14"/>
  <c r="F117" i="14"/>
  <c r="E117" i="14"/>
  <c r="V116" i="14"/>
  <c r="V115" i="14"/>
  <c r="V114" i="14"/>
  <c r="V113" i="14"/>
  <c r="V112" i="14"/>
  <c r="V111" i="14"/>
  <c r="V110" i="14"/>
  <c r="V109" i="14"/>
  <c r="V108" i="14"/>
  <c r="V107" i="14"/>
  <c r="V106" i="14"/>
  <c r="V105" i="14"/>
  <c r="V104" i="14"/>
  <c r="U63" i="9"/>
  <c r="U64" i="9"/>
  <c r="U65" i="9"/>
  <c r="U66" i="9"/>
  <c r="U67" i="9"/>
  <c r="U68" i="9"/>
  <c r="U62" i="9"/>
  <c r="L69" i="9"/>
  <c r="K69" i="9"/>
  <c r="H69" i="9"/>
  <c r="G69" i="9"/>
  <c r="F69" i="9"/>
  <c r="E69" i="9"/>
  <c r="Q86" i="12"/>
  <c r="R86" i="12"/>
  <c r="S86" i="12"/>
  <c r="T86" i="12"/>
  <c r="U86" i="12"/>
  <c r="AA86" i="12"/>
  <c r="Y92" i="14"/>
  <c r="R41" i="14"/>
  <c r="S41" i="14"/>
  <c r="U41" i="14"/>
  <c r="V41" i="14"/>
  <c r="X41" i="14"/>
  <c r="Z41" i="14"/>
  <c r="AA41" i="14"/>
  <c r="AB41" i="14"/>
  <c r="O92" i="23"/>
  <c r="H93" i="23"/>
  <c r="O53" i="23"/>
  <c r="O54" i="23"/>
  <c r="O57" i="23"/>
  <c r="O58" i="23"/>
  <c r="O62" i="23"/>
  <c r="O63" i="23"/>
  <c r="O66" i="23"/>
  <c r="O67" i="23"/>
  <c r="O69" i="23"/>
  <c r="O70" i="23"/>
  <c r="O52" i="23"/>
  <c r="Z52" i="23" s="1"/>
  <c r="H76" i="23"/>
  <c r="O55" i="23"/>
  <c r="O59" i="23"/>
  <c r="O65" i="23"/>
  <c r="O71" i="23"/>
  <c r="O61" i="23"/>
  <c r="O11" i="23"/>
  <c r="AE11" i="23" s="1"/>
  <c r="O13" i="23"/>
  <c r="AE13" i="23" s="1"/>
  <c r="O16" i="23"/>
  <c r="AE16" i="23" s="1"/>
  <c r="O18" i="23"/>
  <c r="AE18" i="23" s="1"/>
  <c r="O22" i="23"/>
  <c r="AE22" i="23" s="1"/>
  <c r="O23" i="23"/>
  <c r="AE23" i="23" s="1"/>
  <c r="O25" i="23"/>
  <c r="AE25" i="23" s="1"/>
  <c r="O28" i="23"/>
  <c r="AE28" i="23" s="1"/>
  <c r="O30" i="23"/>
  <c r="AE30" i="23" s="1"/>
  <c r="O34" i="23"/>
  <c r="AE34" i="23" s="1"/>
  <c r="O36" i="23"/>
  <c r="AE36" i="23" s="1"/>
  <c r="O37" i="23"/>
  <c r="AE37" i="23" s="1"/>
  <c r="O38" i="23"/>
  <c r="AE38" i="23" s="1"/>
  <c r="H48" i="9"/>
  <c r="P14" i="9"/>
  <c r="T14" i="9"/>
  <c r="W26" i="28"/>
  <c r="X26" i="28"/>
  <c r="Y26" i="28"/>
  <c r="Z26" i="28"/>
  <c r="S17" i="27"/>
  <c r="T17" i="27"/>
  <c r="U17" i="27"/>
  <c r="V17" i="27"/>
  <c r="W17" i="27"/>
  <c r="X17" i="27"/>
  <c r="Y17" i="27"/>
  <c r="Z17" i="27"/>
  <c r="AA17" i="27"/>
  <c r="AB17" i="27"/>
  <c r="AC17" i="27"/>
  <c r="AD17" i="27"/>
  <c r="O26" i="28"/>
  <c r="P26" i="28"/>
  <c r="Q26" i="28"/>
  <c r="R26" i="28"/>
  <c r="S26" i="28"/>
  <c r="T26" i="28"/>
  <c r="U26" i="28"/>
  <c r="V26" i="28"/>
  <c r="E26" i="28"/>
  <c r="F26" i="28"/>
  <c r="G26" i="28"/>
  <c r="J26" i="28"/>
  <c r="K26" i="28"/>
  <c r="AC25" i="28"/>
  <c r="AC24" i="28"/>
  <c r="X42" i="27"/>
  <c r="Q42" i="27"/>
  <c r="M42" i="27"/>
  <c r="L42" i="27"/>
  <c r="AI42" i="27" s="1"/>
  <c r="I42" i="27"/>
  <c r="H42" i="27"/>
  <c r="G42" i="27"/>
  <c r="F42" i="27"/>
  <c r="AE37" i="27"/>
  <c r="X30" i="27"/>
  <c r="Q30" i="27"/>
  <c r="M30" i="27"/>
  <c r="L30" i="27"/>
  <c r="I30" i="27"/>
  <c r="H30" i="27"/>
  <c r="G30" i="27"/>
  <c r="F30" i="27"/>
  <c r="AE29" i="27"/>
  <c r="AE28" i="27"/>
  <c r="AE27" i="27"/>
  <c r="AE26" i="27"/>
  <c r="AE25" i="27"/>
  <c r="T76" i="23"/>
  <c r="U76" i="23"/>
  <c r="V76" i="23"/>
  <c r="W76" i="23"/>
  <c r="L76" i="23"/>
  <c r="P76" i="23"/>
  <c r="R76" i="23"/>
  <c r="S76" i="23"/>
  <c r="K76" i="23"/>
  <c r="V67" i="19"/>
  <c r="U67" i="19"/>
  <c r="S67" i="19"/>
  <c r="Q67" i="19"/>
  <c r="M67" i="19"/>
  <c r="L67" i="19"/>
  <c r="I67" i="19"/>
  <c r="H67" i="19"/>
  <c r="G67" i="19"/>
  <c r="F67" i="19"/>
  <c r="AE66" i="19"/>
  <c r="AE65" i="19"/>
  <c r="AE64" i="19"/>
  <c r="AE63" i="19"/>
  <c r="AE62" i="19"/>
  <c r="AE61" i="19"/>
  <c r="AE60" i="19"/>
  <c r="AE59" i="19"/>
  <c r="AE58" i="19"/>
  <c r="AE57" i="19"/>
  <c r="AE56" i="19"/>
  <c r="AE55" i="19"/>
  <c r="AE54" i="19"/>
  <c r="AE53" i="19"/>
  <c r="AE52" i="19"/>
  <c r="AE51" i="19"/>
  <c r="AE50" i="19"/>
  <c r="AE49" i="19"/>
  <c r="AE48" i="19"/>
  <c r="AE47" i="19"/>
  <c r="AE46" i="19"/>
  <c r="Q119" i="27"/>
  <c r="M119" i="27"/>
  <c r="L119" i="27"/>
  <c r="I119" i="27"/>
  <c r="H119" i="27"/>
  <c r="G119" i="27"/>
  <c r="X118" i="27"/>
  <c r="U118" i="27"/>
  <c r="V118" i="27" s="1"/>
  <c r="X117" i="27"/>
  <c r="U117" i="27"/>
  <c r="X116" i="27"/>
  <c r="U116" i="27"/>
  <c r="V116" i="27" s="1"/>
  <c r="X115" i="27"/>
  <c r="U115" i="27"/>
  <c r="X114" i="27"/>
  <c r="U114" i="27"/>
  <c r="V114" i="27" s="1"/>
  <c r="Q111" i="27"/>
  <c r="M111" i="27"/>
  <c r="L111" i="27"/>
  <c r="I111" i="27"/>
  <c r="H111" i="27"/>
  <c r="R111" i="27" s="1"/>
  <c r="G111" i="27"/>
  <c r="X110" i="27"/>
  <c r="T110" i="27"/>
  <c r="S110" i="27"/>
  <c r="R110" i="27"/>
  <c r="X109" i="27"/>
  <c r="T109" i="27"/>
  <c r="S109" i="27"/>
  <c r="R109" i="27"/>
  <c r="X108" i="27"/>
  <c r="T108" i="27"/>
  <c r="S108" i="27"/>
  <c r="R108" i="27"/>
  <c r="X107" i="27"/>
  <c r="U107" i="27"/>
  <c r="V107" i="27" s="1"/>
  <c r="T107" i="27"/>
  <c r="S107" i="27"/>
  <c r="R107" i="27"/>
  <c r="X106" i="27"/>
  <c r="U106" i="27"/>
  <c r="V106" i="27" s="1"/>
  <c r="T106" i="27"/>
  <c r="S106" i="27"/>
  <c r="R106" i="27"/>
  <c r="X105" i="27"/>
  <c r="U105" i="27"/>
  <c r="V105" i="27" s="1"/>
  <c r="T105" i="27"/>
  <c r="S105" i="27"/>
  <c r="R105" i="27"/>
  <c r="X104" i="27"/>
  <c r="U104" i="27"/>
  <c r="V104" i="27" s="1"/>
  <c r="T104" i="27"/>
  <c r="S104" i="27"/>
  <c r="R104" i="27"/>
  <c r="X103" i="27"/>
  <c r="U103" i="27"/>
  <c r="V103" i="27" s="1"/>
  <c r="T103" i="27"/>
  <c r="S103" i="27"/>
  <c r="R103" i="27"/>
  <c r="X102" i="27"/>
  <c r="U102" i="27"/>
  <c r="V102" i="27" s="1"/>
  <c r="T102" i="27"/>
  <c r="S102" i="27"/>
  <c r="R102" i="27"/>
  <c r="X101" i="27"/>
  <c r="U101" i="27"/>
  <c r="V101" i="27" s="1"/>
  <c r="T101" i="27"/>
  <c r="S101" i="27"/>
  <c r="R101" i="27"/>
  <c r="X100" i="27"/>
  <c r="U100" i="27"/>
  <c r="V100" i="27" s="1"/>
  <c r="T100" i="27"/>
  <c r="S100" i="27"/>
  <c r="R100" i="27"/>
  <c r="X99" i="27"/>
  <c r="U99" i="27"/>
  <c r="V99" i="27" s="1"/>
  <c r="T99" i="27"/>
  <c r="S99" i="27"/>
  <c r="R99" i="27"/>
  <c r="X98" i="27"/>
  <c r="U98" i="27"/>
  <c r="V98" i="27" s="1"/>
  <c r="T98" i="27"/>
  <c r="S98" i="27"/>
  <c r="R98" i="27"/>
  <c r="X97" i="27"/>
  <c r="U97" i="27"/>
  <c r="V97" i="27" s="1"/>
  <c r="T97" i="27"/>
  <c r="S97" i="27"/>
  <c r="R97" i="27"/>
  <c r="X96" i="27"/>
  <c r="U96" i="27"/>
  <c r="V96" i="27" s="1"/>
  <c r="T96" i="27"/>
  <c r="S96" i="27"/>
  <c r="R96" i="27"/>
  <c r="X95" i="27"/>
  <c r="U95" i="27"/>
  <c r="V95" i="27" s="1"/>
  <c r="T95" i="27"/>
  <c r="S95" i="27"/>
  <c r="R95" i="27"/>
  <c r="X94" i="27"/>
  <c r="U94" i="27"/>
  <c r="V94" i="27" s="1"/>
  <c r="T94" i="27"/>
  <c r="S94" i="27"/>
  <c r="R94" i="27"/>
  <c r="X93" i="27"/>
  <c r="U93" i="27"/>
  <c r="V93" i="27" s="1"/>
  <c r="T93" i="27"/>
  <c r="S93" i="27"/>
  <c r="R93" i="27"/>
  <c r="X92" i="27"/>
  <c r="U92" i="27"/>
  <c r="V92" i="27" s="1"/>
  <c r="T92" i="27"/>
  <c r="S92" i="27"/>
  <c r="R92" i="27"/>
  <c r="P84" i="27"/>
  <c r="M84" i="27"/>
  <c r="L84" i="27"/>
  <c r="H84" i="27"/>
  <c r="G84" i="27"/>
  <c r="F84" i="27"/>
  <c r="V83" i="27"/>
  <c r="P83" i="27"/>
  <c r="U83" i="27" s="1"/>
  <c r="V82" i="27"/>
  <c r="P82" i="27"/>
  <c r="U82" i="27" s="1"/>
  <c r="Q81" i="27"/>
  <c r="M81" i="27"/>
  <c r="L81" i="27"/>
  <c r="H81" i="27"/>
  <c r="G81" i="27"/>
  <c r="F81" i="27"/>
  <c r="V80" i="27"/>
  <c r="P80" i="27"/>
  <c r="W80" i="27" s="1"/>
  <c r="V79" i="27"/>
  <c r="P79" i="27"/>
  <c r="W79" i="27" s="1"/>
  <c r="W76" i="27"/>
  <c r="V76" i="27"/>
  <c r="U76" i="27"/>
  <c r="T74" i="27"/>
  <c r="Q74" i="27"/>
  <c r="M74" i="27"/>
  <c r="L74" i="27"/>
  <c r="I74" i="27"/>
  <c r="H74" i="27"/>
  <c r="G74" i="27"/>
  <c r="F74" i="27"/>
  <c r="V73" i="27"/>
  <c r="P73" i="27"/>
  <c r="U73" i="27" s="1"/>
  <c r="V72" i="27"/>
  <c r="P72" i="27"/>
  <c r="U72" i="27" s="1"/>
  <c r="V71" i="27"/>
  <c r="P71" i="27"/>
  <c r="U71" i="27" s="1"/>
  <c r="V70" i="27"/>
  <c r="P70" i="27"/>
  <c r="U70" i="27" s="1"/>
  <c r="V69" i="27"/>
  <c r="P69" i="27"/>
  <c r="U69" i="27" s="1"/>
  <c r="V68" i="27"/>
  <c r="P68" i="27"/>
  <c r="U68" i="27" s="1"/>
  <c r="V67" i="27"/>
  <c r="P67" i="27"/>
  <c r="U67" i="27" s="1"/>
  <c r="V66" i="27"/>
  <c r="P66" i="27"/>
  <c r="Q17" i="27"/>
  <c r="I17" i="27"/>
  <c r="H17" i="27"/>
  <c r="G17" i="27"/>
  <c r="F17" i="27"/>
  <c r="K32" i="25"/>
  <c r="K33" i="25"/>
  <c r="K31" i="25"/>
  <c r="Q7" i="25"/>
  <c r="Q8" i="25"/>
  <c r="Q9" i="25"/>
  <c r="R9" i="25" s="1"/>
  <c r="Q10" i="25"/>
  <c r="Q6" i="25"/>
  <c r="H7" i="25"/>
  <c r="H8" i="25"/>
  <c r="H9" i="25"/>
  <c r="H10" i="25"/>
  <c r="H6" i="25"/>
  <c r="Z13" i="26"/>
  <c r="AA23" i="26"/>
  <c r="Z23" i="26"/>
  <c r="Y23" i="26"/>
  <c r="Q5" i="26"/>
  <c r="G5" i="26" s="1"/>
  <c r="F25" i="26"/>
  <c r="E25" i="26"/>
  <c r="D5" i="26"/>
  <c r="D23" i="26"/>
  <c r="G13" i="26"/>
  <c r="Y13" i="26" s="1"/>
  <c r="D13" i="26"/>
  <c r="Z5" i="26"/>
  <c r="V7" i="25"/>
  <c r="V8" i="25"/>
  <c r="V9" i="25"/>
  <c r="V10" i="25"/>
  <c r="V6" i="25"/>
  <c r="M32" i="25"/>
  <c r="M33" i="25"/>
  <c r="M34" i="25"/>
  <c r="M35" i="25"/>
  <c r="M31" i="25"/>
  <c r="J32" i="25"/>
  <c r="J33" i="25"/>
  <c r="J34" i="25"/>
  <c r="K34" i="25" s="1"/>
  <c r="J35" i="25"/>
  <c r="K35" i="25" s="1"/>
  <c r="J31" i="25"/>
  <c r="I32" i="25"/>
  <c r="G32" i="25" s="1"/>
  <c r="I33" i="25"/>
  <c r="G33" i="25" s="1"/>
  <c r="I34" i="25"/>
  <c r="G34" i="25" s="1"/>
  <c r="I35" i="25"/>
  <c r="G35" i="25" s="1"/>
  <c r="I31" i="25"/>
  <c r="G31" i="25" s="1"/>
  <c r="L11" i="25"/>
  <c r="AA7" i="25"/>
  <c r="AA8" i="25"/>
  <c r="AA9" i="25"/>
  <c r="AA10" i="25"/>
  <c r="AA6" i="25"/>
  <c r="U7" i="25"/>
  <c r="U8" i="25"/>
  <c r="U9" i="25"/>
  <c r="U10" i="25"/>
  <c r="U6" i="25"/>
  <c r="T7" i="25"/>
  <c r="T8" i="25"/>
  <c r="T9" i="25"/>
  <c r="T10" i="25"/>
  <c r="T6" i="25"/>
  <c r="P11" i="25"/>
  <c r="O36" i="25"/>
  <c r="R7" i="25"/>
  <c r="R8" i="25"/>
  <c r="I11" i="25"/>
  <c r="N7" i="25"/>
  <c r="N8" i="25"/>
  <c r="N9" i="25"/>
  <c r="N10" i="25"/>
  <c r="N6" i="25"/>
  <c r="J7" i="25"/>
  <c r="J8" i="25"/>
  <c r="J9" i="25"/>
  <c r="J10" i="25"/>
  <c r="J6" i="25"/>
  <c r="M7" i="25"/>
  <c r="M8" i="25"/>
  <c r="M9" i="25"/>
  <c r="M10" i="25"/>
  <c r="M6" i="25"/>
  <c r="E36" i="25"/>
  <c r="F36" i="25"/>
  <c r="E24" i="25"/>
  <c r="F24" i="25"/>
  <c r="E11" i="25"/>
  <c r="F11" i="25"/>
  <c r="F37" i="25" s="1"/>
  <c r="B36" i="25"/>
  <c r="I36" i="25" s="1"/>
  <c r="D35" i="25"/>
  <c r="D34" i="25"/>
  <c r="D33" i="25"/>
  <c r="D32" i="25"/>
  <c r="D31" i="25"/>
  <c r="B24" i="25"/>
  <c r="D23" i="25"/>
  <c r="D22" i="25"/>
  <c r="D21" i="25"/>
  <c r="D20" i="25"/>
  <c r="D19" i="25"/>
  <c r="B11" i="25"/>
  <c r="D7" i="25"/>
  <c r="D8" i="25"/>
  <c r="D9" i="25"/>
  <c r="D10" i="25"/>
  <c r="D6" i="25"/>
  <c r="AB14" i="9"/>
  <c r="AA14" i="9"/>
  <c r="Z14" i="9"/>
  <c r="U14" i="9"/>
  <c r="S14" i="9"/>
  <c r="U86" i="23"/>
  <c r="X93" i="23"/>
  <c r="P93" i="23"/>
  <c r="Y52" i="23"/>
  <c r="O56" i="23"/>
  <c r="O60" i="23"/>
  <c r="O64" i="23"/>
  <c r="O68" i="23"/>
  <c r="O40" i="23"/>
  <c r="AE40" i="23" s="1"/>
  <c r="O19" i="23"/>
  <c r="AE19" i="23" s="1"/>
  <c r="O21" i="23"/>
  <c r="AE21" i="23" s="1"/>
  <c r="O29" i="23"/>
  <c r="AE29" i="23" s="1"/>
  <c r="O33" i="23"/>
  <c r="AE33" i="23" s="1"/>
  <c r="Y41" i="23"/>
  <c r="V41" i="23"/>
  <c r="T41" i="23"/>
  <c r="R41" i="23"/>
  <c r="S41" i="23"/>
  <c r="F149" i="24"/>
  <c r="I148" i="24"/>
  <c r="C148" i="24"/>
  <c r="K148" i="24" s="1"/>
  <c r="N140" i="24"/>
  <c r="M140" i="24"/>
  <c r="L140" i="24"/>
  <c r="K140" i="24"/>
  <c r="J140" i="24"/>
  <c r="I140" i="24"/>
  <c r="H140" i="24"/>
  <c r="G140" i="24"/>
  <c r="F140" i="24"/>
  <c r="E140" i="24"/>
  <c r="D140" i="24"/>
  <c r="C140" i="24"/>
  <c r="O140" i="24" s="1"/>
  <c r="O139" i="24"/>
  <c r="O138" i="24"/>
  <c r="O137" i="24"/>
  <c r="O136" i="24"/>
  <c r="O135" i="24"/>
  <c r="O134" i="24"/>
  <c r="O133" i="24"/>
  <c r="O132" i="24"/>
  <c r="O131" i="24"/>
  <c r="O130" i="24"/>
  <c r="O129" i="24"/>
  <c r="O128" i="24"/>
  <c r="I123" i="24"/>
  <c r="F123" i="24"/>
  <c r="K123" i="24" s="1"/>
  <c r="C123" i="24"/>
  <c r="N117" i="24"/>
  <c r="M117" i="24"/>
  <c r="L117" i="24"/>
  <c r="K117" i="24"/>
  <c r="J117" i="24"/>
  <c r="I117" i="24"/>
  <c r="H117" i="24"/>
  <c r="G117" i="24"/>
  <c r="F117" i="24"/>
  <c r="E117" i="24"/>
  <c r="D117" i="24"/>
  <c r="C117" i="24"/>
  <c r="O116" i="24"/>
  <c r="O115" i="24"/>
  <c r="O114" i="24"/>
  <c r="O113" i="24"/>
  <c r="O112" i="24"/>
  <c r="O111" i="24"/>
  <c r="O110" i="24"/>
  <c r="O109" i="24"/>
  <c r="O108" i="24"/>
  <c r="I104" i="24"/>
  <c r="F104" i="24"/>
  <c r="C103" i="24"/>
  <c r="I98" i="24"/>
  <c r="N93" i="24"/>
  <c r="M93" i="24"/>
  <c r="L93" i="24"/>
  <c r="K93" i="24"/>
  <c r="J93" i="24"/>
  <c r="I93" i="24"/>
  <c r="H93" i="24"/>
  <c r="G93" i="24"/>
  <c r="F93" i="24"/>
  <c r="E93" i="24"/>
  <c r="D93" i="24"/>
  <c r="C93" i="24"/>
  <c r="O92" i="24"/>
  <c r="O91" i="24"/>
  <c r="O90" i="24"/>
  <c r="O89" i="24"/>
  <c r="O88" i="24"/>
  <c r="O87" i="24"/>
  <c r="O86" i="24"/>
  <c r="O85" i="24"/>
  <c r="O84" i="24"/>
  <c r="O83" i="24"/>
  <c r="O82" i="24"/>
  <c r="O81" i="24"/>
  <c r="O80" i="24"/>
  <c r="O79" i="24"/>
  <c r="O77" i="24"/>
  <c r="O76" i="24"/>
  <c r="O75" i="24"/>
  <c r="K70" i="24" s="1"/>
  <c r="I70" i="24"/>
  <c r="F70" i="24"/>
  <c r="C70" i="24"/>
  <c r="N60" i="24"/>
  <c r="M60" i="24"/>
  <c r="L60" i="24"/>
  <c r="K60" i="24"/>
  <c r="J60" i="24"/>
  <c r="I60" i="24"/>
  <c r="H60" i="24"/>
  <c r="G60" i="24"/>
  <c r="F60" i="24"/>
  <c r="E60" i="24"/>
  <c r="D60" i="24"/>
  <c r="C60" i="24"/>
  <c r="O60" i="24" s="1"/>
  <c r="O59" i="24"/>
  <c r="O58" i="24"/>
  <c r="O57" i="24"/>
  <c r="O56" i="24"/>
  <c r="O55" i="24"/>
  <c r="O54" i="24"/>
  <c r="O53" i="24"/>
  <c r="O52" i="24"/>
  <c r="U51" i="24"/>
  <c r="O51" i="24"/>
  <c r="O50" i="24"/>
  <c r="O49" i="24"/>
  <c r="O48" i="24"/>
  <c r="U47" i="24"/>
  <c r="O47" i="24"/>
  <c r="O46" i="24"/>
  <c r="O45" i="24"/>
  <c r="O44" i="24"/>
  <c r="U43" i="24"/>
  <c r="U39" i="24"/>
  <c r="C39" i="24"/>
  <c r="U35" i="24"/>
  <c r="U31" i="24"/>
  <c r="U53" i="24" s="1"/>
  <c r="C31" i="24"/>
  <c r="U24" i="24"/>
  <c r="C22" i="24"/>
  <c r="G21" i="24"/>
  <c r="J18" i="24"/>
  <c r="T15" i="24"/>
  <c r="S15" i="24"/>
  <c r="R15" i="24"/>
  <c r="Q15" i="24"/>
  <c r="P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O15" i="24" s="1"/>
  <c r="O14" i="24"/>
  <c r="O13" i="24"/>
  <c r="O12" i="24"/>
  <c r="O11" i="24"/>
  <c r="O10" i="24"/>
  <c r="O9" i="24"/>
  <c r="O8" i="24"/>
  <c r="O7" i="24"/>
  <c r="O6" i="24"/>
  <c r="O5" i="24"/>
  <c r="O4" i="24"/>
  <c r="O3" i="24"/>
  <c r="L93" i="23"/>
  <c r="U93" i="23" s="1"/>
  <c r="K93" i="23"/>
  <c r="P41" i="23"/>
  <c r="L41" i="23"/>
  <c r="K41" i="23"/>
  <c r="H41" i="23"/>
  <c r="G41" i="23"/>
  <c r="F41" i="23"/>
  <c r="G36" i="25" l="1"/>
  <c r="Y82" i="35"/>
  <c r="AA82" i="35"/>
  <c r="K36" i="25"/>
  <c r="Y79" i="30"/>
  <c r="O86" i="30"/>
  <c r="Y86" i="30" s="1"/>
  <c r="AI30" i="27"/>
  <c r="T90" i="23"/>
  <c r="V90" i="23"/>
  <c r="AI33" i="19"/>
  <c r="W16" i="28"/>
  <c r="AA18" i="30"/>
  <c r="AD18" i="30"/>
  <c r="U87" i="33"/>
  <c r="AC10" i="33"/>
  <c r="AF10" i="33"/>
  <c r="AC19" i="33"/>
  <c r="AF19" i="33"/>
  <c r="Y83" i="35"/>
  <c r="AA83" i="35"/>
  <c r="AG31" i="35"/>
  <c r="AJ31" i="35"/>
  <c r="AG26" i="35"/>
  <c r="AJ26" i="35"/>
  <c r="Y94" i="35"/>
  <c r="AA94" i="35"/>
  <c r="AD13" i="36"/>
  <c r="AG13" i="36"/>
  <c r="T58" i="37"/>
  <c r="AC9" i="37"/>
  <c r="AF9" i="37"/>
  <c r="AC20" i="37"/>
  <c r="AF20" i="37"/>
  <c r="AC13" i="37"/>
  <c r="AF13" i="37"/>
  <c r="R62" i="37"/>
  <c r="AE27" i="38"/>
  <c r="AB27" i="38"/>
  <c r="T91" i="38"/>
  <c r="T93" i="38" s="1"/>
  <c r="V91" i="38"/>
  <c r="AB24" i="38"/>
  <c r="AE24" i="38"/>
  <c r="Y63" i="57"/>
  <c r="AF12" i="62"/>
  <c r="AF16" i="62" s="1"/>
  <c r="W12" i="54"/>
  <c r="AB17" i="38"/>
  <c r="BG9" i="45"/>
  <c r="BE9" i="45"/>
  <c r="BB16" i="46"/>
  <c r="AZ16" i="46"/>
  <c r="BD13" i="40"/>
  <c r="BB13" i="40"/>
  <c r="AA33" i="34"/>
  <c r="AB37" i="38"/>
  <c r="AB14" i="38"/>
  <c r="AA34" i="34"/>
  <c r="T87" i="30"/>
  <c r="AB20" i="38"/>
  <c r="AA11" i="34"/>
  <c r="AB26" i="38"/>
  <c r="AA35" i="34"/>
  <c r="AA18" i="34"/>
  <c r="AB33" i="45"/>
  <c r="BG33" i="45" s="1"/>
  <c r="AB10" i="38"/>
  <c r="AA38" i="34"/>
  <c r="AA22" i="34"/>
  <c r="AA12" i="34"/>
  <c r="N13" i="28"/>
  <c r="W15" i="28"/>
  <c r="AA9" i="34"/>
  <c r="AA11" i="12"/>
  <c r="AA27" i="12"/>
  <c r="AA20" i="12"/>
  <c r="AA14" i="12"/>
  <c r="AA18" i="12"/>
  <c r="V89" i="23"/>
  <c r="T89" i="23"/>
  <c r="T28" i="32"/>
  <c r="AC24" i="33"/>
  <c r="AF24" i="33"/>
  <c r="AC16" i="33"/>
  <c r="AF16" i="33"/>
  <c r="Y75" i="34"/>
  <c r="Z75" i="34"/>
  <c r="Y79" i="35"/>
  <c r="AA79" i="35"/>
  <c r="AG29" i="35"/>
  <c r="AJ29" i="35"/>
  <c r="N35" i="35"/>
  <c r="AG28" i="35"/>
  <c r="AJ28" i="35"/>
  <c r="Y81" i="35"/>
  <c r="AA81" i="35"/>
  <c r="Y90" i="35"/>
  <c r="AA90" i="35"/>
  <c r="AB32" i="38"/>
  <c r="AE32" i="38"/>
  <c r="T86" i="38"/>
  <c r="V86" i="38"/>
  <c r="AE23" i="38"/>
  <c r="AB23" i="38"/>
  <c r="AZ40" i="49"/>
  <c r="AW40" i="49"/>
  <c r="AW41" i="49" s="1"/>
  <c r="AV27" i="54"/>
  <c r="AT27" i="54"/>
  <c r="BG17" i="45"/>
  <c r="BE17" i="45"/>
  <c r="AY14" i="48"/>
  <c r="AW14" i="48"/>
  <c r="BC42" i="49"/>
  <c r="BC38" i="49"/>
  <c r="AB30" i="38"/>
  <c r="AA32" i="34"/>
  <c r="AB18" i="38"/>
  <c r="AA30" i="34"/>
  <c r="AA31" i="34"/>
  <c r="AA36" i="34"/>
  <c r="AA19" i="34"/>
  <c r="N15" i="28"/>
  <c r="T68" i="30"/>
  <c r="V68" i="30"/>
  <c r="W79" i="34"/>
  <c r="Y79" i="34"/>
  <c r="Z79" i="34"/>
  <c r="AA6" i="34"/>
  <c r="AD6" i="34"/>
  <c r="Y74" i="34"/>
  <c r="Z74" i="34"/>
  <c r="Y91" i="35"/>
  <c r="AA91" i="35"/>
  <c r="AG15" i="35"/>
  <c r="AJ15" i="35"/>
  <c r="AG21" i="35"/>
  <c r="AJ21" i="35"/>
  <c r="AG13" i="35"/>
  <c r="AJ13" i="35"/>
  <c r="Y89" i="35"/>
  <c r="AA89" i="35"/>
  <c r="X95" i="35"/>
  <c r="AE31" i="38"/>
  <c r="AB31" i="38"/>
  <c r="AE39" i="38"/>
  <c r="AB39" i="38"/>
  <c r="R94" i="38"/>
  <c r="T92" i="38"/>
  <c r="V92" i="38"/>
  <c r="AB16" i="38"/>
  <c r="AE16" i="38"/>
  <c r="AE35" i="38"/>
  <c r="AB35" i="38"/>
  <c r="V17" i="48"/>
  <c r="AY17" i="48" s="1"/>
  <c r="BG23" i="45"/>
  <c r="BE23" i="45"/>
  <c r="AY10" i="48"/>
  <c r="AW10" i="48"/>
  <c r="AW17" i="48" s="1"/>
  <c r="AZ37" i="49"/>
  <c r="AW37" i="49"/>
  <c r="AW38" i="49" s="1"/>
  <c r="AY12" i="48"/>
  <c r="AW12" i="48"/>
  <c r="AB36" i="38"/>
  <c r="AE36" i="38"/>
  <c r="AB29" i="38"/>
  <c r="AA27" i="34"/>
  <c r="Y80" i="35"/>
  <c r="AA80" i="35"/>
  <c r="AA23" i="34"/>
  <c r="AB34" i="38"/>
  <c r="AA28" i="34"/>
  <c r="AB25" i="38"/>
  <c r="AA16" i="34"/>
  <c r="AA7" i="34"/>
  <c r="AA37" i="34"/>
  <c r="AD41" i="27"/>
  <c r="AG41" i="27"/>
  <c r="AA7" i="12"/>
  <c r="AA12" i="12"/>
  <c r="AA28" i="12"/>
  <c r="AA30" i="12"/>
  <c r="O93" i="24"/>
  <c r="E37" i="25"/>
  <c r="AE42" i="27"/>
  <c r="V92" i="23"/>
  <c r="T92" i="23"/>
  <c r="AE12" i="28"/>
  <c r="N16" i="28"/>
  <c r="O117" i="24"/>
  <c r="AA18" i="27"/>
  <c r="AD21" i="12"/>
  <c r="AA21" i="12"/>
  <c r="AK14" i="9"/>
  <c r="S48" i="29"/>
  <c r="R49" i="29" s="1"/>
  <c r="AK14" i="29"/>
  <c r="AA32" i="30"/>
  <c r="U88" i="33"/>
  <c r="U82" i="33"/>
  <c r="Y87" i="35"/>
  <c r="AA87" i="35"/>
  <c r="Y86" i="35"/>
  <c r="AA86" i="35"/>
  <c r="Y78" i="35"/>
  <c r="AA78" i="35"/>
  <c r="AD9" i="36"/>
  <c r="AG9" i="36"/>
  <c r="P37" i="36"/>
  <c r="AG37" i="36" s="1"/>
  <c r="O57" i="37"/>
  <c r="O93" i="38"/>
  <c r="V93" i="38" s="1"/>
  <c r="AE19" i="38"/>
  <c r="AB19" i="38"/>
  <c r="AB28" i="38"/>
  <c r="AE28" i="38"/>
  <c r="AE11" i="38"/>
  <c r="AB11" i="38"/>
  <c r="BB41" i="43"/>
  <c r="AZ41" i="44"/>
  <c r="AZ36" i="49"/>
  <c r="V41" i="49"/>
  <c r="AZ41" i="49" s="1"/>
  <c r="Z63" i="57"/>
  <c r="BG19" i="45"/>
  <c r="BE19" i="45"/>
  <c r="AJ21" i="46"/>
  <c r="Y7" i="46"/>
  <c r="AB40" i="38"/>
  <c r="BB20" i="46"/>
  <c r="AZ20" i="46"/>
  <c r="BG15" i="45"/>
  <c r="BE15" i="45"/>
  <c r="BE33" i="45" s="1"/>
  <c r="BD27" i="40"/>
  <c r="BB27" i="40"/>
  <c r="BB17" i="46"/>
  <c r="AZ17" i="46"/>
  <c r="AY15" i="48"/>
  <c r="AW15" i="48"/>
  <c r="AA17" i="34"/>
  <c r="AB38" i="38"/>
  <c r="AB21" i="38"/>
  <c r="AA20" i="34"/>
  <c r="BA41" i="43"/>
  <c r="Y88" i="35"/>
  <c r="AA88" i="35"/>
  <c r="AA39" i="34"/>
  <c r="AA15" i="34"/>
  <c r="AY41" i="44"/>
  <c r="AB33" i="38"/>
  <c r="W73" i="34"/>
  <c r="Z73" i="34"/>
  <c r="AA26" i="34"/>
  <c r="AB22" i="38"/>
  <c r="AA40" i="34"/>
  <c r="AA24" i="34"/>
  <c r="AA14" i="34"/>
  <c r="AB15" i="38"/>
  <c r="AF34" i="12"/>
  <c r="AA13" i="34"/>
  <c r="AA29" i="34"/>
  <c r="AB14" i="28"/>
  <c r="AA16" i="12"/>
  <c r="AA32" i="12"/>
  <c r="AD29" i="12"/>
  <c r="AA29" i="12"/>
  <c r="AA10" i="12"/>
  <c r="BJ13" i="57"/>
  <c r="BK39" i="57"/>
  <c r="BG40" i="58"/>
  <c r="AG16" i="62"/>
  <c r="AC16" i="62"/>
  <c r="AI16" i="62"/>
  <c r="AR15" i="61"/>
  <c r="AT15" i="61"/>
  <c r="AT24" i="61"/>
  <c r="AR24" i="61"/>
  <c r="X9" i="59"/>
  <c r="AY9" i="59" s="1"/>
  <c r="BH38" i="58"/>
  <c r="BF38" i="58"/>
  <c r="BH19" i="58"/>
  <c r="BF19" i="58"/>
  <c r="BH15" i="58"/>
  <c r="BF15" i="58"/>
  <c r="BH15" i="57"/>
  <c r="BH10" i="57"/>
  <c r="BJ22" i="57"/>
  <c r="BH22" i="57"/>
  <c r="BJ11" i="57"/>
  <c r="BH11" i="57"/>
  <c r="BJ12" i="57"/>
  <c r="BH12" i="57"/>
  <c r="BJ8" i="57"/>
  <c r="AK39" i="57"/>
  <c r="BJ39" i="57" s="1"/>
  <c r="BH8" i="57"/>
  <c r="BJ17" i="57"/>
  <c r="BH17" i="57"/>
  <c r="BJ14" i="57"/>
  <c r="BH14" i="57"/>
  <c r="BJ23" i="57"/>
  <c r="BH23" i="57"/>
  <c r="AN41" i="61"/>
  <c r="AH21" i="60"/>
  <c r="AJ40" i="58"/>
  <c r="AP17" i="56"/>
  <c r="S27" i="55"/>
  <c r="AK27" i="55" s="1"/>
  <c r="AI27" i="55"/>
  <c r="AZ38" i="49"/>
  <c r="AZ42" i="49" s="1"/>
  <c r="AW12" i="49"/>
  <c r="AW16" i="49" s="1"/>
  <c r="U27" i="42"/>
  <c r="AI43" i="43"/>
  <c r="BC34" i="40"/>
  <c r="BE34" i="40"/>
  <c r="BL9" i="39"/>
  <c r="BJ9" i="39"/>
  <c r="BL12" i="39"/>
  <c r="BJ12" i="39"/>
  <c r="AZ26" i="47"/>
  <c r="BB15" i="47"/>
  <c r="Y41" i="47"/>
  <c r="AZ15" i="47"/>
  <c r="BB25" i="47"/>
  <c r="AZ25" i="47"/>
  <c r="BB24" i="47"/>
  <c r="AZ24" i="47"/>
  <c r="BB21" i="47"/>
  <c r="AZ21" i="47"/>
  <c r="BB22" i="47"/>
  <c r="AZ22" i="47"/>
  <c r="BB23" i="47"/>
  <c r="AZ23" i="47"/>
  <c r="AZ41" i="47"/>
  <c r="BL11" i="39"/>
  <c r="BL8" i="39"/>
  <c r="BL13" i="39"/>
  <c r="Y7" i="39"/>
  <c r="AS15" i="39"/>
  <c r="V15" i="49"/>
  <c r="Y41" i="43"/>
  <c r="BC41" i="43" s="1"/>
  <c r="W42" i="38"/>
  <c r="AB9" i="38"/>
  <c r="AG41" i="38"/>
  <c r="O41" i="38"/>
  <c r="AE41" i="38" s="1"/>
  <c r="X76" i="38"/>
  <c r="AC11" i="37"/>
  <c r="AA21" i="37"/>
  <c r="Z22" i="37" s="1"/>
  <c r="AC16" i="37"/>
  <c r="AC12" i="37"/>
  <c r="AC17" i="37"/>
  <c r="AC15" i="37"/>
  <c r="AC18" i="37"/>
  <c r="AC19" i="37"/>
  <c r="AC14" i="37"/>
  <c r="AC10" i="37"/>
  <c r="AH21" i="37"/>
  <c r="O21" i="37"/>
  <c r="AF21" i="37" s="1"/>
  <c r="AC7" i="37"/>
  <c r="T31" i="37"/>
  <c r="T45" i="37" s="1"/>
  <c r="O45" i="37"/>
  <c r="V45" i="37" s="1"/>
  <c r="T57" i="37"/>
  <c r="T61" i="37" s="1"/>
  <c r="AD11" i="36"/>
  <c r="AD12" i="36"/>
  <c r="AD10" i="36"/>
  <c r="AI17" i="36"/>
  <c r="AD15" i="36"/>
  <c r="AG41" i="36"/>
  <c r="AD41" i="36"/>
  <c r="AD39" i="36"/>
  <c r="AG39" i="36"/>
  <c r="P119" i="36"/>
  <c r="W114" i="36"/>
  <c r="W119" i="36" s="1"/>
  <c r="AA43" i="36"/>
  <c r="W92" i="36"/>
  <c r="W111" i="36" s="1"/>
  <c r="P111" i="36"/>
  <c r="P17" i="36"/>
  <c r="AG17" i="36" s="1"/>
  <c r="V119" i="36"/>
  <c r="AD14" i="36"/>
  <c r="W96" i="35"/>
  <c r="AG30" i="35"/>
  <c r="AG19" i="35"/>
  <c r="AG14" i="35"/>
  <c r="AG12" i="35"/>
  <c r="AG27" i="35"/>
  <c r="AG17" i="35"/>
  <c r="AG22" i="35"/>
  <c r="AG16" i="35"/>
  <c r="AG11" i="35"/>
  <c r="AG20" i="35"/>
  <c r="AL33" i="35"/>
  <c r="AG24" i="35"/>
  <c r="AG23" i="35"/>
  <c r="AG18" i="35"/>
  <c r="AG10" i="35"/>
  <c r="P33" i="35"/>
  <c r="AJ33" i="35" s="1"/>
  <c r="AG9" i="35"/>
  <c r="Y76" i="35"/>
  <c r="P95" i="35"/>
  <c r="AA95" i="35" s="1"/>
  <c r="AD34" i="35"/>
  <c r="N102" i="34"/>
  <c r="W102" i="34" s="1"/>
  <c r="W89" i="34"/>
  <c r="W74" i="34"/>
  <c r="W75" i="34"/>
  <c r="V42" i="34"/>
  <c r="AF41" i="34"/>
  <c r="N41" i="34"/>
  <c r="AD41" i="34" s="1"/>
  <c r="T64" i="34"/>
  <c r="R118" i="33"/>
  <c r="U84" i="33"/>
  <c r="U81" i="33"/>
  <c r="U91" i="33"/>
  <c r="W91" i="33"/>
  <c r="U90" i="33"/>
  <c r="U80" i="33"/>
  <c r="U89" i="33"/>
  <c r="U85" i="33"/>
  <c r="R93" i="33"/>
  <c r="AC36" i="33"/>
  <c r="AC32" i="33"/>
  <c r="AC11" i="33"/>
  <c r="AC13" i="33"/>
  <c r="X42" i="33"/>
  <c r="AC27" i="33"/>
  <c r="AC14" i="33"/>
  <c r="AC25" i="33"/>
  <c r="AC29" i="33"/>
  <c r="AC35" i="33"/>
  <c r="AC26" i="33"/>
  <c r="AC20" i="33"/>
  <c r="AC40" i="33"/>
  <c r="AC39" i="33"/>
  <c r="AC38" i="33"/>
  <c r="AC23" i="33"/>
  <c r="AC31" i="33"/>
  <c r="AC12" i="33"/>
  <c r="AC22" i="33"/>
  <c r="AH41" i="33"/>
  <c r="AC30" i="33"/>
  <c r="AC15" i="33"/>
  <c r="O41" i="33"/>
  <c r="AF41" i="33" s="1"/>
  <c r="AC33" i="33"/>
  <c r="AC34" i="33"/>
  <c r="AC17" i="33"/>
  <c r="AC37" i="33"/>
  <c r="AC28" i="33"/>
  <c r="O117" i="33"/>
  <c r="U117" i="33" s="1"/>
  <c r="O92" i="33"/>
  <c r="W92" i="33" s="1"/>
  <c r="U79" i="33"/>
  <c r="AC18" i="33"/>
  <c r="AC26" i="14"/>
  <c r="AF26" i="14"/>
  <c r="AC22" i="14"/>
  <c r="AF22" i="14"/>
  <c r="AC38" i="14"/>
  <c r="AF38" i="14"/>
  <c r="AC18" i="14"/>
  <c r="AF18" i="14"/>
  <c r="AC34" i="14"/>
  <c r="AF34" i="14"/>
  <c r="AC19" i="14"/>
  <c r="AC35" i="14"/>
  <c r="AC15" i="14"/>
  <c r="AC31" i="14"/>
  <c r="AH41" i="14"/>
  <c r="AC11" i="14"/>
  <c r="AC27" i="14"/>
  <c r="AC14" i="14"/>
  <c r="AF14" i="14"/>
  <c r="AC30" i="14"/>
  <c r="AF30" i="14"/>
  <c r="AC10" i="14"/>
  <c r="AC23" i="14"/>
  <c r="AC39" i="14"/>
  <c r="AB27" i="32"/>
  <c r="O27" i="32"/>
  <c r="X8" i="32"/>
  <c r="X27" i="32" s="1"/>
  <c r="W81" i="30"/>
  <c r="W85" i="30"/>
  <c r="AA25" i="30"/>
  <c r="AA17" i="30"/>
  <c r="AA33" i="30"/>
  <c r="W83" i="30"/>
  <c r="W79" i="30"/>
  <c r="AA24" i="30"/>
  <c r="AA14" i="30"/>
  <c r="AA28" i="30"/>
  <c r="AA9" i="30"/>
  <c r="AA22" i="30"/>
  <c r="AA29" i="30"/>
  <c r="AA31" i="30"/>
  <c r="AF34" i="30"/>
  <c r="AA10" i="30"/>
  <c r="AA20" i="30"/>
  <c r="AA26" i="30"/>
  <c r="AA12" i="30"/>
  <c r="AA21" i="30"/>
  <c r="AA30" i="30"/>
  <c r="AA11" i="30"/>
  <c r="W86" i="30"/>
  <c r="AA15" i="30"/>
  <c r="AA23" i="30"/>
  <c r="AA13" i="30"/>
  <c r="O7" i="30"/>
  <c r="AD7" i="30" s="1"/>
  <c r="Z34" i="30"/>
  <c r="Y35" i="30" s="1"/>
  <c r="AA19" i="30"/>
  <c r="AA27" i="30"/>
  <c r="AA8" i="30"/>
  <c r="P87" i="30"/>
  <c r="AA16" i="30"/>
  <c r="T46" i="29"/>
  <c r="AF13" i="29"/>
  <c r="AF9" i="29"/>
  <c r="AF12" i="29"/>
  <c r="AF11" i="29"/>
  <c r="AF8" i="29"/>
  <c r="O14" i="29"/>
  <c r="AI14" i="29" s="1"/>
  <c r="AF10" i="29"/>
  <c r="AF7" i="29"/>
  <c r="T45" i="29"/>
  <c r="T62" i="29"/>
  <c r="T69" i="29" s="1"/>
  <c r="O69" i="29"/>
  <c r="O41" i="29"/>
  <c r="V41" i="29" s="1"/>
  <c r="AF41" i="16"/>
  <c r="AD29" i="19"/>
  <c r="AG29" i="19"/>
  <c r="AD30" i="19"/>
  <c r="AG30" i="19"/>
  <c r="Z56" i="23"/>
  <c r="X56" i="23"/>
  <c r="X71" i="23"/>
  <c r="Z71" i="23"/>
  <c r="X67" i="23"/>
  <c r="Z67" i="23"/>
  <c r="X58" i="23"/>
  <c r="Z58" i="23"/>
  <c r="AB11" i="23"/>
  <c r="AB18" i="23"/>
  <c r="AB34" i="23"/>
  <c r="AB25" i="23"/>
  <c r="AB40" i="23"/>
  <c r="Z60" i="23"/>
  <c r="X60" i="23"/>
  <c r="X61" i="23"/>
  <c r="Z61" i="23"/>
  <c r="X55" i="23"/>
  <c r="Z55" i="23"/>
  <c r="X69" i="23"/>
  <c r="Z69" i="23"/>
  <c r="X62" i="23"/>
  <c r="Z62" i="23"/>
  <c r="X53" i="23"/>
  <c r="Z53" i="23"/>
  <c r="Y76" i="23"/>
  <c r="AB23" i="23"/>
  <c r="AB30" i="23"/>
  <c r="AB21" i="23"/>
  <c r="AB37" i="23"/>
  <c r="AB36" i="23"/>
  <c r="Z64" i="23"/>
  <c r="X64" i="23"/>
  <c r="X59" i="23"/>
  <c r="Z59" i="23"/>
  <c r="X70" i="23"/>
  <c r="Z70" i="23"/>
  <c r="X63" i="23"/>
  <c r="Z63" i="23"/>
  <c r="X54" i="23"/>
  <c r="Z54" i="23"/>
  <c r="AB19" i="23"/>
  <c r="AB33" i="23"/>
  <c r="AB16" i="23"/>
  <c r="Z68" i="23"/>
  <c r="X68" i="23"/>
  <c r="X65" i="23"/>
  <c r="Z65" i="23"/>
  <c r="X66" i="23"/>
  <c r="Z66" i="23"/>
  <c r="X57" i="23"/>
  <c r="Z57" i="23"/>
  <c r="AG41" i="23"/>
  <c r="AB22" i="23"/>
  <c r="AB38" i="23"/>
  <c r="AB13" i="23"/>
  <c r="AB29" i="23"/>
  <c r="AB28" i="23"/>
  <c r="O26" i="23"/>
  <c r="U41" i="23"/>
  <c r="S88" i="23"/>
  <c r="O88" i="23" s="1"/>
  <c r="R93" i="23"/>
  <c r="S87" i="23"/>
  <c r="O31" i="23"/>
  <c r="O27" i="23"/>
  <c r="O15" i="23"/>
  <c r="AD11" i="19"/>
  <c r="AD10" i="19"/>
  <c r="AD14" i="19"/>
  <c r="AD15" i="19"/>
  <c r="AD9" i="19"/>
  <c r="AD28" i="19"/>
  <c r="O9" i="9"/>
  <c r="O10" i="9"/>
  <c r="W69" i="9"/>
  <c r="R14" i="9"/>
  <c r="O13" i="9"/>
  <c r="S45" i="9"/>
  <c r="S48" i="9" s="1"/>
  <c r="O84" i="14"/>
  <c r="W84" i="14" s="1"/>
  <c r="O66" i="9"/>
  <c r="T66" i="9" s="1"/>
  <c r="O67" i="9"/>
  <c r="T67" i="9" s="1"/>
  <c r="O63" i="9"/>
  <c r="T63" i="9" s="1"/>
  <c r="O65" i="9"/>
  <c r="T65" i="9" s="1"/>
  <c r="X14" i="9"/>
  <c r="O7" i="9"/>
  <c r="O11" i="9"/>
  <c r="O12" i="9"/>
  <c r="O8" i="9"/>
  <c r="O46" i="9"/>
  <c r="V46" i="9" s="1"/>
  <c r="O42" i="9"/>
  <c r="O47" i="9"/>
  <c r="V47" i="9" s="1"/>
  <c r="T43" i="9"/>
  <c r="AE14" i="9"/>
  <c r="Y14" i="9"/>
  <c r="AC14" i="9"/>
  <c r="W14" i="9"/>
  <c r="V14" i="9"/>
  <c r="U69" i="9"/>
  <c r="T47" i="9"/>
  <c r="T44" i="9"/>
  <c r="P69" i="9"/>
  <c r="O62" i="9"/>
  <c r="T62" i="9" s="1"/>
  <c r="Q14" i="9"/>
  <c r="P15" i="9" s="1"/>
  <c r="O86" i="23"/>
  <c r="V86" i="23" s="1"/>
  <c r="O91" i="23"/>
  <c r="O87" i="23"/>
  <c r="O79" i="14"/>
  <c r="W79" i="14" s="1"/>
  <c r="O88" i="14"/>
  <c r="W88" i="14" s="1"/>
  <c r="O80" i="14"/>
  <c r="W80" i="14" s="1"/>
  <c r="O114" i="14"/>
  <c r="U114" i="14" s="1"/>
  <c r="O106" i="14"/>
  <c r="U106" i="14" s="1"/>
  <c r="Q92" i="14"/>
  <c r="O89" i="14"/>
  <c r="W89" i="14" s="1"/>
  <c r="O85" i="14"/>
  <c r="W85" i="14" s="1"/>
  <c r="O81" i="14"/>
  <c r="W81" i="14" s="1"/>
  <c r="R117" i="14"/>
  <c r="S110" i="14"/>
  <c r="O110" i="14" s="1"/>
  <c r="U110" i="14" s="1"/>
  <c r="O90" i="14"/>
  <c r="W90" i="14" s="1"/>
  <c r="O86" i="14"/>
  <c r="W86" i="14" s="1"/>
  <c r="O91" i="14"/>
  <c r="W91" i="14" s="1"/>
  <c r="O87" i="14"/>
  <c r="W87" i="14" s="1"/>
  <c r="O83" i="14"/>
  <c r="W83" i="14" s="1"/>
  <c r="O116" i="14"/>
  <c r="U116" i="14" s="1"/>
  <c r="O112" i="14"/>
  <c r="U112" i="14" s="1"/>
  <c r="O108" i="14"/>
  <c r="U108" i="14" s="1"/>
  <c r="O113" i="14"/>
  <c r="U113" i="14" s="1"/>
  <c r="O109" i="14"/>
  <c r="U109" i="14" s="1"/>
  <c r="O105" i="14"/>
  <c r="U105" i="14" s="1"/>
  <c r="S104" i="14"/>
  <c r="O104" i="14" s="1"/>
  <c r="Q117" i="14"/>
  <c r="Q41" i="14"/>
  <c r="X102" i="16"/>
  <c r="N74" i="16"/>
  <c r="N100" i="16"/>
  <c r="W100" i="16" s="1"/>
  <c r="N96" i="16"/>
  <c r="W96" i="16" s="1"/>
  <c r="N92" i="16"/>
  <c r="W92" i="16" s="1"/>
  <c r="T79" i="16"/>
  <c r="N101" i="16"/>
  <c r="W101" i="16" s="1"/>
  <c r="N97" i="16"/>
  <c r="W97" i="16" s="1"/>
  <c r="N93" i="16"/>
  <c r="W93" i="16" s="1"/>
  <c r="T102" i="16"/>
  <c r="X79" i="16"/>
  <c r="N98" i="16"/>
  <c r="W98" i="16" s="1"/>
  <c r="N90" i="16"/>
  <c r="W90" i="16" s="1"/>
  <c r="S102" i="16"/>
  <c r="N99" i="16"/>
  <c r="W99" i="16" s="1"/>
  <c r="N95" i="16"/>
  <c r="W95" i="16" s="1"/>
  <c r="N91" i="16"/>
  <c r="W91" i="16" s="1"/>
  <c r="U102" i="16"/>
  <c r="N94" i="16"/>
  <c r="W94" i="16" s="1"/>
  <c r="N75" i="16"/>
  <c r="N78" i="16"/>
  <c r="P79" i="16"/>
  <c r="O80" i="16" s="1"/>
  <c r="U79" i="16"/>
  <c r="N76" i="16"/>
  <c r="Z76" i="16" s="1"/>
  <c r="N77" i="16"/>
  <c r="Z77" i="16" s="1"/>
  <c r="N73" i="16"/>
  <c r="Z73" i="16" s="1"/>
  <c r="P102" i="16"/>
  <c r="T117" i="14"/>
  <c r="U111" i="14"/>
  <c r="U107" i="14"/>
  <c r="U115" i="14"/>
  <c r="S92" i="14"/>
  <c r="T92" i="14"/>
  <c r="R92" i="14"/>
  <c r="R93" i="14" s="1"/>
  <c r="V117" i="14"/>
  <c r="Q69" i="9"/>
  <c r="R69" i="9"/>
  <c r="S69" i="9"/>
  <c r="R95" i="19"/>
  <c r="Y67" i="19"/>
  <c r="W41" i="14"/>
  <c r="Q76" i="23"/>
  <c r="O14" i="23"/>
  <c r="Q41" i="23"/>
  <c r="P42" i="23" s="1"/>
  <c r="X52" i="23"/>
  <c r="O76" i="23"/>
  <c r="Z76" i="23" s="1"/>
  <c r="Q93" i="23"/>
  <c r="P94" i="23" s="1"/>
  <c r="W67" i="19"/>
  <c r="T67" i="19"/>
  <c r="Z67" i="19"/>
  <c r="AC26" i="28"/>
  <c r="Z42" i="27"/>
  <c r="AB42" i="27"/>
  <c r="P29" i="27"/>
  <c r="AC42" i="27"/>
  <c r="AA30" i="27"/>
  <c r="R42" i="27"/>
  <c r="AA42" i="27"/>
  <c r="AA43" i="27" s="1"/>
  <c r="Y42" i="27"/>
  <c r="P37" i="27"/>
  <c r="X111" i="27"/>
  <c r="P74" i="27"/>
  <c r="U74" i="27" s="1"/>
  <c r="W66" i="27"/>
  <c r="W68" i="27"/>
  <c r="W70" i="27"/>
  <c r="W72" i="27"/>
  <c r="W73" i="27"/>
  <c r="P96" i="27"/>
  <c r="P99" i="27"/>
  <c r="P109" i="27"/>
  <c r="Z30" i="27"/>
  <c r="L85" i="27"/>
  <c r="U84" i="27"/>
  <c r="Y30" i="27"/>
  <c r="AC30" i="27"/>
  <c r="AE30" i="27"/>
  <c r="W67" i="27"/>
  <c r="W69" i="27"/>
  <c r="W71" i="27"/>
  <c r="U66" i="27"/>
  <c r="V74" i="27"/>
  <c r="V84" i="27"/>
  <c r="T111" i="27"/>
  <c r="P104" i="27"/>
  <c r="P107" i="27"/>
  <c r="P25" i="27"/>
  <c r="P26" i="27"/>
  <c r="P28" i="27"/>
  <c r="P27" i="27"/>
  <c r="R30" i="27"/>
  <c r="R17" i="27"/>
  <c r="P98" i="27"/>
  <c r="P106" i="27"/>
  <c r="P110" i="27"/>
  <c r="P92" i="27"/>
  <c r="P95" i="27"/>
  <c r="P100" i="27"/>
  <c r="P103" i="27"/>
  <c r="P108" i="27"/>
  <c r="X119" i="27"/>
  <c r="M85" i="27"/>
  <c r="W84" i="27"/>
  <c r="S111" i="27"/>
  <c r="P94" i="27"/>
  <c r="P101" i="27"/>
  <c r="P102" i="27"/>
  <c r="O17" i="23"/>
  <c r="O32" i="23"/>
  <c r="Z41" i="23"/>
  <c r="O39" i="23"/>
  <c r="O35" i="23"/>
  <c r="O24" i="23"/>
  <c r="O20" i="23"/>
  <c r="O12" i="23"/>
  <c r="X67" i="19"/>
  <c r="P66" i="19"/>
  <c r="AG66" i="19" s="1"/>
  <c r="AC67" i="19"/>
  <c r="AE67" i="19"/>
  <c r="P46" i="19"/>
  <c r="AG46" i="19" s="1"/>
  <c r="P47" i="19"/>
  <c r="AG47" i="19" s="1"/>
  <c r="P48" i="19"/>
  <c r="AG48" i="19" s="1"/>
  <c r="P49" i="19"/>
  <c r="AG49" i="19" s="1"/>
  <c r="P50" i="19"/>
  <c r="AG50" i="19" s="1"/>
  <c r="P51" i="19"/>
  <c r="AG51" i="19" s="1"/>
  <c r="P52" i="19"/>
  <c r="AG52" i="19" s="1"/>
  <c r="P53" i="19"/>
  <c r="AG53" i="19" s="1"/>
  <c r="P54" i="19"/>
  <c r="AG54" i="19" s="1"/>
  <c r="P55" i="19"/>
  <c r="AG55" i="19" s="1"/>
  <c r="P56" i="19"/>
  <c r="AG56" i="19" s="1"/>
  <c r="P57" i="19"/>
  <c r="AG57" i="19" s="1"/>
  <c r="P58" i="19"/>
  <c r="AG58" i="19" s="1"/>
  <c r="P59" i="19"/>
  <c r="AG59" i="19" s="1"/>
  <c r="P60" i="19"/>
  <c r="AG60" i="19" s="1"/>
  <c r="P61" i="19"/>
  <c r="AG61" i="19" s="1"/>
  <c r="P62" i="19"/>
  <c r="AG62" i="19" s="1"/>
  <c r="P63" i="19"/>
  <c r="AG63" i="19" s="1"/>
  <c r="P64" i="19"/>
  <c r="AG64" i="19" s="1"/>
  <c r="P65" i="19"/>
  <c r="AG65" i="19" s="1"/>
  <c r="R67" i="19"/>
  <c r="AA67" i="19"/>
  <c r="AB67" i="19" s="1"/>
  <c r="W99" i="27"/>
  <c r="W100" i="27"/>
  <c r="P97" i="27"/>
  <c r="P105" i="27"/>
  <c r="V111" i="27"/>
  <c r="W101" i="27"/>
  <c r="P93" i="27"/>
  <c r="U119" i="27"/>
  <c r="U79" i="27"/>
  <c r="U80" i="27"/>
  <c r="P81" i="27"/>
  <c r="W81" i="27" s="1"/>
  <c r="W82" i="27"/>
  <c r="W83" i="27"/>
  <c r="P114" i="27"/>
  <c r="V115" i="27"/>
  <c r="P116" i="27"/>
  <c r="V117" i="27"/>
  <c r="P117" i="27" s="1"/>
  <c r="P118" i="27"/>
  <c r="V81" i="27"/>
  <c r="U111" i="27"/>
  <c r="L33" i="25"/>
  <c r="L35" i="25"/>
  <c r="L31" i="25"/>
  <c r="L32" i="25"/>
  <c r="G9" i="25"/>
  <c r="AB9" i="25" s="1"/>
  <c r="R10" i="25"/>
  <c r="G10" i="25" s="1"/>
  <c r="Z10" i="25" s="1"/>
  <c r="G8" i="25"/>
  <c r="AB8" i="25" s="1"/>
  <c r="G7" i="25"/>
  <c r="AB7" i="25" s="1"/>
  <c r="AA13" i="26"/>
  <c r="L34" i="25"/>
  <c r="T11" i="25"/>
  <c r="M36" i="25"/>
  <c r="N11" i="25"/>
  <c r="J11" i="25"/>
  <c r="M11" i="25"/>
  <c r="Q11" i="25"/>
  <c r="U11" i="25"/>
  <c r="R6" i="25"/>
  <c r="J36" i="25"/>
  <c r="AA11" i="25"/>
  <c r="H11" i="25"/>
  <c r="V11" i="25"/>
  <c r="D36" i="25"/>
  <c r="D24" i="25"/>
  <c r="D11" i="25"/>
  <c r="AA41" i="23"/>
  <c r="O9" i="23"/>
  <c r="O10" i="23"/>
  <c r="W41" i="23"/>
  <c r="U95" i="19"/>
  <c r="Q95" i="19"/>
  <c r="Q96" i="19" s="1"/>
  <c r="M95" i="19"/>
  <c r="L95" i="19"/>
  <c r="I95" i="19"/>
  <c r="H95" i="19"/>
  <c r="G95" i="19"/>
  <c r="X94" i="19"/>
  <c r="X93" i="19"/>
  <c r="X92" i="19"/>
  <c r="AA34" i="12" l="1"/>
  <c r="AA41" i="34"/>
  <c r="AG26" i="27"/>
  <c r="AD26" i="27"/>
  <c r="V87" i="23"/>
  <c r="T87" i="23"/>
  <c r="Y95" i="35"/>
  <c r="P42" i="36"/>
  <c r="AG42" i="36" s="1"/>
  <c r="V42" i="49"/>
  <c r="BB7" i="46"/>
  <c r="AZ7" i="46"/>
  <c r="AZ21" i="46" s="1"/>
  <c r="Y21" i="46"/>
  <c r="BB21" i="46" s="1"/>
  <c r="O61" i="37"/>
  <c r="V61" i="37" s="1"/>
  <c r="V57" i="37"/>
  <c r="AW42" i="49"/>
  <c r="AG25" i="27"/>
  <c r="AD25" i="27"/>
  <c r="AG29" i="27"/>
  <c r="AD29" i="27"/>
  <c r="V88" i="23"/>
  <c r="T88" i="23"/>
  <c r="Z95" i="19"/>
  <c r="AD27" i="27"/>
  <c r="AG27" i="27"/>
  <c r="R118" i="14"/>
  <c r="AD37" i="36"/>
  <c r="AB41" i="38"/>
  <c r="V16" i="49"/>
  <c r="AZ15" i="49"/>
  <c r="AZ16" i="49" s="1"/>
  <c r="X33" i="59"/>
  <c r="AY33" i="59" s="1"/>
  <c r="AR41" i="61"/>
  <c r="L43" i="34"/>
  <c r="M43" i="38"/>
  <c r="M23" i="37"/>
  <c r="W34" i="54"/>
  <c r="AV34" i="54" s="1"/>
  <c r="AV12" i="54"/>
  <c r="AT12" i="54"/>
  <c r="AT34" i="54" s="1"/>
  <c r="T91" i="23"/>
  <c r="V91" i="23"/>
  <c r="AG28" i="27"/>
  <c r="AD28" i="27"/>
  <c r="AD37" i="27"/>
  <c r="AG37" i="27"/>
  <c r="AE13" i="28"/>
  <c r="AB13" i="28"/>
  <c r="AB15" i="28" s="1"/>
  <c r="AB16" i="28" s="1"/>
  <c r="BB34" i="40"/>
  <c r="BH40" i="58"/>
  <c r="BF40" i="58"/>
  <c r="BH39" i="57"/>
  <c r="W41" i="61"/>
  <c r="AT41" i="61" s="1"/>
  <c r="W21" i="60"/>
  <c r="AR7" i="60"/>
  <c r="AW33" i="59"/>
  <c r="BL7" i="39"/>
  <c r="BJ7" i="39"/>
  <c r="BB41" i="47"/>
  <c r="BD41" i="47"/>
  <c r="Y15" i="39"/>
  <c r="AJ16" i="49"/>
  <c r="AM16" i="49"/>
  <c r="AK41" i="44"/>
  <c r="AC21" i="37"/>
  <c r="AD17" i="36"/>
  <c r="AD42" i="36"/>
  <c r="AG33" i="35"/>
  <c r="AC41" i="33"/>
  <c r="U92" i="33"/>
  <c r="O34" i="30"/>
  <c r="AD34" i="30" s="1"/>
  <c r="AA7" i="30"/>
  <c r="AA34" i="30" s="1"/>
  <c r="W78" i="30"/>
  <c r="AF14" i="29"/>
  <c r="O48" i="29"/>
  <c r="V48" i="29" s="1"/>
  <c r="T41" i="29"/>
  <c r="T48" i="29" s="1"/>
  <c r="T80" i="16"/>
  <c r="AE14" i="28"/>
  <c r="S93" i="23"/>
  <c r="R94" i="23" s="1"/>
  <c r="AE10" i="23"/>
  <c r="AB10" i="23"/>
  <c r="AE24" i="23"/>
  <c r="AB24" i="23"/>
  <c r="AE32" i="23"/>
  <c r="AB32" i="23"/>
  <c r="AE14" i="23"/>
  <c r="AB14" i="23"/>
  <c r="AE15" i="23"/>
  <c r="AB15" i="23"/>
  <c r="AE20" i="23"/>
  <c r="AB20" i="23"/>
  <c r="AE26" i="23"/>
  <c r="AB26" i="23"/>
  <c r="X76" i="23"/>
  <c r="AE12" i="23"/>
  <c r="AB12" i="23"/>
  <c r="AE39" i="23"/>
  <c r="AB39" i="23"/>
  <c r="AE31" i="23"/>
  <c r="AB31" i="23"/>
  <c r="AE9" i="23"/>
  <c r="AB9" i="23"/>
  <c r="AE35" i="23"/>
  <c r="AB35" i="23"/>
  <c r="AE17" i="23"/>
  <c r="AB17" i="23"/>
  <c r="AE27" i="23"/>
  <c r="AB27" i="23"/>
  <c r="AI8" i="9"/>
  <c r="AF8" i="9"/>
  <c r="AI7" i="9"/>
  <c r="AF7" i="9"/>
  <c r="AI11" i="9"/>
  <c r="AF11" i="9"/>
  <c r="AI12" i="9"/>
  <c r="AF12" i="9"/>
  <c r="AI9" i="9"/>
  <c r="AF9" i="9"/>
  <c r="AI13" i="9"/>
  <c r="AF13" i="9"/>
  <c r="AI10" i="9"/>
  <c r="AF10" i="9"/>
  <c r="W75" i="16"/>
  <c r="Z75" i="16"/>
  <c r="Y78" i="16"/>
  <c r="Z78" i="16"/>
  <c r="Y74" i="16"/>
  <c r="Z74" i="16"/>
  <c r="O45" i="9"/>
  <c r="R70" i="9"/>
  <c r="T42" i="9"/>
  <c r="V42" i="9"/>
  <c r="X15" i="9"/>
  <c r="T46" i="9"/>
  <c r="T86" i="23"/>
  <c r="O93" i="23"/>
  <c r="V93" i="23" s="1"/>
  <c r="W74" i="16"/>
  <c r="P92" i="14"/>
  <c r="O82" i="14"/>
  <c r="W82" i="14" s="1"/>
  <c r="S117" i="14"/>
  <c r="Y75" i="16"/>
  <c r="W78" i="16"/>
  <c r="N79" i="16"/>
  <c r="N89" i="16"/>
  <c r="W73" i="16"/>
  <c r="Y73" i="16"/>
  <c r="W76" i="16"/>
  <c r="Y76" i="16"/>
  <c r="Y77" i="16"/>
  <c r="W77" i="16"/>
  <c r="O117" i="14"/>
  <c r="U104" i="14"/>
  <c r="T69" i="9"/>
  <c r="AD66" i="19"/>
  <c r="N26" i="28"/>
  <c r="AE26" i="28" s="1"/>
  <c r="W95" i="27"/>
  <c r="W104" i="27"/>
  <c r="W109" i="27"/>
  <c r="W107" i="27"/>
  <c r="W102" i="27"/>
  <c r="W103" i="27"/>
  <c r="W96" i="27"/>
  <c r="W108" i="27"/>
  <c r="W92" i="27"/>
  <c r="W106" i="27"/>
  <c r="W98" i="27"/>
  <c r="W74" i="27"/>
  <c r="P42" i="27"/>
  <c r="AG42" i="27" s="1"/>
  <c r="W94" i="27"/>
  <c r="V119" i="27"/>
  <c r="P115" i="27"/>
  <c r="AB30" i="27"/>
  <c r="P30" i="27"/>
  <c r="AG30" i="27" s="1"/>
  <c r="U81" i="27"/>
  <c r="W110" i="27"/>
  <c r="AD64" i="19"/>
  <c r="AD59" i="19"/>
  <c r="AD55" i="19"/>
  <c r="AD47" i="19"/>
  <c r="AD65" i="19"/>
  <c r="AD60" i="19"/>
  <c r="AD56" i="19"/>
  <c r="AD52" i="19"/>
  <c r="AD48" i="19"/>
  <c r="AD62" i="19"/>
  <c r="AD61" i="19"/>
  <c r="AD57" i="19"/>
  <c r="AD53" i="19"/>
  <c r="AD49" i="19"/>
  <c r="AD63" i="19"/>
  <c r="AD58" i="19"/>
  <c r="AD54" i="19"/>
  <c r="AD50" i="19"/>
  <c r="P67" i="19"/>
  <c r="AG67" i="19" s="1"/>
  <c r="AD46" i="19"/>
  <c r="AD51" i="19"/>
  <c r="W117" i="27"/>
  <c r="W116" i="27"/>
  <c r="W93" i="27"/>
  <c r="P17" i="27"/>
  <c r="AG17" i="27" s="1"/>
  <c r="W118" i="27"/>
  <c r="W114" i="27"/>
  <c r="W97" i="27"/>
  <c r="W105" i="27"/>
  <c r="P111" i="27"/>
  <c r="P94" i="19"/>
  <c r="W94" i="19" s="1"/>
  <c r="X95" i="19"/>
  <c r="P93" i="19"/>
  <c r="Z9" i="25"/>
  <c r="R11" i="25"/>
  <c r="G6" i="25"/>
  <c r="G11" i="25" s="1"/>
  <c r="Y5" i="26"/>
  <c r="AA5" i="26"/>
  <c r="L36" i="25"/>
  <c r="AB10" i="25"/>
  <c r="Z8" i="25"/>
  <c r="Z7" i="25"/>
  <c r="O41" i="23"/>
  <c r="X41" i="23"/>
  <c r="W42" i="23" s="1"/>
  <c r="X91" i="19"/>
  <c r="X90" i="19"/>
  <c r="X89" i="19"/>
  <c r="X88" i="19"/>
  <c r="X87" i="19"/>
  <c r="X86" i="19"/>
  <c r="X85" i="19"/>
  <c r="X84" i="19"/>
  <c r="X83" i="19"/>
  <c r="X82" i="19"/>
  <c r="X81" i="19"/>
  <c r="X80" i="19"/>
  <c r="X79" i="19"/>
  <c r="X78" i="19"/>
  <c r="X77" i="19"/>
  <c r="X76" i="19"/>
  <c r="AE15" i="28" l="1"/>
  <c r="AE16" i="28" s="1"/>
  <c r="AR21" i="60"/>
  <c r="AP21" i="60"/>
  <c r="BJ15" i="39"/>
  <c r="AB41" i="23"/>
  <c r="AE41" i="23"/>
  <c r="T93" i="23"/>
  <c r="W79" i="16"/>
  <c r="Z79" i="16"/>
  <c r="V45" i="9"/>
  <c r="T45" i="9"/>
  <c r="Y79" i="16"/>
  <c r="O92" i="14"/>
  <c r="N102" i="16"/>
  <c r="W102" i="16" s="1"/>
  <c r="W89" i="16"/>
  <c r="U117" i="14"/>
  <c r="O69" i="9"/>
  <c r="W115" i="27"/>
  <c r="W119" i="27" s="1"/>
  <c r="AB26" i="28"/>
  <c r="AD42" i="27"/>
  <c r="P119" i="27"/>
  <c r="AD30" i="27"/>
  <c r="W111" i="27"/>
  <c r="AD67" i="19"/>
  <c r="P92" i="19"/>
  <c r="W92" i="19" s="1"/>
  <c r="P87" i="19"/>
  <c r="P83" i="19"/>
  <c r="P76" i="19"/>
  <c r="W76" i="19" s="1"/>
  <c r="W93" i="19"/>
  <c r="T95" i="19"/>
  <c r="S95" i="19"/>
  <c r="AB11" i="25"/>
  <c r="Z6" i="25"/>
  <c r="Z11" i="25" s="1"/>
  <c r="AB6" i="25"/>
  <c r="W83" i="19" l="1"/>
  <c r="W87" i="19"/>
  <c r="V33" i="19" l="1"/>
  <c r="S33" i="19"/>
  <c r="Q33" i="19"/>
  <c r="H33" i="19"/>
  <c r="G33" i="19"/>
  <c r="F33" i="19"/>
  <c r="W33" i="19"/>
  <c r="R64" i="16"/>
  <c r="Q64" i="16"/>
  <c r="O64" i="16"/>
  <c r="K64" i="16"/>
  <c r="J64" i="16"/>
  <c r="G64" i="16"/>
  <c r="F64" i="16"/>
  <c r="E64" i="16"/>
  <c r="U63" i="16"/>
  <c r="U62" i="16"/>
  <c r="U61" i="16"/>
  <c r="U60" i="16"/>
  <c r="U59" i="16"/>
  <c r="U58" i="16"/>
  <c r="U57" i="16"/>
  <c r="U56" i="16"/>
  <c r="U55" i="16"/>
  <c r="U54" i="16"/>
  <c r="U53" i="16"/>
  <c r="U52" i="16"/>
  <c r="U51" i="16"/>
  <c r="T41" i="16"/>
  <c r="S41" i="16"/>
  <c r="O41" i="16"/>
  <c r="K41" i="16"/>
  <c r="J41" i="16"/>
  <c r="G41" i="16"/>
  <c r="F41" i="16"/>
  <c r="E41" i="16"/>
  <c r="W15" i="16"/>
  <c r="W14" i="16"/>
  <c r="W13" i="16"/>
  <c r="W10" i="16"/>
  <c r="W9" i="16"/>
  <c r="W7" i="16"/>
  <c r="L92" i="14"/>
  <c r="K92" i="14"/>
  <c r="H92" i="14"/>
  <c r="W92" i="14" s="1"/>
  <c r="G92" i="14"/>
  <c r="F92" i="14"/>
  <c r="E92" i="14"/>
  <c r="V91" i="14"/>
  <c r="U91" i="14"/>
  <c r="V90" i="14"/>
  <c r="U90" i="14"/>
  <c r="V89" i="14"/>
  <c r="U89" i="14"/>
  <c r="V88" i="14"/>
  <c r="U88" i="14"/>
  <c r="V87" i="14"/>
  <c r="U87" i="14"/>
  <c r="V86" i="14"/>
  <c r="U86" i="14"/>
  <c r="V85" i="14"/>
  <c r="U85" i="14"/>
  <c r="V84" i="14"/>
  <c r="U84" i="14"/>
  <c r="V83" i="14"/>
  <c r="U83" i="14"/>
  <c r="V82" i="14"/>
  <c r="U82" i="14"/>
  <c r="V81" i="14"/>
  <c r="U81" i="14"/>
  <c r="V80" i="14"/>
  <c r="U80" i="14"/>
  <c r="V79" i="14"/>
  <c r="U79" i="14"/>
  <c r="U65" i="14"/>
  <c r="S65" i="14"/>
  <c r="R65" i="14"/>
  <c r="Q65" i="14"/>
  <c r="P65" i="14"/>
  <c r="L65" i="14"/>
  <c r="K65" i="14"/>
  <c r="H65" i="14"/>
  <c r="G65" i="14"/>
  <c r="F65" i="14"/>
  <c r="W64" i="14"/>
  <c r="O64" i="14"/>
  <c r="X64" i="14" s="1"/>
  <c r="W63" i="14"/>
  <c r="O63" i="14"/>
  <c r="W62" i="14"/>
  <c r="O62" i="14"/>
  <c r="W61" i="14"/>
  <c r="O61" i="14"/>
  <c r="X61" i="14" s="1"/>
  <c r="W60" i="14"/>
  <c r="O60" i="14"/>
  <c r="X60" i="14" s="1"/>
  <c r="W59" i="14"/>
  <c r="O59" i="14"/>
  <c r="W58" i="14"/>
  <c r="O58" i="14"/>
  <c r="X58" i="14" s="1"/>
  <c r="W57" i="14"/>
  <c r="O57" i="14"/>
  <c r="W56" i="14"/>
  <c r="O56" i="14"/>
  <c r="W55" i="14"/>
  <c r="O55" i="14"/>
  <c r="W54" i="14"/>
  <c r="O54" i="14"/>
  <c r="W53" i="14"/>
  <c r="O53" i="14"/>
  <c r="W52" i="14"/>
  <c r="O52" i="14"/>
  <c r="W51" i="14"/>
  <c r="O51" i="14"/>
  <c r="P41" i="14"/>
  <c r="L41" i="14"/>
  <c r="AD41" i="14" s="1"/>
  <c r="K41" i="14"/>
  <c r="H41" i="14"/>
  <c r="G41" i="14"/>
  <c r="F41" i="14"/>
  <c r="E41" i="14"/>
  <c r="A18" i="14"/>
  <c r="P44" i="13"/>
  <c r="O44" i="13" s="1"/>
  <c r="L44" i="13"/>
  <c r="K44" i="13"/>
  <c r="H44" i="13"/>
  <c r="G44" i="13"/>
  <c r="F44" i="13"/>
  <c r="R43" i="13"/>
  <c r="O43" i="13"/>
  <c r="R42" i="13"/>
  <c r="R41" i="13"/>
  <c r="O41" i="13"/>
  <c r="R40" i="13"/>
  <c r="O40" i="13"/>
  <c r="R39" i="13"/>
  <c r="O39" i="13"/>
  <c r="R38" i="13"/>
  <c r="O38" i="13"/>
  <c r="R37" i="13"/>
  <c r="O37" i="13"/>
  <c r="R36" i="13"/>
  <c r="O36" i="13"/>
  <c r="W27" i="13"/>
  <c r="V27" i="13"/>
  <c r="U27" i="13"/>
  <c r="T27" i="13"/>
  <c r="R27" i="13"/>
  <c r="P27" i="13"/>
  <c r="L27" i="13"/>
  <c r="Y27" i="13" s="1"/>
  <c r="H27" i="13"/>
  <c r="G27" i="13"/>
  <c r="F27" i="13"/>
  <c r="O26" i="13"/>
  <c r="O25" i="13"/>
  <c r="O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S9" i="21"/>
  <c r="V9" i="21" s="1"/>
  <c r="R9" i="21"/>
  <c r="AO9" i="21" s="1"/>
  <c r="V86" i="12"/>
  <c r="T87" i="12" s="1"/>
  <c r="P86" i="12"/>
  <c r="P87" i="12" s="1"/>
  <c r="L88" i="12"/>
  <c r="H86" i="12"/>
  <c r="G86" i="12"/>
  <c r="F86" i="12"/>
  <c r="X85" i="12"/>
  <c r="W85" i="12"/>
  <c r="X84" i="12"/>
  <c r="W84" i="12"/>
  <c r="X83" i="12"/>
  <c r="W83" i="12"/>
  <c r="X82" i="12"/>
  <c r="W82" i="12"/>
  <c r="X81" i="12"/>
  <c r="W81" i="12"/>
  <c r="X80" i="12"/>
  <c r="W80" i="12"/>
  <c r="X79" i="12"/>
  <c r="W79" i="12"/>
  <c r="X78" i="12"/>
  <c r="W78" i="12"/>
  <c r="S68" i="12"/>
  <c r="R68" i="12"/>
  <c r="Q68" i="12"/>
  <c r="P68" i="12"/>
  <c r="L70" i="12"/>
  <c r="H68" i="12"/>
  <c r="G68" i="12"/>
  <c r="F68" i="12"/>
  <c r="AD67" i="12" s="1"/>
  <c r="Z67" i="12"/>
  <c r="U67" i="12"/>
  <c r="T67" i="12"/>
  <c r="O67" i="12"/>
  <c r="V67" i="12" s="1"/>
  <c r="Z66" i="12"/>
  <c r="U66" i="12"/>
  <c r="O66" i="12"/>
  <c r="V66" i="12" s="1"/>
  <c r="Z65" i="12"/>
  <c r="U65" i="12"/>
  <c r="T65" i="12"/>
  <c r="O65" i="12"/>
  <c r="V65" i="12" s="1"/>
  <c r="AD64" i="12"/>
  <c r="Z64" i="12"/>
  <c r="U64" i="12"/>
  <c r="T64" i="12" s="1"/>
  <c r="O64" i="12"/>
  <c r="V64" i="12" s="1"/>
  <c r="U63" i="12"/>
  <c r="T63" i="12" s="1"/>
  <c r="U62" i="12"/>
  <c r="T62" i="12"/>
  <c r="U61" i="12"/>
  <c r="T61" i="12" s="1"/>
  <c r="U60" i="12"/>
  <c r="T60" i="12" s="1"/>
  <c r="U59" i="12"/>
  <c r="T59" i="12" s="1"/>
  <c r="U58" i="12"/>
  <c r="T58" i="12"/>
  <c r="U57" i="12"/>
  <c r="T57" i="12"/>
  <c r="U56" i="12"/>
  <c r="T56" i="12" s="1"/>
  <c r="U55" i="12"/>
  <c r="T55" i="12" s="1"/>
  <c r="U54" i="12"/>
  <c r="T54" i="12"/>
  <c r="U53" i="12"/>
  <c r="T53" i="12" s="1"/>
  <c r="U52" i="12"/>
  <c r="T52" i="12" s="1"/>
  <c r="U51" i="12"/>
  <c r="T51" i="12" s="1"/>
  <c r="U50" i="12"/>
  <c r="T50" i="12"/>
  <c r="U49" i="12"/>
  <c r="T49" i="12"/>
  <c r="U48" i="12"/>
  <c r="T48" i="12" s="1"/>
  <c r="U47" i="12"/>
  <c r="T47" i="12" s="1"/>
  <c r="U46" i="12"/>
  <c r="T46" i="12"/>
  <c r="U45" i="12"/>
  <c r="T45" i="12"/>
  <c r="U44" i="12"/>
  <c r="T44" i="12" s="1"/>
  <c r="U43" i="12"/>
  <c r="T43" i="12" s="1"/>
  <c r="U42" i="12"/>
  <c r="T42" i="12"/>
  <c r="Z34" i="12"/>
  <c r="Y34" i="12"/>
  <c r="Y35" i="12" s="1"/>
  <c r="X34" i="12"/>
  <c r="W34" i="12"/>
  <c r="U34" i="12"/>
  <c r="T34" i="12"/>
  <c r="S34" i="12"/>
  <c r="R34" i="12"/>
  <c r="R36" i="12" s="1"/>
  <c r="Q34" i="12"/>
  <c r="P34" i="12"/>
  <c r="P35" i="12" s="1"/>
  <c r="L34" i="12"/>
  <c r="K34" i="12"/>
  <c r="H34" i="12"/>
  <c r="G34" i="12"/>
  <c r="F34" i="12"/>
  <c r="R48" i="9"/>
  <c r="R49" i="9" s="1"/>
  <c r="Q48" i="9"/>
  <c r="P48" i="9"/>
  <c r="L48" i="9"/>
  <c r="K48" i="9"/>
  <c r="G48" i="9"/>
  <c r="F48" i="9"/>
  <c r="E48" i="9"/>
  <c r="U47" i="9"/>
  <c r="U46" i="9"/>
  <c r="U45" i="9"/>
  <c r="U44" i="9"/>
  <c r="U43" i="9"/>
  <c r="U42" i="9"/>
  <c r="U41" i="9"/>
  <c r="T41" i="9"/>
  <c r="W30" i="9"/>
  <c r="V30" i="9"/>
  <c r="U30" i="9"/>
  <c r="T30" i="9"/>
  <c r="S30" i="9"/>
  <c r="R30" i="9"/>
  <c r="Q30" i="9" s="1"/>
  <c r="P30" i="9"/>
  <c r="O30" i="9" s="1"/>
  <c r="L30" i="9"/>
  <c r="K30" i="9"/>
  <c r="H30" i="9"/>
  <c r="G30" i="9"/>
  <c r="F30" i="9"/>
  <c r="E30" i="9"/>
  <c r="Y29" i="9"/>
  <c r="X29" i="9"/>
  <c r="Y28" i="9"/>
  <c r="X28" i="9"/>
  <c r="Y27" i="9"/>
  <c r="X27" i="9"/>
  <c r="Y26" i="9"/>
  <c r="X26" i="9"/>
  <c r="Y25" i="9"/>
  <c r="X25" i="9"/>
  <c r="Y24" i="9"/>
  <c r="X24" i="9"/>
  <c r="Y23" i="9"/>
  <c r="X23" i="9"/>
  <c r="L14" i="9"/>
  <c r="K14" i="9"/>
  <c r="H14" i="9"/>
  <c r="G14" i="9"/>
  <c r="F14" i="9"/>
  <c r="E14" i="9"/>
  <c r="P77" i="19"/>
  <c r="P78" i="19"/>
  <c r="P80" i="19"/>
  <c r="P81" i="19"/>
  <c r="P82" i="19"/>
  <c r="P84" i="19"/>
  <c r="P85" i="19"/>
  <c r="P86" i="19"/>
  <c r="P88" i="19"/>
  <c r="P89" i="19"/>
  <c r="P90" i="19"/>
  <c r="P91" i="19"/>
  <c r="W91" i="19" s="1"/>
  <c r="V52" i="14" l="1"/>
  <c r="X52" i="14"/>
  <c r="AG14" i="9"/>
  <c r="L36" i="12"/>
  <c r="AB34" i="12"/>
  <c r="T66" i="12"/>
  <c r="AA67" i="12"/>
  <c r="V63" i="14"/>
  <c r="X63" i="14"/>
  <c r="V56" i="14"/>
  <c r="X56" i="14"/>
  <c r="AD65" i="12"/>
  <c r="AA65" i="12" s="1"/>
  <c r="S44" i="13"/>
  <c r="V60" i="14"/>
  <c r="V62" i="14"/>
  <c r="X62" i="14"/>
  <c r="V54" i="14"/>
  <c r="X54" i="14"/>
  <c r="AA66" i="12"/>
  <c r="V51" i="14"/>
  <c r="X51" i="14"/>
  <c r="V53" i="14"/>
  <c r="X53" i="14"/>
  <c r="V55" i="14"/>
  <c r="X55" i="14"/>
  <c r="V57" i="14"/>
  <c r="X57" i="14"/>
  <c r="V59" i="14"/>
  <c r="X59" i="14"/>
  <c r="AB41" i="16"/>
  <c r="Q36" i="13"/>
  <c r="S36" i="13"/>
  <c r="Q40" i="13"/>
  <c r="S40" i="13"/>
  <c r="S37" i="13"/>
  <c r="Q37" i="13"/>
  <c r="S39" i="13"/>
  <c r="Q39" i="13"/>
  <c r="S41" i="13"/>
  <c r="Q41" i="13"/>
  <c r="S43" i="13"/>
  <c r="Q43" i="13"/>
  <c r="Q38" i="13"/>
  <c r="S38" i="13"/>
  <c r="X12" i="13"/>
  <c r="X14" i="13"/>
  <c r="X16" i="13"/>
  <c r="X18" i="13"/>
  <c r="X20" i="13"/>
  <c r="X22" i="13"/>
  <c r="X26" i="13"/>
  <c r="X9" i="13"/>
  <c r="X11" i="13"/>
  <c r="X13" i="13"/>
  <c r="X15" i="13"/>
  <c r="X17" i="13"/>
  <c r="X19" i="13"/>
  <c r="X21" i="13"/>
  <c r="X23" i="13"/>
  <c r="X25" i="13"/>
  <c r="X10" i="13"/>
  <c r="X24" i="13"/>
  <c r="X8" i="13"/>
  <c r="T28" i="13"/>
  <c r="AB30" i="9"/>
  <c r="X48" i="9"/>
  <c r="AA64" i="12"/>
  <c r="K36" i="12"/>
  <c r="AD66" i="12"/>
  <c r="O86" i="12"/>
  <c r="Y86" i="12" s="1"/>
  <c r="Y41" i="14"/>
  <c r="X42" i="14" s="1"/>
  <c r="V58" i="14"/>
  <c r="V61" i="14"/>
  <c r="V64" i="14"/>
  <c r="O65" i="14"/>
  <c r="X65" i="14" s="1"/>
  <c r="O68" i="12"/>
  <c r="V68" i="12" s="1"/>
  <c r="Z30" i="9"/>
  <c r="W88" i="19"/>
  <c r="W82" i="19"/>
  <c r="W77" i="19"/>
  <c r="W86" i="19"/>
  <c r="W78" i="19"/>
  <c r="R33" i="19"/>
  <c r="Q34" i="19" s="1"/>
  <c r="Z33" i="19"/>
  <c r="X33" i="19"/>
  <c r="Y33" i="19"/>
  <c r="V95" i="19"/>
  <c r="U96" i="19" s="1"/>
  <c r="AA33" i="19"/>
  <c r="AA34" i="19" s="1"/>
  <c r="W89" i="19"/>
  <c r="W85" i="19"/>
  <c r="W90" i="19"/>
  <c r="W84" i="19"/>
  <c r="W80" i="19"/>
  <c r="W81" i="19"/>
  <c r="T33" i="19"/>
  <c r="P79" i="19"/>
  <c r="N57" i="16"/>
  <c r="N51" i="16"/>
  <c r="N58" i="16"/>
  <c r="N31" i="16"/>
  <c r="N55" i="16"/>
  <c r="N24" i="16"/>
  <c r="N29" i="16"/>
  <c r="N16" i="16"/>
  <c r="N34" i="16"/>
  <c r="N60" i="16"/>
  <c r="V60" i="16" s="1"/>
  <c r="N62" i="16"/>
  <c r="W12" i="16"/>
  <c r="N12" i="16" s="1"/>
  <c r="N15" i="16"/>
  <c r="N38" i="16"/>
  <c r="N53" i="16"/>
  <c r="N54" i="16"/>
  <c r="P64" i="16"/>
  <c r="O65" i="16" s="1"/>
  <c r="R41" i="16"/>
  <c r="N21" i="16"/>
  <c r="N30" i="16"/>
  <c r="N56" i="16"/>
  <c r="N59" i="16"/>
  <c r="N63" i="16"/>
  <c r="Q41" i="16"/>
  <c r="N10" i="16"/>
  <c r="N18" i="16"/>
  <c r="N52" i="16"/>
  <c r="N61" i="16"/>
  <c r="U64" i="16"/>
  <c r="N7" i="16"/>
  <c r="N28" i="16"/>
  <c r="N36" i="16"/>
  <c r="N37" i="16"/>
  <c r="W6" i="16"/>
  <c r="N17" i="16"/>
  <c r="N20" i="16"/>
  <c r="N22" i="16"/>
  <c r="N25" i="16"/>
  <c r="N26" i="16"/>
  <c r="P41" i="16"/>
  <c r="O42" i="16" s="1"/>
  <c r="W8" i="16"/>
  <c r="N8" i="16" s="1"/>
  <c r="W11" i="16"/>
  <c r="N11" i="16" s="1"/>
  <c r="N27" i="16"/>
  <c r="N35" i="16"/>
  <c r="N39" i="16"/>
  <c r="N33" i="16"/>
  <c r="N32" i="16"/>
  <c r="N13" i="16"/>
  <c r="U41" i="16"/>
  <c r="N9" i="16"/>
  <c r="N14" i="16"/>
  <c r="N19" i="16"/>
  <c r="N23" i="16"/>
  <c r="N40" i="16"/>
  <c r="V92" i="14"/>
  <c r="W65" i="14"/>
  <c r="R44" i="13"/>
  <c r="S27" i="13"/>
  <c r="O27" i="13"/>
  <c r="U9" i="21"/>
  <c r="AI9" i="21" s="1"/>
  <c r="K88" i="12"/>
  <c r="X86" i="12"/>
  <c r="K70" i="12"/>
  <c r="U68" i="12"/>
  <c r="V34" i="12"/>
  <c r="O34" i="12"/>
  <c r="AD34" i="12" s="1"/>
  <c r="U48" i="9"/>
  <c r="Y30" i="9"/>
  <c r="X30" i="9" s="1"/>
  <c r="AD14" i="9"/>
  <c r="W86" i="12" l="1"/>
  <c r="Q44" i="13"/>
  <c r="X27" i="13"/>
  <c r="AD14" i="16"/>
  <c r="AA14" i="16"/>
  <c r="AA35" i="16"/>
  <c r="AD35" i="16"/>
  <c r="AD36" i="16"/>
  <c r="AA36" i="16"/>
  <c r="T61" i="16"/>
  <c r="V61" i="16"/>
  <c r="AD30" i="16"/>
  <c r="AA30" i="16"/>
  <c r="AD12" i="16"/>
  <c r="AA12" i="16"/>
  <c r="AA19" i="16"/>
  <c r="AD19" i="16"/>
  <c r="AA39" i="16"/>
  <c r="AD39" i="16"/>
  <c r="AD8" i="16"/>
  <c r="AA8" i="16"/>
  <c r="AD22" i="16"/>
  <c r="AA22" i="16"/>
  <c r="AD37" i="16"/>
  <c r="AA37" i="16"/>
  <c r="AD10" i="16"/>
  <c r="AA10" i="16"/>
  <c r="T56" i="16"/>
  <c r="V56" i="16"/>
  <c r="AA15" i="16"/>
  <c r="AD15" i="16"/>
  <c r="AD34" i="16"/>
  <c r="AA34" i="16"/>
  <c r="T55" i="16"/>
  <c r="V55" i="16"/>
  <c r="T57" i="16"/>
  <c r="V57" i="16"/>
  <c r="AA23" i="16"/>
  <c r="AD23" i="16"/>
  <c r="AD33" i="16"/>
  <c r="AA33" i="16"/>
  <c r="AA11" i="16"/>
  <c r="AD11" i="16"/>
  <c r="AD25" i="16"/>
  <c r="AA25" i="16"/>
  <c r="AA7" i="16"/>
  <c r="AD7" i="16"/>
  <c r="AD18" i="16"/>
  <c r="AA18" i="16"/>
  <c r="T59" i="16"/>
  <c r="V59" i="16"/>
  <c r="AD38" i="16"/>
  <c r="AA38" i="16"/>
  <c r="AD24" i="16"/>
  <c r="AA24" i="16"/>
  <c r="T51" i="16"/>
  <c r="V51" i="16"/>
  <c r="AD40" i="16"/>
  <c r="AA40" i="16"/>
  <c r="AD9" i="16"/>
  <c r="AA9" i="16"/>
  <c r="AD32" i="16"/>
  <c r="AA32" i="16"/>
  <c r="AA27" i="16"/>
  <c r="AD27" i="16"/>
  <c r="AD26" i="16"/>
  <c r="AA26" i="16"/>
  <c r="AD17" i="16"/>
  <c r="AA17" i="16"/>
  <c r="AD28" i="16"/>
  <c r="AA28" i="16"/>
  <c r="T52" i="16"/>
  <c r="V52" i="16"/>
  <c r="T63" i="16"/>
  <c r="V63" i="16"/>
  <c r="AD21" i="16"/>
  <c r="AA21" i="16"/>
  <c r="T53" i="16"/>
  <c r="V53" i="16"/>
  <c r="T62" i="16"/>
  <c r="V62" i="16"/>
  <c r="AD29" i="16"/>
  <c r="AA29" i="16"/>
  <c r="T58" i="16"/>
  <c r="V58" i="16"/>
  <c r="AD13" i="16"/>
  <c r="AA13" i="16"/>
  <c r="AD20" i="16"/>
  <c r="AA20" i="16"/>
  <c r="T54" i="16"/>
  <c r="V54" i="16"/>
  <c r="AD16" i="16"/>
  <c r="AA16" i="16"/>
  <c r="AA31" i="16"/>
  <c r="AD31" i="16"/>
  <c r="AJ9" i="21"/>
  <c r="V65" i="14"/>
  <c r="U92" i="14"/>
  <c r="T68" i="12"/>
  <c r="T48" i="9"/>
  <c r="O48" i="9"/>
  <c r="V48" i="9" s="1"/>
  <c r="P33" i="19"/>
  <c r="AG33" i="19" s="1"/>
  <c r="W79" i="19"/>
  <c r="W95" i="19" s="1"/>
  <c r="P95" i="19"/>
  <c r="T60" i="16"/>
  <c r="N64" i="16"/>
  <c r="V64" i="16" s="1"/>
  <c r="W41" i="16"/>
  <c r="N6" i="16"/>
  <c r="O41" i="14"/>
  <c r="AF41" i="14" s="1"/>
  <c r="A36" i="14"/>
  <c r="A37" i="14" s="1"/>
  <c r="A38" i="14" s="1"/>
  <c r="A19" i="14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O14" i="9"/>
  <c r="AI14" i="9" s="1"/>
  <c r="AF14" i="9"/>
  <c r="AD6" i="16" l="1"/>
  <c r="AA6" i="16"/>
  <c r="AA41" i="16" s="1"/>
  <c r="T64" i="16"/>
  <c r="S64" i="16" s="1"/>
  <c r="N41" i="16"/>
  <c r="AD41" i="16" s="1"/>
  <c r="V42" i="16"/>
  <c r="A39" i="14"/>
  <c r="AD33" i="19"/>
  <c r="AC41" i="14"/>
</calcChain>
</file>

<file path=xl/comments1.xml><?xml version="1.0" encoding="utf-8"?>
<comments xmlns="http://schemas.openxmlformats.org/spreadsheetml/2006/main">
  <authors>
    <author>Автор</author>
  </authors>
  <commentList>
    <comment ref="D2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  <comment ref="D37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  <comment ref="D70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  <comment ref="D73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2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  <comment ref="D37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  <comment ref="D70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  <comment ref="D73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D2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  <comment ref="D37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  <comment ref="D69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D2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  <comment ref="D37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  <comment ref="D69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D31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D31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D31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D51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<sst xmlns="http://schemas.openxmlformats.org/spreadsheetml/2006/main" count="6765" uniqueCount="954">
  <si>
    <t>№п/п</t>
  </si>
  <si>
    <t>адрес</t>
  </si>
  <si>
    <t>год постройки</t>
  </si>
  <si>
    <t>этажность</t>
  </si>
  <si>
    <t>кол-во квартир</t>
  </si>
  <si>
    <t>кол-во проживающих</t>
  </si>
  <si>
    <t>Площадь Общая</t>
  </si>
  <si>
    <t>Материалы (дома) руб</t>
  </si>
  <si>
    <t>Материалы (поселок) руб</t>
  </si>
  <si>
    <t>Экология (руб)</t>
  </si>
  <si>
    <t>Дезинсекция</t>
  </si>
  <si>
    <t>Электроэнергия (руб)</t>
  </si>
  <si>
    <t>Общехоз. расходы (руб)</t>
  </si>
  <si>
    <t>Зарплата</t>
  </si>
  <si>
    <t>Транспорт.расходы (руб)</t>
  </si>
  <si>
    <t xml:space="preserve">Начислено </t>
  </si>
  <si>
    <t xml:space="preserve">Оплачено </t>
  </si>
  <si>
    <t>Ленинградская д.7</t>
  </si>
  <si>
    <t>Ленинградская д.9</t>
  </si>
  <si>
    <t>Связи д.7</t>
  </si>
  <si>
    <t>Связи д.9</t>
  </si>
  <si>
    <t>Связи д.13</t>
  </si>
  <si>
    <t>Связи д.11</t>
  </si>
  <si>
    <t>Итого</t>
  </si>
  <si>
    <t>Ул.Шоссейная д.17</t>
  </si>
  <si>
    <t>Ул.Шоссейная д.18</t>
  </si>
  <si>
    <t>Ул.Шоссейная д.19</t>
  </si>
  <si>
    <t>Ул.Шоссейная д.20</t>
  </si>
  <si>
    <t>Ул.Шоссейная д.21</t>
  </si>
  <si>
    <t>Ул.Шоссейная д.27</t>
  </si>
  <si>
    <t>Ул.Шоссейная д.28</t>
  </si>
  <si>
    <t>Ул.Шоссейная д.29</t>
  </si>
  <si>
    <t>Ул.Шоссейная д.30</t>
  </si>
  <si>
    <t>Ул.Шоссейная д.31</t>
  </si>
  <si>
    <t>Ул.Шоссейная д.32</t>
  </si>
  <si>
    <t>Ул.Шоссейная д.33</t>
  </si>
  <si>
    <t>Ул.Шоссейная д.34</t>
  </si>
  <si>
    <t>Ул.Шоссейная д.35</t>
  </si>
  <si>
    <t>Ул.Шоссейная д.36</t>
  </si>
  <si>
    <t>Ул.Шоссейная д.37</t>
  </si>
  <si>
    <t>Ул.Шоссейная д.38</t>
  </si>
  <si>
    <t>Выборгское шоссе ,26</t>
  </si>
  <si>
    <t>Ягодное Дачная,9</t>
  </si>
  <si>
    <t>Железнодорожная,4</t>
  </si>
  <si>
    <t>Железнодорожная,12</t>
  </si>
  <si>
    <t>Железнодорожная,14</t>
  </si>
  <si>
    <t>Ольховка Ларионова,1</t>
  </si>
  <si>
    <t>Ягодное Лесная,13</t>
  </si>
  <si>
    <t>Ягодное Лесная,15</t>
  </si>
  <si>
    <t>Ягодное Лесная,26</t>
  </si>
  <si>
    <t>Ольховка,Централ.22</t>
  </si>
  <si>
    <t>Ольховка,Централ.24</t>
  </si>
  <si>
    <t>Итого:</t>
  </si>
  <si>
    <t xml:space="preserve">       </t>
  </si>
  <si>
    <t>Год постройки</t>
  </si>
  <si>
    <t>Этажность</t>
  </si>
  <si>
    <t>Кол-во квартир</t>
  </si>
  <si>
    <t>Кол-во проживающих</t>
  </si>
  <si>
    <t>Урожайная д-3</t>
  </si>
  <si>
    <t>Урожайная д-3а</t>
  </si>
  <si>
    <t>Урожайная д-5</t>
  </si>
  <si>
    <t>Урожайная -5а</t>
  </si>
  <si>
    <t>Урожайная д-7</t>
  </si>
  <si>
    <t>Урожайная д-9</t>
  </si>
  <si>
    <t>Урожайная д-11</t>
  </si>
  <si>
    <t>Урожайная д-13</t>
  </si>
  <si>
    <t>Урожайная д-15</t>
  </si>
  <si>
    <t>Урожайная д-17</t>
  </si>
  <si>
    <t>Урожайная д-23</t>
  </si>
  <si>
    <t>Урожайная д-24</t>
  </si>
  <si>
    <t>Урожайная д-27</t>
  </si>
  <si>
    <t>Фестивальная -2</t>
  </si>
  <si>
    <t>Фестивальная -3</t>
  </si>
  <si>
    <t>Фестивальная -3а</t>
  </si>
  <si>
    <t>Фестивальная -3б</t>
  </si>
  <si>
    <t>Фестивальная -4</t>
  </si>
  <si>
    <t>Фестивальная -9</t>
  </si>
  <si>
    <t>Фестивальная -10</t>
  </si>
  <si>
    <t>Фестивальная -10а</t>
  </si>
  <si>
    <t>Фестивальная -12</t>
  </si>
  <si>
    <t>Фестивальная -14</t>
  </si>
  <si>
    <t>Фестивальная -16</t>
  </si>
  <si>
    <t>Фестивальная -18</t>
  </si>
  <si>
    <t>Фестивальная -22</t>
  </si>
  <si>
    <t>Фестивальная -25</t>
  </si>
  <si>
    <t>Фестивальная -27</t>
  </si>
  <si>
    <t xml:space="preserve">Фестивальная -29 </t>
  </si>
  <si>
    <t>Фестивальная -29а</t>
  </si>
  <si>
    <t>Фестивальная -36</t>
  </si>
  <si>
    <t>ИТОГО</t>
  </si>
  <si>
    <t>Гагарина д-1</t>
  </si>
  <si>
    <t>Гагарина д-3</t>
  </si>
  <si>
    <t>Гагарина д-5</t>
  </si>
  <si>
    <t>Гагарина д-6</t>
  </si>
  <si>
    <t>Гагарина д-8</t>
  </si>
  <si>
    <t>Гагарина д- 10</t>
  </si>
  <si>
    <t>Гагарина д-16</t>
  </si>
  <si>
    <t>Горького д-4</t>
  </si>
  <si>
    <t>Горького д-20а</t>
  </si>
  <si>
    <t>Луговая д-12</t>
  </si>
  <si>
    <t>Майская д-1</t>
  </si>
  <si>
    <t>Майская д-3</t>
  </si>
  <si>
    <t>Майская д-5</t>
  </si>
  <si>
    <t>Набережная д- 4</t>
  </si>
  <si>
    <t>Набережная д- 6</t>
  </si>
  <si>
    <t>Набережная д- 8</t>
  </si>
  <si>
    <t>Набережная д- 10</t>
  </si>
  <si>
    <t>Набережная д- 12</t>
  </si>
  <si>
    <t>Набережная д- 14</t>
  </si>
  <si>
    <t>Набережная д- 18</t>
  </si>
  <si>
    <t>Набережная д- 33</t>
  </si>
  <si>
    <t>Набережная д- 35</t>
  </si>
  <si>
    <t>Центральная д- 12а</t>
  </si>
  <si>
    <t>Центральная д- 17а</t>
  </si>
  <si>
    <t>Центральная д- 19а</t>
  </si>
  <si>
    <t>Центральная д- 25</t>
  </si>
  <si>
    <t>Центральная д- 27</t>
  </si>
  <si>
    <t>Школьная д-5а</t>
  </si>
  <si>
    <t>Школьная д-6</t>
  </si>
  <si>
    <t>Школьная д-7а</t>
  </si>
  <si>
    <t>Школьная д-8</t>
  </si>
  <si>
    <t>Школьная д-9а</t>
  </si>
  <si>
    <t>Школьная д-12</t>
  </si>
  <si>
    <t>Школьная д-19</t>
  </si>
  <si>
    <t>Школьная д-30</t>
  </si>
  <si>
    <t>ИТОГО:</t>
  </si>
  <si>
    <t>Молодежная д-1</t>
  </si>
  <si>
    <t>Молодежная д-2</t>
  </si>
  <si>
    <t>Молодежная д-3</t>
  </si>
  <si>
    <t>Молодежная д-4</t>
  </si>
  <si>
    <t>Молодежная д-6</t>
  </si>
  <si>
    <t>Молодежная д-7</t>
  </si>
  <si>
    <t>Молодежная д-8</t>
  </si>
  <si>
    <t>Молодежная д-12</t>
  </si>
  <si>
    <t>Ручейковая д-7</t>
  </si>
  <si>
    <t>Ручейковая д-8</t>
  </si>
  <si>
    <t>Ручейковая д-9</t>
  </si>
  <si>
    <t>Ручейковая д-11</t>
  </si>
  <si>
    <t>Ручейковая д-12</t>
  </si>
  <si>
    <t>Ручейковая д-13</t>
  </si>
  <si>
    <t>Ручейковая д-14</t>
  </si>
  <si>
    <t>Ручейковая д-15</t>
  </si>
  <si>
    <t>Ручейковая д-16</t>
  </si>
  <si>
    <t>Ручейковая д-18</t>
  </si>
  <si>
    <t>Ручейковая д-19</t>
  </si>
  <si>
    <t>ул.Лесная, д.1</t>
  </si>
  <si>
    <t>ул.Лесная, д.2</t>
  </si>
  <si>
    <t>ул.Лесная, д.3</t>
  </si>
  <si>
    <t>ул.Лесная, д.4</t>
  </si>
  <si>
    <t>ул.Лесная, д.5</t>
  </si>
  <si>
    <t>ул.Лесная, д.14</t>
  </si>
  <si>
    <t>ул.Лесная, д.15</t>
  </si>
  <si>
    <t>ул.Октябрьская, д.2</t>
  </si>
  <si>
    <t>ул.Октябрьская, д.3</t>
  </si>
  <si>
    <t>ул.Октябрьская, д.4</t>
  </si>
  <si>
    <t>ул.Октябрьская, д.7</t>
  </si>
  <si>
    <t>ул.Октябрьская, д.22</t>
  </si>
  <si>
    <t>ул.Центральная, д.1</t>
  </si>
  <si>
    <t>ул.Центральная, д.2</t>
  </si>
  <si>
    <t>ул.Центральная, д.3</t>
  </si>
  <si>
    <t>ул.Центральная, д.4</t>
  </si>
  <si>
    <t>ул.Центральная, д.5</t>
  </si>
  <si>
    <t>ул.Центральная, д.6</t>
  </si>
  <si>
    <t>ул.Центральная, д.7</t>
  </si>
  <si>
    <t>ул.Центральная, д.8</t>
  </si>
  <si>
    <t>ул.Центральная, д.9</t>
  </si>
  <si>
    <t>ул.Центральная, д.10</t>
  </si>
  <si>
    <t>ул.Центральная, д.11</t>
  </si>
  <si>
    <t>ул.Центральная, д.39</t>
  </si>
  <si>
    <t>ул.Центральная, д.41</t>
  </si>
  <si>
    <t>ул.Центральная, д.45</t>
  </si>
  <si>
    <t>ул.Центральная, д.47</t>
  </si>
  <si>
    <t>Услуги РИЦ по к/рем (руб)</t>
  </si>
  <si>
    <t>Услуги РИЦ по содерж (руб)</t>
  </si>
  <si>
    <t>Общепроизвод. расходы (руб)</t>
  </si>
  <si>
    <t>Прибыль (убыток)</t>
  </si>
  <si>
    <t>% оплаты насел</t>
  </si>
  <si>
    <t>Амортизация ОС</t>
  </si>
  <si>
    <t xml:space="preserve"> </t>
  </si>
  <si>
    <t>ул.Лесная, д.6 ( Общ.)</t>
  </si>
  <si>
    <t>х</t>
  </si>
  <si>
    <t>Всего затраты по дому(руб)</t>
  </si>
  <si>
    <t>С/с за  1м2</t>
  </si>
  <si>
    <t>% оплаты насел.</t>
  </si>
  <si>
    <t>Адрес</t>
  </si>
  <si>
    <t>Итого затраты по дому (руб)</t>
  </si>
  <si>
    <t xml:space="preserve"> Затраты итого по дому (руб)</t>
  </si>
  <si>
    <t>Общепроизводственные:</t>
  </si>
  <si>
    <t>1. зарплата мастера и паспортиста</t>
  </si>
  <si>
    <t>2. начисления на зарплату 30,7%</t>
  </si>
  <si>
    <t>3. канцелярские товары на участках</t>
  </si>
  <si>
    <t>4. материалы для офисов на участках</t>
  </si>
  <si>
    <t>5. мобильные телефоны мастеров</t>
  </si>
  <si>
    <t>6. бланки на участках</t>
  </si>
  <si>
    <t>Общехозяйственные:</t>
  </si>
  <si>
    <t>1. зарплата АУП</t>
  </si>
  <si>
    <t>3. канцелярские товары для офиса</t>
  </si>
  <si>
    <t>5. интернет</t>
  </si>
  <si>
    <t>4. материалы для офиса для АУП</t>
  </si>
  <si>
    <t>7. ГСМ ( Рискин,Матэуш,Гостев  )</t>
  </si>
  <si>
    <t>8. хозяйственные товары для офиса</t>
  </si>
  <si>
    <t>6. содержание  оргтехники для АУП</t>
  </si>
  <si>
    <t>9. програмное обеспечение ( 1С,Визарт,электронные подписи)</t>
  </si>
  <si>
    <t>10. аренда помещения</t>
  </si>
  <si>
    <t>11. услуги связи и почты</t>
  </si>
  <si>
    <t>12. юридические услуги</t>
  </si>
  <si>
    <t>13. участие в семинарах и форумах</t>
  </si>
  <si>
    <t>Расшифровка затрат</t>
  </si>
  <si>
    <t>ООО"Уют-сервис"</t>
  </si>
  <si>
    <t>п.Петровское</t>
  </si>
  <si>
    <t>Центральная д-1</t>
  </si>
  <si>
    <t>Центральная д-2</t>
  </si>
  <si>
    <t>Центральная д-3</t>
  </si>
  <si>
    <t>Центральная д-4</t>
  </si>
  <si>
    <t>Центральная д-5</t>
  </si>
  <si>
    <t>Центральная д-6</t>
  </si>
  <si>
    <t>Центральная д-7</t>
  </si>
  <si>
    <t>Центральная д-8</t>
  </si>
  <si>
    <t>Центральная д-9</t>
  </si>
  <si>
    <t>Центральная д-10</t>
  </si>
  <si>
    <t>Центральная д-15</t>
  </si>
  <si>
    <t>Центральная д-16</t>
  </si>
  <si>
    <t>Школьная д-11</t>
  </si>
  <si>
    <t>Школьная д-13</t>
  </si>
  <si>
    <t>Школьная д-14</t>
  </si>
  <si>
    <t>Зеленая д-17</t>
  </si>
  <si>
    <t>Зеленая д-19</t>
  </si>
  <si>
    <t>Парковая д-4</t>
  </si>
  <si>
    <t>Механизаторов д-1</t>
  </si>
  <si>
    <t>Механизаторов д-2</t>
  </si>
  <si>
    <t>Механизаторов д-3</t>
  </si>
  <si>
    <t>Механизаторов д-2а</t>
  </si>
  <si>
    <t>Механизаторов д-3а</t>
  </si>
  <si>
    <t>Механизаторов д-18</t>
  </si>
  <si>
    <t>Механизаторов д-19</t>
  </si>
  <si>
    <t>Механизаторов д-19а</t>
  </si>
  <si>
    <t>п.Солнечное Центральная д-13</t>
  </si>
  <si>
    <t>п.Соловьевка Центральная 102</t>
  </si>
  <si>
    <t>п.Соловьевка Центральная 104</t>
  </si>
  <si>
    <t>п.Веснино Центральная 3</t>
  </si>
  <si>
    <t>Варшко ул.Заречная 2</t>
  </si>
  <si>
    <t>Петяяри,Железн.7</t>
  </si>
  <si>
    <t>Петяяри,Железн.10</t>
  </si>
  <si>
    <t>1.ведение технической документации по дому</t>
  </si>
  <si>
    <t>2. организация и ведение делопроизводства</t>
  </si>
  <si>
    <t>3. ведение бух.учета и раздельного учета доходов и расходов в разрезе домов</t>
  </si>
  <si>
    <t>4. анализ финансово-хозяйственной деятельности</t>
  </si>
  <si>
    <t>5.расчет и оплата необходимых платежей,взносов и налогов</t>
  </si>
  <si>
    <t>6. взаимодействие с органами государственной и муниципальной власти</t>
  </si>
  <si>
    <t>7.подготовка отчетности для органов статистики,администрации МО,Росприроднадзора и др.</t>
  </si>
  <si>
    <t>9.планирование перечня работ по содержанию и ремонту общего имущества МКД,планирование финансовых и технических ресурсов</t>
  </si>
  <si>
    <t>10. финансовое обеспечение заказа на работы по содержанию и ремонту общего имущества МКД</t>
  </si>
  <si>
    <t>11. своевременное формирование заказа на работы,связанные с содержанием и ремонтом общего имущества МКД</t>
  </si>
  <si>
    <t>МКД-многоквартирный дом</t>
  </si>
  <si>
    <t>12.составление отчетности о выполнении планов работ</t>
  </si>
  <si>
    <t>13. своевременное обеспечение работ материальными ресурсами</t>
  </si>
  <si>
    <t>14.реализация мероприятий по энергосбережению энергоэффективности</t>
  </si>
  <si>
    <t>15.обеспечение ввода в эксплуатацию коллективных приборов учета и их обслуживание</t>
  </si>
  <si>
    <t>16.создание сайта управляющей организации и подготовка материалов для сайта в соответствиии с требованиями Стандарта раскрытия информации</t>
  </si>
  <si>
    <t>17. работа с должниками</t>
  </si>
  <si>
    <t>18. представление интересов собственников в суде</t>
  </si>
  <si>
    <t>19. подготовка информационных материалов для потребителей</t>
  </si>
  <si>
    <t>20. работа с населением,в том числе рассмотрение жалоб и обращений</t>
  </si>
  <si>
    <t>21. осуществление договорно-правовой деятельности:заключение договоров с подрядчиками и осуществление контроля за исполнением ими договорных обязательств.</t>
  </si>
  <si>
    <t>сан.сод.</t>
  </si>
  <si>
    <t>С/с за 1м2</t>
  </si>
  <si>
    <t>Рабочих</t>
  </si>
  <si>
    <t>Новостроек д-1</t>
  </si>
  <si>
    <t>Новостроек д-2</t>
  </si>
  <si>
    <t>Новостроек д-3</t>
  </si>
  <si>
    <t>Новостроек д-4</t>
  </si>
  <si>
    <t>Новостроек д-5</t>
  </si>
  <si>
    <t>Новостроек д-6</t>
  </si>
  <si>
    <t>Новостроек д-7</t>
  </si>
  <si>
    <t>Новостроек д-8</t>
  </si>
  <si>
    <t>Новостроек д-9</t>
  </si>
  <si>
    <t>Новостроек д-10</t>
  </si>
  <si>
    <t>Ногирская  д-5</t>
  </si>
  <si>
    <t>Ногирская  д-6</t>
  </si>
  <si>
    <t>Ногирская  д-32</t>
  </si>
  <si>
    <t>Ногирская  д-33</t>
  </si>
  <si>
    <t>Сан.сод</t>
  </si>
  <si>
    <t>Сан сод.</t>
  </si>
  <si>
    <t>п.Веснино д. 2</t>
  </si>
  <si>
    <t>Текущий ремонт</t>
  </si>
  <si>
    <t>8. предоставление необходимых сведений при проведении плановых и внеплановых проверок жилищной инспекцией,трудовой инспекцией,отделениями Роспотребнадзора,пожарного надзора,Ростехнадзора и др.</t>
  </si>
  <si>
    <t>Оплачено</t>
  </si>
  <si>
    <t>Всего начислено по дому</t>
  </si>
  <si>
    <t>Сан.сод.</t>
  </si>
  <si>
    <t>Для рабочих-37239,03</t>
  </si>
  <si>
    <t>Уборка помещений</t>
  </si>
  <si>
    <t>Общие затраты по общежитию п.Суходолье</t>
  </si>
  <si>
    <t>Возмещение</t>
  </si>
  <si>
    <t>Общая площадь</t>
  </si>
  <si>
    <t>Оплачено по дому+возмещение</t>
  </si>
  <si>
    <t>Начислено по дому+возмещение</t>
  </si>
  <si>
    <t>Итого по Плодовому</t>
  </si>
  <si>
    <t>Итого по Тракторному</t>
  </si>
  <si>
    <t>пос.Тракторное</t>
  </si>
  <si>
    <t>пос.Плодовое</t>
  </si>
  <si>
    <t>пос.Солнечное</t>
  </si>
  <si>
    <t>пос.Соловьевка</t>
  </si>
  <si>
    <t>Итого  по Веснино</t>
  </si>
  <si>
    <t>Итого по Соловьевке</t>
  </si>
  <si>
    <t>Уборка</t>
  </si>
  <si>
    <t xml:space="preserve">Общие затраты по текущему ремонту  п.Сосново </t>
  </si>
  <si>
    <t>Ул. Шоссейная д.15</t>
  </si>
  <si>
    <t xml:space="preserve">          Общие затраты по текущему ремонту п.Понтонное</t>
  </si>
  <si>
    <t>Охрана труда</t>
  </si>
  <si>
    <t>Учеба</t>
  </si>
  <si>
    <t>Содержание общего имущества</t>
  </si>
  <si>
    <t>Строителей 13</t>
  </si>
  <si>
    <t xml:space="preserve">Общие затраты по содержанию общего имущества п.Сосново </t>
  </si>
  <si>
    <t>Зарплата уборщиц</t>
  </si>
  <si>
    <t>Герметизация швов</t>
  </si>
  <si>
    <t>% оплаты населения</t>
  </si>
  <si>
    <t>Общехозяйственные расходы</t>
  </si>
  <si>
    <t>Транспортный цех</t>
  </si>
  <si>
    <t>Урожайная д-5а</t>
  </si>
  <si>
    <t>Учебная литература</t>
  </si>
  <si>
    <t xml:space="preserve"> Зарплата рабочих</t>
  </si>
  <si>
    <t>Зарплата рабочих</t>
  </si>
  <si>
    <t>Общие затраты по содержанию общего имущества п.Суходолье</t>
  </si>
  <si>
    <t xml:space="preserve"> Зарпплата рабочих</t>
  </si>
  <si>
    <t xml:space="preserve"> Работа уборщиц</t>
  </si>
  <si>
    <t>Содержание общ.имущ.(руб)</t>
  </si>
  <si>
    <t>Ул.Шоссейная д.15</t>
  </si>
  <si>
    <t>для рабочих-25091,1 м2</t>
  </si>
  <si>
    <t>Общепроизводственный расходы (руб)</t>
  </si>
  <si>
    <t>Парковая д-6</t>
  </si>
  <si>
    <t>Парковая д-8</t>
  </si>
  <si>
    <t>Спецодежда</t>
  </si>
  <si>
    <t xml:space="preserve">Материалы (дома) </t>
  </si>
  <si>
    <t xml:space="preserve">Материалы (поселок) </t>
  </si>
  <si>
    <t>Проверка вент.каналов</t>
  </si>
  <si>
    <t>Эл./измерительные работы</t>
  </si>
  <si>
    <t>Строит.-тенич. экспер-за балконов</t>
  </si>
  <si>
    <t xml:space="preserve">Электроэнергия </t>
  </si>
  <si>
    <t xml:space="preserve">Транспорт.расходы </t>
  </si>
  <si>
    <t>Сосново</t>
  </si>
  <si>
    <t>Месяц</t>
  </si>
  <si>
    <t>Мастер Нарбеков</t>
  </si>
  <si>
    <t>электромонтер Игнашов</t>
  </si>
  <si>
    <t>уборщица Кельмяшкина</t>
  </si>
  <si>
    <t>монтажник Киримов</t>
  </si>
  <si>
    <t>уборщица Матвеева</t>
  </si>
  <si>
    <t>уборщица Потапенко</t>
  </si>
  <si>
    <t>газосварщик Сидоров</t>
  </si>
  <si>
    <t>уборщица Филимонова</t>
  </si>
  <si>
    <t>уборщица Жохова</t>
  </si>
  <si>
    <t>уборщица Диброва</t>
  </si>
  <si>
    <t>уборщица Куманцева</t>
  </si>
  <si>
    <t>Мастер Галкин</t>
  </si>
  <si>
    <t>На Суходолье</t>
  </si>
  <si>
    <t>17100*12</t>
  </si>
  <si>
    <t>Аренда автомоб.</t>
  </si>
  <si>
    <t>1000*12</t>
  </si>
  <si>
    <t>Счетчики</t>
  </si>
  <si>
    <t>11500*12</t>
  </si>
  <si>
    <t>Премия</t>
  </si>
  <si>
    <t>555*10</t>
  </si>
  <si>
    <t>Итого снять</t>
  </si>
  <si>
    <t>Рабочие за год</t>
  </si>
  <si>
    <t>Уборщицы за год</t>
  </si>
  <si>
    <t>рабочие</t>
  </si>
  <si>
    <t>уборщицы</t>
  </si>
  <si>
    <t>Нарбеков</t>
  </si>
  <si>
    <t>Сидоров</t>
  </si>
  <si>
    <t>на 25 сч.</t>
  </si>
  <si>
    <t xml:space="preserve">Общепроизвод. расходы </t>
  </si>
  <si>
    <t>Материалы (дома)</t>
  </si>
  <si>
    <t>Ремонт контейнеров</t>
  </si>
  <si>
    <t>Ремонт кровли</t>
  </si>
  <si>
    <t>Замена труб хвс</t>
  </si>
  <si>
    <t>Ремонт ливнестоков</t>
  </si>
  <si>
    <t>Ремонт подъезда</t>
  </si>
  <si>
    <t xml:space="preserve"> Затраты итого по дому </t>
  </si>
  <si>
    <t>Материалы (поселок)</t>
  </si>
  <si>
    <t>Общие затраты по уборке помещений и придом.  тер-ии п.Суходолье</t>
  </si>
  <si>
    <t xml:space="preserve">общежитие </t>
  </si>
  <si>
    <t>Строит.13</t>
  </si>
  <si>
    <t>кельмяшкина</t>
  </si>
  <si>
    <t>потапенко</t>
  </si>
  <si>
    <t>жохова</t>
  </si>
  <si>
    <t>связи 13</t>
  </si>
  <si>
    <t>Ленинг.7</t>
  </si>
  <si>
    <t>матвеева</t>
  </si>
  <si>
    <t>диброва</t>
  </si>
  <si>
    <t>ленинг.9</t>
  </si>
  <si>
    <t>связи 7</t>
  </si>
  <si>
    <t>филимонова</t>
  </si>
  <si>
    <t>куманцева</t>
  </si>
  <si>
    <t>связи 9</t>
  </si>
  <si>
    <t>связи 11</t>
  </si>
  <si>
    <t>подъезды</t>
  </si>
  <si>
    <t>март</t>
  </si>
  <si>
    <t>апрель</t>
  </si>
  <si>
    <t>июнь</t>
  </si>
  <si>
    <t>июль</t>
  </si>
  <si>
    <t>август</t>
  </si>
  <si>
    <t xml:space="preserve">октябрь </t>
  </si>
  <si>
    <t>б/л -февраль матвеева</t>
  </si>
  <si>
    <t>Пос. Суходолье</t>
  </si>
  <si>
    <t>Сидоров газосв.</t>
  </si>
  <si>
    <t>Бабиенко уборщ.</t>
  </si>
  <si>
    <t>Беляева уборщ</t>
  </si>
  <si>
    <t>Гунченко монтажник</t>
  </si>
  <si>
    <t>Денисов монтаж.</t>
  </si>
  <si>
    <t>Исламова уборщ.</t>
  </si>
  <si>
    <t>Митрянин сантех.</t>
  </si>
  <si>
    <t>Пасечник плотник</t>
  </si>
  <si>
    <t>Полякова уборка</t>
  </si>
  <si>
    <t>Сармина уборщ.</t>
  </si>
  <si>
    <t>Седова уборщ.</t>
  </si>
  <si>
    <t>Яковлева мастер</t>
  </si>
  <si>
    <t>Юрченко уборщ.</t>
  </si>
  <si>
    <t>Карпов монтажник</t>
  </si>
  <si>
    <t>Залунин электрик/волошин</t>
  </si>
  <si>
    <t>Лазюк монтажник</t>
  </si>
  <si>
    <t>Мастер</t>
  </si>
  <si>
    <t>Итого б/л</t>
  </si>
  <si>
    <t>Отчисления 30,2%</t>
  </si>
  <si>
    <t>37140,08 (без 1 эт.)</t>
  </si>
  <si>
    <t>Ремонт подъездов</t>
  </si>
  <si>
    <t>цент.9</t>
  </si>
  <si>
    <t>центр.6</t>
  </si>
  <si>
    <t>центр.11</t>
  </si>
  <si>
    <t>лес.14,15</t>
  </si>
  <si>
    <t>центр.10</t>
  </si>
  <si>
    <t>Общие затраты по содержанию общего имущества п.Понтонное</t>
  </si>
  <si>
    <t>Электроэнергия</t>
  </si>
  <si>
    <t>Транспортные расходы</t>
  </si>
  <si>
    <t>Для рабочих-16358,77 м2</t>
  </si>
  <si>
    <t>деревня Кривко</t>
  </si>
  <si>
    <t>Утв.тариф с 01.07.15г.Сод .общ. им-ва</t>
  </si>
  <si>
    <t>Утв.тариф с 01.07.15г.Текущ. рем.</t>
  </si>
  <si>
    <t>Утв.тариф с 01.07.15г.Уборка</t>
  </si>
  <si>
    <t>антонова уборка</t>
  </si>
  <si>
    <t>горшков монтажник</t>
  </si>
  <si>
    <t>захаров плотник</t>
  </si>
  <si>
    <t>гусарин уборщик</t>
  </si>
  <si>
    <t>кононова убор.</t>
  </si>
  <si>
    <t>новичкова убор.</t>
  </si>
  <si>
    <t>рыбаков монтажник</t>
  </si>
  <si>
    <t>сергеева мастер</t>
  </si>
  <si>
    <t>перепляк рабочий</t>
  </si>
  <si>
    <t>кахорова убор.</t>
  </si>
  <si>
    <t>бердников монтажник</t>
  </si>
  <si>
    <t>селиванова убор.</t>
  </si>
  <si>
    <t>спицын мастер</t>
  </si>
  <si>
    <t>гусарина  уборщ.</t>
  </si>
  <si>
    <t>шустова убор.</t>
  </si>
  <si>
    <t>селезнев монт.</t>
  </si>
  <si>
    <t>харитонов электр.</t>
  </si>
  <si>
    <t>рабоие</t>
  </si>
  <si>
    <t>мастер</t>
  </si>
  <si>
    <t>итого</t>
  </si>
  <si>
    <t>Всего затраты по дому</t>
  </si>
  <si>
    <t>Общехоз. Расходы</t>
  </si>
  <si>
    <t>Ремонт входа в подвал</t>
  </si>
  <si>
    <t>Текущий ремонт кровли</t>
  </si>
  <si>
    <t xml:space="preserve">Общехоз. расходы </t>
  </si>
  <si>
    <t>Тек. ремонт кровли</t>
  </si>
  <si>
    <t>Деревня Снегиревка</t>
  </si>
  <si>
    <t>абрамов э/монт</t>
  </si>
  <si>
    <t>белоус монт.сант.обор.</t>
  </si>
  <si>
    <t>зайцева уб.</t>
  </si>
  <si>
    <t>рассказов мастер</t>
  </si>
  <si>
    <t>рассказов монт. Сан.тех.обор.</t>
  </si>
  <si>
    <t>ложникова уб.</t>
  </si>
  <si>
    <t>смородинова уб.</t>
  </si>
  <si>
    <t>кривенков монт.са.тех.</t>
  </si>
  <si>
    <t>рябова уб</t>
  </si>
  <si>
    <t>Парковая д-10</t>
  </si>
  <si>
    <t>Парковая д-4а</t>
  </si>
  <si>
    <t>Вывоз и размещение КГО</t>
  </si>
  <si>
    <t>Проверка вент. каналов</t>
  </si>
  <si>
    <t>Электороизоляц. работы</t>
  </si>
  <si>
    <t>Плодовое</t>
  </si>
  <si>
    <t>бондарев э/монт.</t>
  </si>
  <si>
    <t>головина уб.</t>
  </si>
  <si>
    <t>дмитриев сантех.</t>
  </si>
  <si>
    <t>иванова убор.</t>
  </si>
  <si>
    <t>ликликадзе мастер</t>
  </si>
  <si>
    <t>максимов сантех</t>
  </si>
  <si>
    <t>воробьева убор.</t>
  </si>
  <si>
    <t>павлухина убор.</t>
  </si>
  <si>
    <t>рудь убор.</t>
  </si>
  <si>
    <t>савченко сантехник</t>
  </si>
  <si>
    <t>махолин убор.</t>
  </si>
  <si>
    <t>гудкова убор</t>
  </si>
  <si>
    <t>для рабочих-25487,03 ( без  парк.4,10)</t>
  </si>
  <si>
    <t>Общие затраты по уборке п.Плодовое за 2015 год</t>
  </si>
  <si>
    <t>Мед.осмотр</t>
  </si>
  <si>
    <t>зарплата уборщиц</t>
  </si>
  <si>
    <t>Итого затраты по дому</t>
  </si>
  <si>
    <t>Материалы   дома</t>
  </si>
  <si>
    <t xml:space="preserve">Эл/энергия </t>
  </si>
  <si>
    <t xml:space="preserve">Транспорт.рас-ходы </t>
  </si>
  <si>
    <t xml:space="preserve">Общепроизвод.  расходы </t>
  </si>
  <si>
    <t xml:space="preserve">Итого затраты по дому </t>
  </si>
  <si>
    <t>Материалы   дома)</t>
  </si>
  <si>
    <t>Электроизмерительные работы</t>
  </si>
  <si>
    <t>Транспорт.расходы</t>
  </si>
  <si>
    <t>Замена светильников</t>
  </si>
  <si>
    <t>Замена распред.щита</t>
  </si>
  <si>
    <t>Сан.нормы</t>
  </si>
  <si>
    <t>Разбегаево,45</t>
  </si>
  <si>
    <t>Разбегаево,47</t>
  </si>
  <si>
    <t>Разбегаево,51</t>
  </si>
  <si>
    <t>Разбегаево,53</t>
  </si>
  <si>
    <t>Разбегаево,55</t>
  </si>
  <si>
    <t>Тариф</t>
  </si>
  <si>
    <t>Сумма по тарифу</t>
  </si>
  <si>
    <t>Итого по поселку</t>
  </si>
  <si>
    <t>Текущий ремонт п.Разбегаево 2016г.</t>
  </si>
  <si>
    <t>Сбор и вывоз бытовых отходов п. Разбегаево 2016г.</t>
  </si>
  <si>
    <t>Сбор и вывоз быт. отходов</t>
  </si>
  <si>
    <t>Всего затрат по дому</t>
  </si>
  <si>
    <t>Отчисления 20,2 % на зарплату</t>
  </si>
  <si>
    <t>Спец.одежда</t>
  </si>
  <si>
    <t>Учеба по охране труда</t>
  </si>
  <si>
    <t>Медосмотры</t>
  </si>
  <si>
    <t>Материалы (поселок) по уборке</t>
  </si>
  <si>
    <t>Услуги "Стройтранса"</t>
  </si>
  <si>
    <t>Услуги  ЕИРЦ</t>
  </si>
  <si>
    <t>Зарплата рабочей</t>
  </si>
  <si>
    <t>ОДН</t>
  </si>
  <si>
    <t>электроэнергия</t>
  </si>
  <si>
    <t>ХВС</t>
  </si>
  <si>
    <t>ГВС</t>
  </si>
  <si>
    <t>Горбунки д,18</t>
  </si>
  <si>
    <t>Текущий ремонт п. Горбунки 2016</t>
  </si>
  <si>
    <t>Сбор и вывоз твердых бытовых отходов п. Горбунки 2016г.</t>
  </si>
  <si>
    <t>Сбор и вывоз твердых быт. Отходов</t>
  </si>
  <si>
    <t xml:space="preserve">Материалы </t>
  </si>
  <si>
    <t>Общие затраты по содержанию общего имущества п. Разбегаево 2016 ( с ноября 2016г.)</t>
  </si>
  <si>
    <t>Общие затраты по содержанию общего имущества п. Горбунки 2016 ( с ноября  2016г.)</t>
  </si>
  <si>
    <t>Содержание общегго имущества</t>
  </si>
  <si>
    <t>Участок+общежитие</t>
  </si>
  <si>
    <t>общежитие Лесная,6</t>
  </si>
  <si>
    <t>п.Веснино Центральная 2</t>
  </si>
  <si>
    <t>Электороэнергия</t>
  </si>
  <si>
    <t xml:space="preserve">Парковая д-10 </t>
  </si>
  <si>
    <t>Утв.тариф с 01.07.16г.</t>
  </si>
  <si>
    <t>Сан. нормы</t>
  </si>
  <si>
    <t xml:space="preserve">Сан.норма </t>
  </si>
  <si>
    <t>Утв.тариф с 18.07.16г.</t>
  </si>
  <si>
    <t>с 01.07.2016</t>
  </si>
  <si>
    <t>Утв.тариф  на 01.07.16г</t>
  </si>
  <si>
    <t xml:space="preserve">Общие затраты по уборке помещений   п.Сосново </t>
  </si>
  <si>
    <t xml:space="preserve">Общие затраты по уборке придомовой  территории  п.Сосново </t>
  </si>
  <si>
    <t>Уборка придом. тер-рии</t>
  </si>
  <si>
    <t xml:space="preserve">Зарплата </t>
  </si>
  <si>
    <t>Отчисления 20,2 %</t>
  </si>
  <si>
    <t>Расчистка снега</t>
  </si>
  <si>
    <t>Уборка помещений и придом. Тер-рии</t>
  </si>
  <si>
    <t>Уборка помещений и придомовой террии</t>
  </si>
  <si>
    <t>Уборка помещений и придом. тер-рии</t>
  </si>
  <si>
    <t>Уборка помещений и придом.тер-рии</t>
  </si>
  <si>
    <t xml:space="preserve">  05.10.16</t>
  </si>
  <si>
    <t>с января по апрель 2017г.</t>
  </si>
  <si>
    <t>Энергетич. обсл. дома и разраб.энергопаспортов</t>
  </si>
  <si>
    <t>Экспертиза жилого дома</t>
  </si>
  <si>
    <t>Экспертиза кровли</t>
  </si>
  <si>
    <t>Экспертиза фасада</t>
  </si>
  <si>
    <t>Недоплата населения</t>
  </si>
  <si>
    <t>Общие затраты по текущему ремонту с января по апрель 2017г</t>
  </si>
  <si>
    <t>Учеба ( пожарная безопасность)</t>
  </si>
  <si>
    <t>Отчисления 20,2%</t>
  </si>
  <si>
    <t>Страхование гражд. ответственности</t>
  </si>
  <si>
    <t>Готово</t>
  </si>
  <si>
    <t>Страхование гражд. ответствен.</t>
  </si>
  <si>
    <t>Энергет. обсл. и разработ. энергопасп.</t>
  </si>
  <si>
    <t>Общие затраты по  содержанию общего имущества дер.Кривко с января по апрель 2017г.</t>
  </si>
  <si>
    <t>Общие затраты по текущему ремонту дер.Кривко с января по апрель 2017г.</t>
  </si>
  <si>
    <t>Общие затраты по уборке помещений  дер.Кривко с января по апрель 2017г.</t>
  </si>
  <si>
    <t>Общие затраты по уборке придомовой территории   дер.Кривко с января по апрель 2017г.</t>
  </si>
  <si>
    <t>Энергетич. обследов.и рарарот. энергопаспорта</t>
  </si>
  <si>
    <t>Для рабочих-16358,47 м2</t>
  </si>
  <si>
    <t>Посыпка дорог песч.-солевой смесью</t>
  </si>
  <si>
    <t>Готово !</t>
  </si>
  <si>
    <t>Общие затраты по содержанию общего имущества  дер. Снегиревка с января по апрель 2017г.</t>
  </si>
  <si>
    <t>Общие затраты по текущему ремонту дер. Снегиревка с января по апрель 2017г.</t>
  </si>
  <si>
    <t>Общие затраты по уборке помещений  дер. Снегиревка с января по апрель 2017г.</t>
  </si>
  <si>
    <t>Общие затраты по уборке придомовой территории  дер. Снегиревка с января по апрель 2017г.</t>
  </si>
  <si>
    <t>Охрана труда (обучение по пож. безоп.)</t>
  </si>
  <si>
    <t>для рабочих - 13841,67м2</t>
  </si>
  <si>
    <t>Посыпка дорог песчано-солевой смесью</t>
  </si>
  <si>
    <t>Общие затраты по содержанию общего имущества п.Плодовое с января по апрель 2017г.</t>
  </si>
  <si>
    <t>Текущий ремонт пос. Плодовое с января по апрель 2017г.</t>
  </si>
  <si>
    <t>Общие затраты по уборке помещений и придомовой территории п.Плодовое с января по апрель 2017г.</t>
  </si>
  <si>
    <t>Зеленая д-21</t>
  </si>
  <si>
    <t>Элетроэнергия СОИ</t>
  </si>
  <si>
    <t>с января по апрель 2017г. (Эл/энергия СОИ начисляется с февраля 2017г.)</t>
  </si>
  <si>
    <t>Эл/энегрия Сои:</t>
  </si>
  <si>
    <t>Эл/энегрия Сои не включать</t>
  </si>
  <si>
    <t>Прибыль расчитывать с СОИ</t>
  </si>
  <si>
    <t>Всего  по дому:     сод.общ. им-ва +э/энергия СОИ</t>
  </si>
  <si>
    <t>Общехозяйственные-</t>
  </si>
  <si>
    <t>(Эл/энергия СОИ с февраля 2017г.)</t>
  </si>
  <si>
    <t>( Эл/энергия СОИ с февраля 2017г.)</t>
  </si>
  <si>
    <t>Аренда помещения</t>
  </si>
  <si>
    <t>Учеба (по пожарной безоп.)</t>
  </si>
  <si>
    <t>Компенсация за личный а/трансп.</t>
  </si>
  <si>
    <t>для рабочих-27445,26м2</t>
  </si>
  <si>
    <t>Услуги автовышки</t>
  </si>
  <si>
    <t>Готово!</t>
  </si>
  <si>
    <t>( Эл/энергия СОИ с февраля )</t>
  </si>
  <si>
    <t>Учеба персонала( пож. безоп.)</t>
  </si>
  <si>
    <t>% оплаты населения по содерж.общ. им-ва</t>
  </si>
  <si>
    <t>% оплаты населения по эл./эн. СОИ</t>
  </si>
  <si>
    <t>( Эл/энегия СОИ с февраля 2017г.)</t>
  </si>
  <si>
    <t>Общие затраты по содержанию общего имущества  п. Петровское с января по апрель 2017г.</t>
  </si>
  <si>
    <t>Общие затраты по текущему ремонту п. Петровское с января по апрель 2017г.</t>
  </si>
  <si>
    <t>Общие затраты по уборке помещений и придомовой территории п. Петровское с января по апрель 2017г.</t>
  </si>
  <si>
    <t>Установка ОПУ ХВС</t>
  </si>
  <si>
    <t>Общие затраты по содержанию общего имущества п.Тракторное с января по апрель 2017г.</t>
  </si>
  <si>
    <t>Текущий ремонт с января по апрель 2017г.</t>
  </si>
  <si>
    <t>Уборка помещений и придомовой тер-рии с января по апрель 2017г.</t>
  </si>
  <si>
    <t xml:space="preserve">  05.10.17</t>
  </si>
  <si>
    <t>1фер16</t>
  </si>
  <si>
    <t>1фер17</t>
  </si>
  <si>
    <t>Содержание общего имущества с января по апрель 2017г.</t>
  </si>
  <si>
    <t>Итого по Веснино</t>
  </si>
  <si>
    <t>Соловьевка+ Веснино</t>
  </si>
  <si>
    <t>за первое полугодие 2017г. (Эл/энергия СОИ начисляется с февраля 2017г.)</t>
  </si>
  <si>
    <t>за первое полугодие 2017г.</t>
  </si>
  <si>
    <t>без сои</t>
  </si>
  <si>
    <t>сои</t>
  </si>
  <si>
    <t>Устройство водоотведения ливневых стоков</t>
  </si>
  <si>
    <t>Общие затраты по текущему ремонту за первое полугодие2017г</t>
  </si>
  <si>
    <t>Общие затраты по  содержанию общего имущества дер.Кривко за первое полугодие 2017г.</t>
  </si>
  <si>
    <t>Общие затраты по текущему ремонту дер.Кривко за первое полугодие 2017г.</t>
  </si>
  <si>
    <t>Общие затраты по уборке помещений  дер.Кривко за первое полугодие 2017г.</t>
  </si>
  <si>
    <t>Общие затраты по уборке придомовой территории   дер.Кривко за первое полугодие 2017г.</t>
  </si>
  <si>
    <t>Общие затраты по содержанию общего имущества  дер. Снегиревка за первое полугодия 2017г.</t>
  </si>
  <si>
    <t>Общие затраты по текущему ремонту дер. Снегиревка за первое полугодие 2017г.</t>
  </si>
  <si>
    <t>Общие затраты по уборке помещений  дер. Снегиревка за первое полугодие 2017г.</t>
  </si>
  <si>
    <t>Общие затраты по уборке придомовой территории  дер. Снегиревка за первое полугодие  2017г.</t>
  </si>
  <si>
    <t>Ремонт канализации</t>
  </si>
  <si>
    <t>Общие затраты по содержанию общего имущества п.Плодовое за первое полугодие 2017г.</t>
  </si>
  <si>
    <t>Текущий ремонт пос. Плодовое за первое полугодие 2017г.</t>
  </si>
  <si>
    <t>Общие затраты по уборке помещений и придомовой территории п.Плодовое за первое полугодие 2017г.</t>
  </si>
  <si>
    <t>Общие затраты по содержанию общего имущества п.Тракторное за первое полугодие 2017г.</t>
  </si>
  <si>
    <t>Текущий ремонт за первое полугодие 2017г.</t>
  </si>
  <si>
    <t>Уборка помещений и придомовой тер-рии за первое полугодие 2017г.</t>
  </si>
  <si>
    <t xml:space="preserve">  05.10.2016</t>
  </si>
  <si>
    <t xml:space="preserve">  05.10.2017</t>
  </si>
  <si>
    <t>Общие затраты по содержанию общего имущества п. Ромашки  за первое полугодие 2017г.</t>
  </si>
  <si>
    <t>Общие затраты по  текущему ремонту п. Ромашки за первое полугодие 2017г.</t>
  </si>
  <si>
    <t>Общие затраты по  уборке помещений и придомовой территории п. Ромашки за первое полугодие 2017г.</t>
  </si>
  <si>
    <t>Общие затраты по содержанию общего имущества  п. Петровское за первое полугодие 2017г.</t>
  </si>
  <si>
    <t>Общие затраты по текущему ремонту п. Петровское за первое полугодие 2017г.</t>
  </si>
  <si>
    <t>Общие затраты по уборке помещений и придомовой территории п. Петровскоеза первое полугодие 2017г.</t>
  </si>
  <si>
    <t>за 9 месяцев 2017г.</t>
  </si>
  <si>
    <t>Услуги АДС</t>
  </si>
  <si>
    <t>Обслуживаение ОПУ</t>
  </si>
  <si>
    <t>Учет начисления платежей</t>
  </si>
  <si>
    <t xml:space="preserve">Типографский пер.д.11 </t>
  </si>
  <si>
    <t>с 01.07.2017</t>
  </si>
  <si>
    <t>Уборка помещений и прид. тер-ии</t>
  </si>
  <si>
    <t>за 9 месяцев2017г.</t>
  </si>
  <si>
    <t>Учет начисл. платеж.</t>
  </si>
  <si>
    <t>Содержание общ.имущ.</t>
  </si>
  <si>
    <t>Общие затраты по текущему ремонту дер. Снегиревка за 9 месяцев 2017г.</t>
  </si>
  <si>
    <t>Гагарина д-5 (снят с 17.04.17)</t>
  </si>
  <si>
    <t>Гагарина д-6 (снят с 16.01.17)</t>
  </si>
  <si>
    <t>Набережная д- 12 ( снят с 01.06.17)</t>
  </si>
  <si>
    <t>Набережная д- 18 (снят с 01.06.17)</t>
  </si>
  <si>
    <t>Набережная д- 33 (снят с 23.06.17)</t>
  </si>
  <si>
    <t>Текущий ремонт пос. Плодовое за 9 месяцев 2017г.</t>
  </si>
  <si>
    <t>Уборка помещ, и придом.терр.</t>
  </si>
  <si>
    <t>Общие затраты по  текущему ремонту п. Ромашки за 9 месяцев 2017г.</t>
  </si>
  <si>
    <t>Текущий ремонт за 9 месяцев 2017г.</t>
  </si>
  <si>
    <t>без типографского</t>
  </si>
  <si>
    <t>Всего</t>
  </si>
  <si>
    <t xml:space="preserve"> июль 2017г.</t>
  </si>
  <si>
    <t>Транспорт.расходы за 3кв.</t>
  </si>
  <si>
    <t>Транспорт.расходы за 6 мес.</t>
  </si>
  <si>
    <t>Транспорт.расходы за 9 мес.</t>
  </si>
  <si>
    <t>Общехозяйственные расходы за 6 мес.</t>
  </si>
  <si>
    <t>Общехозяйственные расходы за 3 кв.</t>
  </si>
  <si>
    <t>Общехозяйственные расходы за 9 мес.</t>
  </si>
  <si>
    <t>Общепроизвод. расходы  за 6 мес.</t>
  </si>
  <si>
    <t>Общепроизвод. расходы за 3 кв.</t>
  </si>
  <si>
    <t>Общепроизвод. расходы за 9 мес.</t>
  </si>
  <si>
    <t>Материалы (дома) по сод общ. им-ва</t>
  </si>
  <si>
    <t>Итого расхоы по сод. общ. им-ва</t>
  </si>
  <si>
    <t>Материалы по текущему ремонту</t>
  </si>
  <si>
    <t>Материалы по уборке помещений</t>
  </si>
  <si>
    <t>Итого затраты по текущему ремонту</t>
  </si>
  <si>
    <t>Итого затраты по уборке помещений</t>
  </si>
  <si>
    <t>Обслуживание ОПУ</t>
  </si>
  <si>
    <t>Начисление прием и учет платежей</t>
  </si>
  <si>
    <t>Энергетич. обследов.и разрарот. энергопаспорта</t>
  </si>
  <si>
    <t>Зарплата рабочих за 6 мес.</t>
  </si>
  <si>
    <t>Зарплата рабочих 3 кв.</t>
  </si>
  <si>
    <t>Зарплата рабочих 9 мес.</t>
  </si>
  <si>
    <t>Типографский</t>
  </si>
  <si>
    <t>Суходолье</t>
  </si>
  <si>
    <t>Понтонное</t>
  </si>
  <si>
    <t>Кривко</t>
  </si>
  <si>
    <t>Снегиревка</t>
  </si>
  <si>
    <t>Ромашки</t>
  </si>
  <si>
    <t>Петровское</t>
  </si>
  <si>
    <t>Разбегаево</t>
  </si>
  <si>
    <t>Горбунки</t>
  </si>
  <si>
    <t>Тракторное</t>
  </si>
  <si>
    <t>Плодовское пос.</t>
  </si>
  <si>
    <t xml:space="preserve"> Итого (9м)</t>
  </si>
  <si>
    <t>Расчет АДС</t>
  </si>
  <si>
    <t>Услуги АДС(6М)</t>
  </si>
  <si>
    <t>Услуги АДС (3кв)</t>
  </si>
  <si>
    <t>разница</t>
  </si>
  <si>
    <t>Утв.тариф с 01.07.17г. по сод. общ. им-ва</t>
  </si>
  <si>
    <t>Утв.тариф с 01.07.17г. по текущему ремонту</t>
  </si>
  <si>
    <t xml:space="preserve">Общие затраты по содержанию общего имущества   п.Сосново </t>
  </si>
  <si>
    <t xml:space="preserve">Общие затраты потекущему ремонту   п.Сосново </t>
  </si>
  <si>
    <t>Плата по сод.общ. имущества  по дому всего</t>
  </si>
  <si>
    <t>Итого затраты по сод. общ. им-ва</t>
  </si>
  <si>
    <t xml:space="preserve"> За обслуживание ОПУ</t>
  </si>
  <si>
    <t>За начисление прием и учет платежей</t>
  </si>
  <si>
    <t>За услуги АДС</t>
  </si>
  <si>
    <t xml:space="preserve">% оплаты населения </t>
  </si>
  <si>
    <t>Недоплата населения по текущему ремонту</t>
  </si>
  <si>
    <t>Плата по сод.общ.имущества по дому всего</t>
  </si>
  <si>
    <t>Материалы по уборке помещений( общая)</t>
  </si>
  <si>
    <t>Установлены счетчики</t>
  </si>
  <si>
    <t>Шоссейная,27</t>
  </si>
  <si>
    <t>Площадь</t>
  </si>
  <si>
    <t>Шоссейная,34</t>
  </si>
  <si>
    <t>Шоссейная,35</t>
  </si>
  <si>
    <t>Шоссейная,36</t>
  </si>
  <si>
    <t>Шоссейная,37</t>
  </si>
  <si>
    <t>Прибыль (Убыток)</t>
  </si>
  <si>
    <t>Недоплата населения всего</t>
  </si>
  <si>
    <t>Зарплата рабочих 9 мес.(в том числе%)</t>
  </si>
  <si>
    <t>Счетчики ОПУ</t>
  </si>
  <si>
    <t>Сумма (3кв)</t>
  </si>
  <si>
    <t>Сумма(6 м.)</t>
  </si>
  <si>
    <t>Площади(6м.)</t>
  </si>
  <si>
    <t>Площади(9м.)</t>
  </si>
  <si>
    <t>без центр.39</t>
  </si>
  <si>
    <t>Проверка венттиляц.каналов</t>
  </si>
  <si>
    <t>Плата по содержанию общ.им-ва по дому всего</t>
  </si>
  <si>
    <t>Итого сумма затрат по дому всего</t>
  </si>
  <si>
    <t xml:space="preserve">Итого сумма затрат по дому всего </t>
  </si>
  <si>
    <t xml:space="preserve"> Итого сумма затрат   по дому всего</t>
  </si>
  <si>
    <t>без снятых с баланса</t>
  </si>
  <si>
    <t>Установка металлических  дверей</t>
  </si>
  <si>
    <t>Комп.за использ. личного трансп.</t>
  </si>
  <si>
    <t>для уборщиц</t>
  </si>
  <si>
    <t>для рабочих</t>
  </si>
  <si>
    <t>обсл. Опу</t>
  </si>
  <si>
    <t>Компенсация за исп. личного транспорта</t>
  </si>
  <si>
    <t>по уборке</t>
  </si>
  <si>
    <t>Общие затраты по содержанию общего имущества и текущему ремонту п.Тракторное за 9 месяцев 2017г.</t>
  </si>
  <si>
    <t>Общие затраты п.Сосново по содержанию общего имущества и текущем ремонту за 9 месяцев 2017г.</t>
  </si>
  <si>
    <t>Общие затраты по содержанию общего имущества и текущему ремонту  п.Понтонное</t>
  </si>
  <si>
    <t>Общие затраты по  содержанию общего имущества  и текущему ремонту  по дер.Кривко 9 месяцев 2017г.</t>
  </si>
  <si>
    <t>Общие затраты по содержанию общего имущества и текущему ремонту по   дер. Снегиревка за 9 месяцев 2017г.</t>
  </si>
  <si>
    <t>Общие затраты по содержанию общего имущества и текущему ремонту  п.Плодовое за 9 месяцев 2017г.</t>
  </si>
  <si>
    <t>Общие затраты по  содержанию общего имущества и текущему ремонту  всего п. Ромашки за 9 месяцев 2017г.</t>
  </si>
  <si>
    <t>Общие затраты по содержанию общего имущества  и текущему ремонту  по   п. Петровское за 9 месяцев 2017г.</t>
  </si>
  <si>
    <t xml:space="preserve"> Затраты по содержанию общего имущества и текущему ремонту  за 9 месяцев 2017г.</t>
  </si>
  <si>
    <t>Страхование гражд. ответств.</t>
  </si>
  <si>
    <t>Страхование граж. ответств.</t>
  </si>
  <si>
    <t>Прибыль (Убыток) по тек. Ремонту</t>
  </si>
  <si>
    <t>С исправлениями Надежды Петровны за 9 месяцев!!!</t>
  </si>
  <si>
    <t>Недоплата населения по сод. общ.им-ва</t>
  </si>
  <si>
    <t>Прибыль  (Убыток)</t>
  </si>
  <si>
    <t>Прибыль (Убыток) по сод.</t>
  </si>
  <si>
    <t>Прибыль (Убыток) по тек.рем.</t>
  </si>
  <si>
    <t>Затраты по содержанию за 9 мес. 2017г.</t>
  </si>
  <si>
    <t>Общие затраты  по содержанию общего имущества за 2017г.( пос.Сосново)</t>
  </si>
  <si>
    <t>Общие затраты по уборке придомовой  территории  за 2017г.( п.Сосново )</t>
  </si>
  <si>
    <t>Элетроэнергия СОИ ( + ОПУ СОИ)</t>
  </si>
  <si>
    <t>Типографский,11</t>
  </si>
  <si>
    <t>Сумма</t>
  </si>
  <si>
    <t>с июля 2017</t>
  </si>
  <si>
    <t>Уборка придомовой территории</t>
  </si>
  <si>
    <t>3360,0х6мх тариф</t>
  </si>
  <si>
    <t>3360*6*16,46</t>
  </si>
  <si>
    <t>оплата/начислено=%</t>
  </si>
  <si>
    <t>начислено х на%=Оплачено</t>
  </si>
  <si>
    <t>за  2017г.</t>
  </si>
  <si>
    <t>Уборка помещений и придомовой территории</t>
  </si>
  <si>
    <t>Общие затраты по текущему ремонту за 2017г</t>
  </si>
  <si>
    <t>Общие затраты по текущему ремонту за 2017год  ( п.Сосново )</t>
  </si>
  <si>
    <t>Уборка придомовой территории ( 1рубль)</t>
  </si>
  <si>
    <t>Общие затраты по текущему ремонту за 2017год (п.Понтонное)</t>
  </si>
  <si>
    <t>Общие затраты по содержанию общего имущества за 2017год ( (п.Тракторное)</t>
  </si>
  <si>
    <t>Текущий ремонт за  2017г.(п.Тракторное)</t>
  </si>
  <si>
    <t>Уборка помещений и придомовой территоррии</t>
  </si>
  <si>
    <t>Текущий ремонт за 2017год (д.Кривко)</t>
  </si>
  <si>
    <t>Уборка придомовой территории за 2017год (д.Кривко )</t>
  </si>
  <si>
    <t>Уборка придомовой территории (1 руб.)</t>
  </si>
  <si>
    <t xml:space="preserve">Общие затраты по  содержанию общего имущества  за 2017год </t>
  </si>
  <si>
    <t>Общие затраты по содержанию общего имущества за 2017год (дер. Снегиревка )</t>
  </si>
  <si>
    <t xml:space="preserve"> Текущий ремонт за 2017год ( дер. Снегиревка) </t>
  </si>
  <si>
    <t xml:space="preserve">  Уборка придомовой территории  за 2017год (дер. Снегиревка )</t>
  </si>
  <si>
    <t>Общие затраты по содержанию общего имущества за 2017год ( пос.Плодовое )</t>
  </si>
  <si>
    <t>Текущий ремонт за 2017год (пос.Плодовое)</t>
  </si>
  <si>
    <t>Уборка помещ. и придом.терр.</t>
  </si>
  <si>
    <t>Общие затраты по  содержанию общего имущества  за 2017г.(п.Ромашки)</t>
  </si>
  <si>
    <t xml:space="preserve">  Текущий ремонт за 2017год (п.Ромашки)</t>
  </si>
  <si>
    <t xml:space="preserve">Общие затраты по содержанию общего имущества  за 2017 год  (п. Петровское) </t>
  </si>
  <si>
    <t xml:space="preserve"> Текущий ремонт за 2017год ( п. Петровское )</t>
  </si>
  <si>
    <t>Площади(год)</t>
  </si>
  <si>
    <t>Сумма (год)</t>
  </si>
  <si>
    <t xml:space="preserve">Обслуживание ОПУ </t>
  </si>
  <si>
    <t xml:space="preserve">Петровское </t>
  </si>
  <si>
    <t>Сумма (база+з/пл)</t>
  </si>
  <si>
    <t>Обс. ОПУ(из 20сч)</t>
  </si>
  <si>
    <t>Общая</t>
  </si>
  <si>
    <t>Кол-во счетчиков</t>
  </si>
  <si>
    <t xml:space="preserve">Общехозяйственные расходы </t>
  </si>
  <si>
    <t>Зарплата рабочих (в том числе%)</t>
  </si>
  <si>
    <t xml:space="preserve">Консультации перед проверкой знаний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</si>
  <si>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</si>
  <si>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Итого по Сосново</t>
  </si>
  <si>
    <t>Итого по сод</t>
  </si>
  <si>
    <t>Итого по содержанию</t>
  </si>
  <si>
    <t>коэф-нт</t>
  </si>
  <si>
    <t>сумма</t>
  </si>
  <si>
    <t>общехоз.</t>
  </si>
  <si>
    <t>тр. цех</t>
  </si>
  <si>
    <t>общепроиз.</t>
  </si>
  <si>
    <t>зарплата</t>
  </si>
  <si>
    <t xml:space="preserve">Утв.тариф с 01.07.17г. </t>
  </si>
  <si>
    <t>Связи д.7(нет прибора)</t>
  </si>
  <si>
    <t>Услуги по сбору и размещению твердых бытовых отходов</t>
  </si>
  <si>
    <t xml:space="preserve">Итого </t>
  </si>
  <si>
    <t>Уборка помещений и прид. территории</t>
  </si>
  <si>
    <t>Содержание общего имущества за 2017 год</t>
  </si>
  <si>
    <t>Зарплата рабочих с начислением 20,2%</t>
  </si>
  <si>
    <t>Консультация перед проверкой знаний  по электробезопастности</t>
  </si>
  <si>
    <t>Услуги вышки</t>
  </si>
  <si>
    <t>Зарплата уборщиц с нначислением 20,2%</t>
  </si>
  <si>
    <t>ул.Центральная, д.39 искл. с 5фев.</t>
  </si>
  <si>
    <t>без Центр.39</t>
  </si>
  <si>
    <t>площадь</t>
  </si>
  <si>
    <t>Общие затраты по содержанию общего имуществаза 2017год ( п.Понтонное)</t>
  </si>
  <si>
    <t>Консультация перед проверкой знаний по электробезопастности</t>
  </si>
  <si>
    <t>Зарплата рабочих с начислениями 20,2%</t>
  </si>
  <si>
    <t xml:space="preserve">Недоплата населения </t>
  </si>
  <si>
    <t>Готово !!!</t>
  </si>
  <si>
    <t>Одноэтажные</t>
  </si>
  <si>
    <t>Для рабочих м2</t>
  </si>
  <si>
    <t>Для уборщиц м2</t>
  </si>
  <si>
    <t>Снятые с июня</t>
  </si>
  <si>
    <t>снятые с апреля</t>
  </si>
  <si>
    <t>для рабочих - м2 ( без одноэт.)</t>
  </si>
  <si>
    <t>Зарплатауборщиц с начислениями 20,2%</t>
  </si>
  <si>
    <t>Утв.тариф с 01.07.17г. по тек. ремонту</t>
  </si>
  <si>
    <t>Зарплата  с начислениями 20,2%</t>
  </si>
  <si>
    <t>Страхование автомобиля</t>
  </si>
  <si>
    <t>Зарплата рабочих и с начислением 20,2%</t>
  </si>
  <si>
    <t>Зарплата уборщиц с начислением 20,2%</t>
  </si>
  <si>
    <t>Установка метал.дверей</t>
  </si>
  <si>
    <t>для рабочих-25053,6 м2</t>
  </si>
  <si>
    <t>Зарплата уборщиц с начислениями 20,2%</t>
  </si>
  <si>
    <t xml:space="preserve">Итого сумма затрат по дому </t>
  </si>
  <si>
    <t>Зарплата рабочих с начисленим 20,2%</t>
  </si>
  <si>
    <t>Итого сумма затрат по дому</t>
  </si>
  <si>
    <t>Консультация перед проверкой знаний</t>
  </si>
  <si>
    <t>Зарплата с начисленим 20,2%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</si>
  <si>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</si>
  <si>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прибороучета-18977,3</t>
  </si>
  <si>
    <t xml:space="preserve">Утв.тариф </t>
  </si>
  <si>
    <t>проведи вправо</t>
  </si>
  <si>
    <t>По договору цессии</t>
  </si>
  <si>
    <t>Итого по текущему ремонту</t>
  </si>
  <si>
    <t xml:space="preserve">Договор цессии </t>
  </si>
  <si>
    <t>Всего по уборке помещений</t>
  </si>
  <si>
    <t>Всего услуги АДС</t>
  </si>
  <si>
    <t>Всего по учету начисления платежей</t>
  </si>
  <si>
    <t xml:space="preserve">Договор цессии  </t>
  </si>
  <si>
    <t>Всего по содержанию общего имцщества</t>
  </si>
  <si>
    <t>Верно</t>
  </si>
  <si>
    <t>По договору цесии</t>
  </si>
  <si>
    <t>верно</t>
  </si>
  <si>
    <t>Итого начислено по уборке придом. тер-ии (1руб.)</t>
  </si>
  <si>
    <t>Замена эл/счетчиков</t>
  </si>
  <si>
    <t>Герметицация швов</t>
  </si>
  <si>
    <t>Устройство ливнестоков</t>
  </si>
  <si>
    <t>Установка опу хвс</t>
  </si>
  <si>
    <t>Ремонт теплосчетчика</t>
  </si>
  <si>
    <t>Замена задвижки отопления</t>
  </si>
  <si>
    <t>Ремонт ХВС</t>
  </si>
  <si>
    <t xml:space="preserve">Готово </t>
  </si>
  <si>
    <t>Бетонирование подъезд.площадок</t>
  </si>
  <si>
    <t>Замена эл.автоматов</t>
  </si>
  <si>
    <t>Ремонт  полов в подъезде</t>
  </si>
  <si>
    <t>Замена запорной арматуры</t>
  </si>
  <si>
    <t>Утепление труб ХВС</t>
  </si>
  <si>
    <t>Ремонт перил</t>
  </si>
  <si>
    <t>Замена эл.щита</t>
  </si>
  <si>
    <t>Ремонт козырька крыльца</t>
  </si>
  <si>
    <t>Замена эл.проводки в подвале</t>
  </si>
  <si>
    <t>Замена эл.проводки в подвале,труб ХВС</t>
  </si>
  <si>
    <t>Утвержденный тариф с 01.07.16г.</t>
  </si>
  <si>
    <t>Замена окон в 2018г.</t>
  </si>
  <si>
    <t>Ремонт системы отопления</t>
  </si>
  <si>
    <t xml:space="preserve">Ремонт освещения </t>
  </si>
  <si>
    <t>Ремонт козырьков</t>
  </si>
  <si>
    <t>Установка окон</t>
  </si>
  <si>
    <t>Замена манометра</t>
  </si>
  <si>
    <t>Ремонт отмостки</t>
  </si>
  <si>
    <t>Ремонт пола</t>
  </si>
  <si>
    <t>готово</t>
  </si>
  <si>
    <t>Ремонт двери  в подвал</t>
  </si>
  <si>
    <t>Установка метал. дверей</t>
  </si>
  <si>
    <t>Замена и ремонт доводчика</t>
  </si>
  <si>
    <t>Ремонт отопления</t>
  </si>
  <si>
    <t>Ремонт дверей</t>
  </si>
  <si>
    <t>Ремонт оконных проемов</t>
  </si>
  <si>
    <t>Ремонт светильников</t>
  </si>
  <si>
    <t>Замена и ремонт датчиков движения</t>
  </si>
  <si>
    <t>Затраты по текущему ремонту по пос.Суходолье за 2017год</t>
  </si>
  <si>
    <t>Ремонт окон</t>
  </si>
  <si>
    <t>Установка насоса на системе отопления</t>
  </si>
  <si>
    <t>Ремонт электрики</t>
  </si>
  <si>
    <t>Устройство решеток вент. окна</t>
  </si>
  <si>
    <t>Замена ввода в дом</t>
  </si>
  <si>
    <t>Ремонт освещ.в подъезде</t>
  </si>
  <si>
    <t>Ремонт лестничных площадок</t>
  </si>
  <si>
    <t>Фундамент (засыпка ямы)</t>
  </si>
  <si>
    <t>Ремонт ГВС</t>
  </si>
  <si>
    <t>Ремонт электрики в подвале</t>
  </si>
  <si>
    <t>Утв.тариф с 01.07.17г. по тек.ремонту</t>
  </si>
  <si>
    <t>Утв.тариф с 01.07.17г. по текущему рем.</t>
  </si>
  <si>
    <t>Текущий ремонт за  2017г.</t>
  </si>
  <si>
    <t xml:space="preserve">Общие затраты по содержанию общего имущества п. Разбегаево 2017год </t>
  </si>
  <si>
    <t>СОИ эл/энергия</t>
  </si>
  <si>
    <t>Задолженность населения</t>
  </si>
  <si>
    <t>Всего по содержанию общего имущества</t>
  </si>
  <si>
    <t>С/С за 1м2</t>
  </si>
  <si>
    <t>Услуги ЕИРЦ</t>
  </si>
  <si>
    <t>Эл/эн. СОИ</t>
  </si>
  <si>
    <t>Материалы(дома)</t>
  </si>
  <si>
    <t>Материалы поселок</t>
  </si>
  <si>
    <t>Материалы по уборке</t>
  </si>
  <si>
    <t>ВДГО</t>
  </si>
  <si>
    <t>Медосмотр</t>
  </si>
  <si>
    <t>Энергообсл. спаспортом</t>
  </si>
  <si>
    <t>Учеба по ОТ</t>
  </si>
  <si>
    <t xml:space="preserve">Зарплата уборщиц </t>
  </si>
  <si>
    <t>Отчисления 20,2% на з/пл.</t>
  </si>
  <si>
    <t>Общехоз.расходы</t>
  </si>
  <si>
    <t>Общепроизв.расходы</t>
  </si>
  <si>
    <t>Зарплата уборщиц в т.ч.%</t>
  </si>
  <si>
    <t>Утв.тариф с01.07.2017г.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</si>
</sst>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#,##0.00\ &quot;₽&quot;"/>
  </numFmts>
  <fonts count="95" x14ac:knownFonts="1">
    <font>
      <sz val="11"/>
      <color theme="1"/>
      <name val="Calibri"/>
      <family val="2"/>
      <charset val="204"/>
      <scheme val="minor"/>
    </font>
    <font>
      <sz val="14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2"/>
      <name val="Arial Cyr"/>
      <charset val="204"/>
    </font>
    <font>
      <i/>
      <sz val="12"/>
      <name val="Arial Cyr"/>
      <charset val="204"/>
    </font>
    <font>
      <sz val="14"/>
      <name val="Arial Cyr"/>
      <charset val="204"/>
    </font>
    <font>
      <b/>
      <i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b/>
      <sz val="9"/>
      <name val="Arial Cyr"/>
      <charset val="204"/>
    </font>
    <font>
      <sz val="11"/>
      <name val="Arial Cyr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b/>
      <i/>
      <sz val="10"/>
      <name val="Arial Cyr"/>
      <family val="2"/>
      <charset val="204"/>
    </font>
    <font>
      <b/>
      <i/>
      <sz val="14"/>
      <name val="Arial Cyr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name val="Arial Cyr"/>
      <family val="2"/>
      <charset val="204"/>
    </font>
    <font>
      <sz val="11"/>
      <name val="Calibri"/>
      <family val="2"/>
      <charset val="204"/>
      <scheme val="minor"/>
    </font>
    <font>
      <i/>
      <sz val="14"/>
      <name val="Arial Cyr"/>
      <charset val="204"/>
    </font>
    <font>
      <b/>
      <i/>
      <sz val="1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9"/>
      <name val="Arial Cyr"/>
      <charset val="204"/>
    </font>
    <font>
      <sz val="10"/>
      <name val="Arial"/>
      <family val="2"/>
      <charset val="204"/>
    </font>
    <font>
      <b/>
      <i/>
      <sz val="9"/>
      <name val="Arial Cyr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Arial Cyr"/>
      <family val="2"/>
      <charset val="204"/>
    </font>
    <font>
      <b/>
      <i/>
      <sz val="9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8"/>
      <name val="Arial Cyr"/>
      <charset val="204"/>
    </font>
    <font>
      <b/>
      <i/>
      <sz val="1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8"/>
      <name val="Arial Cyr"/>
      <family val="2"/>
      <charset val="204"/>
    </font>
    <font>
      <i/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sz val="8"/>
      <name val="Arial Cyr"/>
      <charset val="204"/>
    </font>
    <font>
      <sz val="11"/>
      <name val="Arial"/>
      <family val="2"/>
      <charset val="204"/>
    </font>
    <font>
      <i/>
      <sz val="9"/>
      <name val="Arial Cyr"/>
      <charset val="204"/>
    </font>
    <font>
      <i/>
      <sz val="9"/>
      <color theme="1"/>
      <name val="Calibri"/>
      <family val="2"/>
      <charset val="204"/>
      <scheme val="minor"/>
    </font>
    <font>
      <i/>
      <sz val="9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sz val="11"/>
      <name val="Arial Cyr"/>
      <charset val="204"/>
    </font>
    <font>
      <b/>
      <i/>
      <sz val="11"/>
      <name val="Arial Cyr"/>
      <family val="2"/>
      <charset val="204"/>
    </font>
    <font>
      <b/>
      <sz val="10"/>
      <name val="Arial"/>
      <family val="2"/>
      <charset val="204"/>
    </font>
    <font>
      <i/>
      <sz val="11"/>
      <name val="Calibri"/>
      <family val="2"/>
      <charset val="204"/>
      <scheme val="minor"/>
    </font>
    <font>
      <i/>
      <sz val="9"/>
      <name val="Cambria"/>
      <family val="1"/>
      <charset val="204"/>
      <scheme val="major"/>
    </font>
    <font>
      <i/>
      <sz val="9"/>
      <color theme="1"/>
      <name val="Cambria"/>
      <family val="1"/>
      <charset val="204"/>
      <scheme val="major"/>
    </font>
    <font>
      <i/>
      <sz val="8"/>
      <name val="Arial"/>
      <family val="2"/>
      <charset val="204"/>
    </font>
    <font>
      <i/>
      <sz val="10"/>
      <color theme="1"/>
      <name val="Arial"/>
      <family val="2"/>
      <charset val="204"/>
    </font>
    <font>
      <sz val="14"/>
      <name val="Arial"/>
      <family val="2"/>
      <charset val="204"/>
    </font>
    <font>
      <i/>
      <sz val="14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1"/>
      <name val="Arial Cyr"/>
      <charset val="204"/>
    </font>
    <font>
      <sz val="8"/>
      <name val="Arial Cyr"/>
      <charset val="204"/>
    </font>
    <font>
      <sz val="8"/>
      <color theme="1"/>
      <name val="Arial"/>
      <family val="2"/>
      <charset val="204"/>
    </font>
    <font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sz val="8"/>
      <name val="Arial"/>
      <family val="2"/>
      <charset val="204"/>
    </font>
    <font>
      <sz val="9"/>
      <color theme="1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i/>
      <sz val="11"/>
      <color rgb="FFC00000"/>
      <name val="Calibri"/>
      <family val="2"/>
      <charset val="204"/>
      <scheme val="minor"/>
    </font>
    <font>
      <b/>
      <sz val="8"/>
      <name val="Arial Cyr"/>
      <charset val="204"/>
    </font>
    <font>
      <sz val="8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i/>
      <sz val="10"/>
      <name val="Arial Cyr"/>
      <family val="2"/>
      <charset val="204"/>
    </font>
    <font>
      <b/>
      <i/>
      <sz val="14"/>
      <color rgb="FFFF0000"/>
      <name val="Arial Cyr"/>
      <charset val="204"/>
    </font>
    <font>
      <b/>
      <i/>
      <sz val="10"/>
      <color rgb="FFFF0000"/>
      <name val="Arial Cyr"/>
      <charset val="204"/>
    </font>
    <font>
      <i/>
      <sz val="10"/>
      <color rgb="FFFF0000"/>
      <name val="Arial Cyr"/>
      <charset val="204"/>
    </font>
    <font>
      <i/>
      <sz val="10"/>
      <color rgb="FFFF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06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4" fontId="2" fillId="0" borderId="3" xfId="0" applyNumberFormat="1" applyFont="1" applyFill="1" applyBorder="1" applyAlignment="1">
      <alignment horizontal="center" vertical="top"/>
    </xf>
    <xf numFmtId="4" fontId="9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0" borderId="0" xfId="0" applyNumberFormat="1"/>
    <xf numFmtId="2" fontId="0" fillId="0" borderId="0" xfId="0" applyNumberForma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17" fillId="0" borderId="1" xfId="0" applyFont="1" applyBorder="1"/>
    <xf numFmtId="0" fontId="0" fillId="0" borderId="0" xfId="0" applyFont="1"/>
    <xf numFmtId="0" fontId="18" fillId="0" borderId="0" xfId="0" applyFont="1"/>
    <xf numFmtId="0" fontId="2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4" fontId="0" fillId="0" borderId="1" xfId="0" applyNumberFormat="1" applyBorder="1"/>
    <xf numFmtId="4" fontId="9" fillId="2" borderId="1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0" fillId="0" borderId="0" xfId="0" applyNumberFormat="1"/>
    <xf numFmtId="0" fontId="23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4" fontId="28" fillId="0" borderId="1" xfId="0" applyNumberFormat="1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2" fontId="0" fillId="0" borderId="0" xfId="0" applyNumberFormat="1" applyBorder="1" applyAlignment="1">
      <alignment horizontal="center" vertical="top"/>
    </xf>
    <xf numFmtId="2" fontId="0" fillId="0" borderId="0" xfId="0" applyNumberFormat="1" applyBorder="1" applyAlignment="1">
      <alignment horizontal="center" vertical="top" wrapText="1"/>
    </xf>
    <xf numFmtId="4" fontId="9" fillId="0" borderId="0" xfId="0" applyNumberFormat="1" applyFont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4" fontId="18" fillId="0" borderId="0" xfId="0" applyNumberFormat="1" applyFont="1" applyBorder="1" applyAlignment="1">
      <alignment horizontal="center"/>
    </xf>
    <xf numFmtId="4" fontId="9" fillId="0" borderId="0" xfId="0" applyNumberFormat="1" applyFont="1" applyBorder="1"/>
    <xf numFmtId="2" fontId="8" fillId="0" borderId="0" xfId="0" applyNumberFormat="1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0" fontId="29" fillId="0" borderId="0" xfId="0" applyFont="1"/>
    <xf numFmtId="0" fontId="0" fillId="0" borderId="0" xfId="0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18" fillId="0" borderId="0" xfId="0" applyFont="1" applyBorder="1"/>
    <xf numFmtId="2" fontId="2" fillId="0" borderId="0" xfId="0" applyNumberFormat="1" applyFont="1" applyFill="1" applyBorder="1" applyAlignment="1">
      <alignment horizontal="center" vertical="top" wrapText="1"/>
    </xf>
    <xf numFmtId="0" fontId="18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2" fontId="11" fillId="0" borderId="0" xfId="0" applyNumberFormat="1" applyFont="1" applyBorder="1" applyAlignment="1">
      <alignment horizontal="center" vertical="center"/>
    </xf>
    <xf numFmtId="0" fontId="27" fillId="0" borderId="0" xfId="0" applyFont="1"/>
    <xf numFmtId="0" fontId="2" fillId="0" borderId="3" xfId="0" applyFont="1" applyBorder="1" applyAlignment="1">
      <alignment horizontal="left"/>
    </xf>
    <xf numFmtId="2" fontId="0" fillId="0" borderId="0" xfId="0" applyNumberForma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4" fontId="9" fillId="0" borderId="3" xfId="0" applyNumberFormat="1" applyFont="1" applyFill="1" applyBorder="1" applyAlignment="1">
      <alignment horizontal="center" vertical="top"/>
    </xf>
    <xf numFmtId="4" fontId="2" fillId="0" borderId="6" xfId="0" applyNumberFormat="1" applyFont="1" applyBorder="1" applyAlignment="1">
      <alignment horizontal="center"/>
    </xf>
    <xf numFmtId="0" fontId="20" fillId="0" borderId="0" xfId="0" applyFont="1"/>
    <xf numFmtId="0" fontId="26" fillId="0" borderId="0" xfId="0" applyFont="1"/>
    <xf numFmtId="0" fontId="32" fillId="0" borderId="0" xfId="0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1" fillId="0" borderId="14" xfId="0" applyFont="1" applyBorder="1"/>
    <xf numFmtId="0" fontId="25" fillId="0" borderId="15" xfId="0" applyFont="1" applyBorder="1"/>
    <xf numFmtId="0" fontId="0" fillId="0" borderId="15" xfId="0" applyBorder="1"/>
    <xf numFmtId="0" fontId="0" fillId="0" borderId="16" xfId="0" applyBorder="1"/>
    <xf numFmtId="0" fontId="25" fillId="0" borderId="16" xfId="0" applyFont="1" applyBorder="1"/>
    <xf numFmtId="0" fontId="0" fillId="0" borderId="26" xfId="0" applyBorder="1"/>
    <xf numFmtId="0" fontId="0" fillId="0" borderId="9" xfId="0" applyBorder="1"/>
    <xf numFmtId="0" fontId="0" fillId="0" borderId="27" xfId="0" applyBorder="1"/>
    <xf numFmtId="4" fontId="0" fillId="0" borderId="0" xfId="0" applyNumberFormat="1" applyBorder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7" fillId="0" borderId="1" xfId="0" applyFont="1" applyBorder="1"/>
    <xf numFmtId="0" fontId="5" fillId="0" borderId="3" xfId="0" applyFont="1" applyBorder="1"/>
    <xf numFmtId="0" fontId="6" fillId="0" borderId="3" xfId="0" applyFont="1" applyBorder="1"/>
    <xf numFmtId="0" fontId="0" fillId="0" borderId="3" xfId="0" applyBorder="1"/>
    <xf numFmtId="0" fontId="9" fillId="0" borderId="1" xfId="0" applyFont="1" applyBorder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2" fontId="9" fillId="2" borderId="8" xfId="0" applyNumberFormat="1" applyFont="1" applyFill="1" applyBorder="1" applyAlignment="1">
      <alignment horizontal="center"/>
    </xf>
    <xf numFmtId="4" fontId="8" fillId="0" borderId="19" xfId="0" applyNumberFormat="1" applyFont="1" applyBorder="1" applyAlignment="1">
      <alignment horizontal="center"/>
    </xf>
    <xf numFmtId="4" fontId="21" fillId="0" borderId="19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2" fontId="13" fillId="0" borderId="0" xfId="0" applyNumberFormat="1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Border="1" applyAlignment="1">
      <alignment vertical="top" wrapText="1"/>
    </xf>
    <xf numFmtId="4" fontId="0" fillId="0" borderId="0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4" fontId="8" fillId="0" borderId="6" xfId="0" applyNumberFormat="1" applyFont="1" applyBorder="1" applyAlignment="1">
      <alignment horizontal="center"/>
    </xf>
    <xf numFmtId="0" fontId="0" fillId="0" borderId="0" xfId="0" applyBorder="1" applyAlignment="1"/>
    <xf numFmtId="0" fontId="0" fillId="0" borderId="29" xfId="0" applyBorder="1" applyAlignment="1"/>
    <xf numFmtId="4" fontId="0" fillId="0" borderId="9" xfId="0" applyNumberFormat="1" applyBorder="1"/>
    <xf numFmtId="0" fontId="0" fillId="0" borderId="31" xfId="0" applyBorder="1"/>
    <xf numFmtId="0" fontId="0" fillId="0" borderId="1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1" xfId="0" applyBorder="1" applyAlignment="1"/>
    <xf numFmtId="0" fontId="0" fillId="0" borderId="22" xfId="0" applyBorder="1" applyAlignment="1"/>
    <xf numFmtId="4" fontId="2" fillId="2" borderId="1" xfId="0" applyNumberFormat="1" applyFont="1" applyFill="1" applyBorder="1" applyAlignment="1">
      <alignment horizontal="center" vertical="top"/>
    </xf>
    <xf numFmtId="4" fontId="2" fillId="2" borderId="3" xfId="0" applyNumberFormat="1" applyFont="1" applyFill="1" applyBorder="1" applyAlignment="1">
      <alignment horizontal="center" vertical="top"/>
    </xf>
    <xf numFmtId="4" fontId="9" fillId="2" borderId="3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/>
    </xf>
    <xf numFmtId="0" fontId="33" fillId="0" borderId="0" xfId="0" applyFont="1" applyBorder="1"/>
    <xf numFmtId="0" fontId="29" fillId="0" borderId="0" xfId="0" applyFont="1" applyAlignment="1">
      <alignment horizontal="center"/>
    </xf>
    <xf numFmtId="0" fontId="21" fillId="0" borderId="4" xfId="0" applyFont="1" applyBorder="1" applyAlignment="1">
      <alignment horizontal="center" vertical="top" wrapText="1"/>
    </xf>
    <xf numFmtId="0" fontId="0" fillId="2" borderId="0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Border="1" applyAlignment="1"/>
    <xf numFmtId="0" fontId="21" fillId="0" borderId="1" xfId="0" applyFont="1" applyBorder="1" applyAlignment="1">
      <alignment horizontal="center" vertical="top" wrapText="1"/>
    </xf>
    <xf numFmtId="0" fontId="0" fillId="0" borderId="0" xfId="0" applyBorder="1" applyAlignment="1"/>
    <xf numFmtId="2" fontId="8" fillId="0" borderId="1" xfId="0" applyNumberFormat="1" applyFont="1" applyBorder="1" applyAlignment="1">
      <alignment horizontal="center"/>
    </xf>
    <xf numFmtId="4" fontId="0" fillId="0" borderId="3" xfId="0" applyNumberFormat="1" applyBorder="1"/>
    <xf numFmtId="0" fontId="2" fillId="0" borderId="0" xfId="0" applyFont="1" applyFill="1" applyBorder="1"/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7" fillId="2" borderId="1" xfId="0" applyFont="1" applyFill="1" applyBorder="1"/>
    <xf numFmtId="4" fontId="8" fillId="2" borderId="1" xfId="0" applyNumberFormat="1" applyFont="1" applyFill="1" applyBorder="1" applyAlignment="1">
      <alignment horizontal="center"/>
    </xf>
    <xf numFmtId="0" fontId="24" fillId="0" borderId="0" xfId="0" applyFont="1" applyBorder="1" applyAlignment="1"/>
    <xf numFmtId="0" fontId="0" fillId="0" borderId="38" xfId="0" applyBorder="1" applyAlignment="1"/>
    <xf numFmtId="0" fontId="0" fillId="0" borderId="6" xfId="0" applyBorder="1" applyAlignment="1"/>
    <xf numFmtId="0" fontId="0" fillId="0" borderId="39" xfId="0" applyBorder="1" applyAlignment="1"/>
    <xf numFmtId="0" fontId="0" fillId="0" borderId="17" xfId="0" applyBorder="1" applyAlignment="1"/>
    <xf numFmtId="0" fontId="36" fillId="0" borderId="0" xfId="0" applyFont="1"/>
    <xf numFmtId="0" fontId="37" fillId="0" borderId="4" xfId="0" applyFont="1" applyBorder="1" applyAlignment="1">
      <alignment horizontal="center" vertical="top" wrapText="1"/>
    </xf>
    <xf numFmtId="0" fontId="37" fillId="0" borderId="1" xfId="0" applyFont="1" applyBorder="1" applyAlignment="1">
      <alignment horizontal="center" vertical="top" wrapText="1"/>
    </xf>
    <xf numFmtId="0" fontId="38" fillId="0" borderId="4" xfId="0" applyFont="1" applyBorder="1" applyAlignment="1">
      <alignment horizontal="center" vertical="top" wrapText="1"/>
    </xf>
    <xf numFmtId="0" fontId="38" fillId="0" borderId="1" xfId="0" applyFont="1" applyBorder="1" applyAlignment="1">
      <alignment horizontal="center" vertical="top" wrapText="1"/>
    </xf>
    <xf numFmtId="0" fontId="36" fillId="2" borderId="1" xfId="0" applyFont="1" applyFill="1" applyBorder="1" applyAlignment="1">
      <alignment horizontal="center"/>
    </xf>
    <xf numFmtId="49" fontId="36" fillId="0" borderId="0" xfId="0" applyNumberFormat="1" applyFont="1"/>
    <xf numFmtId="0" fontId="24" fillId="0" borderId="0" xfId="0" applyFont="1" applyAlignment="1"/>
    <xf numFmtId="0" fontId="0" fillId="0" borderId="9" xfId="0" applyBorder="1" applyAlignment="1">
      <alignment horizontal="center"/>
    </xf>
    <xf numFmtId="0" fontId="2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4" fontId="9" fillId="2" borderId="12" xfId="0" applyNumberFormat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top"/>
    </xf>
    <xf numFmtId="4" fontId="2" fillId="0" borderId="13" xfId="0" applyNumberFormat="1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center"/>
    </xf>
    <xf numFmtId="4" fontId="9" fillId="2" borderId="6" xfId="0" applyNumberFormat="1" applyFont="1" applyFill="1" applyBorder="1" applyAlignment="1">
      <alignment horizontal="center"/>
    </xf>
    <xf numFmtId="4" fontId="0" fillId="0" borderId="3" xfId="0" applyNumberFormat="1" applyFont="1" applyBorder="1" applyAlignment="1">
      <alignment horizontal="center" vertical="top"/>
    </xf>
    <xf numFmtId="0" fontId="9" fillId="0" borderId="18" xfId="0" applyFont="1" applyBorder="1" applyAlignment="1">
      <alignment horizontal="center"/>
    </xf>
    <xf numFmtId="0" fontId="8" fillId="2" borderId="19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center"/>
    </xf>
    <xf numFmtId="2" fontId="9" fillId="2" borderId="28" xfId="0" applyNumberFormat="1" applyFont="1" applyFill="1" applyBorder="1" applyAlignment="1">
      <alignment horizontal="center"/>
    </xf>
    <xf numFmtId="4" fontId="2" fillId="2" borderId="19" xfId="0" applyNumberFormat="1" applyFont="1" applyFill="1" applyBorder="1" applyAlignment="1">
      <alignment horizontal="center" vertical="top"/>
    </xf>
    <xf numFmtId="4" fontId="2" fillId="0" borderId="19" xfId="0" applyNumberFormat="1" applyFont="1" applyFill="1" applyBorder="1" applyAlignment="1">
      <alignment horizontal="center" vertical="top"/>
    </xf>
    <xf numFmtId="4" fontId="9" fillId="2" borderId="19" xfId="0" applyNumberFormat="1" applyFont="1" applyFill="1" applyBorder="1" applyAlignment="1">
      <alignment horizontal="center" vertical="top"/>
    </xf>
    <xf numFmtId="0" fontId="9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center" vertical="top"/>
    </xf>
    <xf numFmtId="0" fontId="8" fillId="0" borderId="19" xfId="0" applyFont="1" applyBorder="1" applyAlignment="1">
      <alignment horizontal="left"/>
    </xf>
    <xf numFmtId="0" fontId="9" fillId="0" borderId="19" xfId="0" applyFont="1" applyBorder="1" applyAlignment="1">
      <alignment horizontal="center"/>
    </xf>
    <xf numFmtId="0" fontId="9" fillId="2" borderId="1" xfId="0" applyFont="1" applyFill="1" applyBorder="1"/>
    <xf numFmtId="4" fontId="8" fillId="0" borderId="20" xfId="0" applyNumberFormat="1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0" fillId="3" borderId="18" xfId="0" applyFill="1" applyBorder="1"/>
    <xf numFmtId="0" fontId="39" fillId="3" borderId="19" xfId="0" applyFont="1" applyFill="1" applyBorder="1"/>
    <xf numFmtId="0" fontId="0" fillId="3" borderId="19" xfId="0" applyFill="1" applyBorder="1"/>
    <xf numFmtId="0" fontId="21" fillId="3" borderId="19" xfId="0" applyFont="1" applyFill="1" applyBorder="1" applyAlignment="1">
      <alignment horizontal="center"/>
    </xf>
    <xf numFmtId="2" fontId="21" fillId="3" borderId="19" xfId="0" applyNumberFormat="1" applyFont="1" applyFill="1" applyBorder="1" applyAlignment="1">
      <alignment horizontal="center"/>
    </xf>
    <xf numFmtId="4" fontId="21" fillId="3" borderId="19" xfId="0" applyNumberFormat="1" applyFont="1" applyFill="1" applyBorder="1"/>
    <xf numFmtId="0" fontId="8" fillId="2" borderId="19" xfId="0" applyFont="1" applyFill="1" applyBorder="1" applyAlignment="1">
      <alignment horizontal="center"/>
    </xf>
    <xf numFmtId="2" fontId="8" fillId="2" borderId="28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23" fillId="3" borderId="3" xfId="0" applyFont="1" applyFill="1" applyBorder="1" applyAlignment="1">
      <alignment horizontal="center" vertical="top"/>
    </xf>
    <xf numFmtId="0" fontId="15" fillId="0" borderId="0" xfId="0" applyFont="1"/>
    <xf numFmtId="0" fontId="0" fillId="0" borderId="0" xfId="0" applyBorder="1" applyAlignment="1"/>
    <xf numFmtId="0" fontId="21" fillId="0" borderId="1" xfId="0" applyFont="1" applyBorder="1" applyAlignment="1">
      <alignment horizontal="center" vertical="top" wrapText="1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4" fontId="2" fillId="2" borderId="36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4" fontId="41" fillId="0" borderId="19" xfId="0" applyNumberFormat="1" applyFont="1" applyBorder="1" applyAlignment="1">
      <alignment horizontal="center" wrapText="1"/>
    </xf>
    <xf numFmtId="4" fontId="41" fillId="0" borderId="19" xfId="0" applyNumberFormat="1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vertical="top" wrapText="1"/>
    </xf>
    <xf numFmtId="2" fontId="9" fillId="0" borderId="12" xfId="0" applyNumberFormat="1" applyFont="1" applyBorder="1" applyAlignment="1">
      <alignment horizontal="center"/>
    </xf>
    <xf numFmtId="4" fontId="0" fillId="0" borderId="0" xfId="0" applyNumberFormat="1" applyBorder="1" applyAlignment="1"/>
    <xf numFmtId="4" fontId="9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top" wrapText="1"/>
    </xf>
    <xf numFmtId="4" fontId="0" fillId="0" borderId="12" xfId="0" applyNumberFormat="1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2" fontId="41" fillId="0" borderId="28" xfId="0" applyNumberFormat="1" applyFont="1" applyBorder="1" applyAlignment="1">
      <alignment horizontal="center"/>
    </xf>
    <xf numFmtId="4" fontId="41" fillId="0" borderId="28" xfId="0" applyNumberFormat="1" applyFont="1" applyBorder="1" applyAlignment="1">
      <alignment horizontal="center"/>
    </xf>
    <xf numFmtId="4" fontId="40" fillId="0" borderId="19" xfId="0" applyNumberFormat="1" applyFont="1" applyBorder="1" applyAlignment="1">
      <alignment horizontal="center" wrapText="1"/>
    </xf>
    <xf numFmtId="4" fontId="40" fillId="0" borderId="28" xfId="0" applyNumberFormat="1" applyFont="1" applyBorder="1" applyAlignment="1">
      <alignment horizontal="center" wrapText="1"/>
    </xf>
    <xf numFmtId="4" fontId="40" fillId="0" borderId="19" xfId="0" applyNumberFormat="1" applyFont="1" applyBorder="1" applyAlignment="1">
      <alignment horizontal="center"/>
    </xf>
    <xf numFmtId="0" fontId="9" fillId="0" borderId="0" xfId="0" applyFont="1" applyBorder="1" applyAlignment="1"/>
    <xf numFmtId="0" fontId="9" fillId="0" borderId="39" xfId="0" applyFont="1" applyBorder="1" applyAlignment="1"/>
    <xf numFmtId="0" fontId="1" fillId="0" borderId="0" xfId="0" applyFont="1" applyBorder="1" applyAlignment="1"/>
    <xf numFmtId="0" fontId="0" fillId="0" borderId="0" xfId="0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2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23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top"/>
    </xf>
    <xf numFmtId="0" fontId="2" fillId="0" borderId="12" xfId="0" applyFont="1" applyFill="1" applyBorder="1" applyAlignment="1">
      <alignment horizontal="center"/>
    </xf>
    <xf numFmtId="4" fontId="34" fillId="0" borderId="1" xfId="0" applyNumberFormat="1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8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center" vertical="top" wrapText="1"/>
    </xf>
    <xf numFmtId="4" fontId="28" fillId="2" borderId="1" xfId="0" applyNumberFormat="1" applyFont="1" applyFill="1" applyBorder="1" applyAlignment="1">
      <alignment horizontal="center" vertical="top"/>
    </xf>
    <xf numFmtId="4" fontId="2" fillId="3" borderId="1" xfId="0" applyNumberFormat="1" applyFont="1" applyFill="1" applyBorder="1" applyAlignment="1">
      <alignment horizontal="center"/>
    </xf>
    <xf numFmtId="4" fontId="8" fillId="3" borderId="1" xfId="0" applyNumberFormat="1" applyFont="1" applyFill="1" applyBorder="1" applyAlignment="1">
      <alignment horizontal="center"/>
    </xf>
    <xf numFmtId="0" fontId="23" fillId="3" borderId="8" xfId="0" applyFont="1" applyFill="1" applyBorder="1" applyAlignment="1">
      <alignment horizontal="left" vertical="top"/>
    </xf>
    <xf numFmtId="0" fontId="23" fillId="3" borderId="12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4" fontId="8" fillId="0" borderId="0" xfId="0" applyNumberFormat="1" applyFont="1" applyBorder="1" applyAlignment="1">
      <alignment horizontal="center"/>
    </xf>
    <xf numFmtId="4" fontId="21" fillId="0" borderId="0" xfId="0" applyNumberFormat="1" applyFont="1" applyBorder="1"/>
    <xf numFmtId="0" fontId="21" fillId="0" borderId="0" xfId="0" applyFont="1" applyBorder="1" applyAlignment="1">
      <alignment vertical="center"/>
    </xf>
    <xf numFmtId="0" fontId="21" fillId="0" borderId="1" xfId="0" applyFont="1" applyBorder="1" applyAlignment="1">
      <alignment horizontal="center" vertical="top" wrapText="1"/>
    </xf>
    <xf numFmtId="0" fontId="25" fillId="0" borderId="0" xfId="0" applyFont="1" applyBorder="1"/>
    <xf numFmtId="0" fontId="21" fillId="0" borderId="0" xfId="0" applyFont="1" applyBorder="1"/>
    <xf numFmtId="0" fontId="21" fillId="0" borderId="0" xfId="0" applyFont="1" applyBorder="1" applyAlignment="1"/>
    <xf numFmtId="4" fontId="34" fillId="0" borderId="1" xfId="0" applyNumberFormat="1" applyFont="1" applyBorder="1" applyAlignment="1">
      <alignment horizontal="center"/>
    </xf>
    <xf numFmtId="2" fontId="43" fillId="0" borderId="1" xfId="0" applyNumberFormat="1" applyFont="1" applyBorder="1" applyAlignment="1">
      <alignment horizontal="center"/>
    </xf>
    <xf numFmtId="0" fontId="34" fillId="0" borderId="8" xfId="0" applyFont="1" applyBorder="1" applyAlignment="1">
      <alignment horizontal="center" vertical="top" wrapText="1"/>
    </xf>
    <xf numFmtId="2" fontId="34" fillId="0" borderId="8" xfId="0" applyNumberFormat="1" applyFont="1" applyBorder="1" applyAlignment="1">
      <alignment horizontal="center"/>
    </xf>
    <xf numFmtId="2" fontId="34" fillId="0" borderId="12" xfId="0" applyNumberFormat="1" applyFont="1" applyBorder="1" applyAlignment="1">
      <alignment horizontal="center"/>
    </xf>
    <xf numFmtId="4" fontId="0" fillId="0" borderId="3" xfId="0" applyNumberFormat="1" applyFont="1" applyBorder="1" applyAlignment="1">
      <alignment horizontal="center" vertical="center" wrapText="1"/>
    </xf>
    <xf numFmtId="2" fontId="34" fillId="2" borderId="8" xfId="0" applyNumberFormat="1" applyFont="1" applyFill="1" applyBorder="1" applyAlignment="1">
      <alignment horizontal="center"/>
    </xf>
    <xf numFmtId="4" fontId="21" fillId="0" borderId="1" xfId="0" applyNumberFormat="1" applyFont="1" applyBorder="1" applyAlignment="1">
      <alignment horizontal="center" vertical="top"/>
    </xf>
    <xf numFmtId="0" fontId="4" fillId="0" borderId="0" xfId="0" applyFont="1" applyFill="1" applyBorder="1" applyAlignment="1">
      <alignment horizontal="left"/>
    </xf>
    <xf numFmtId="0" fontId="5" fillId="0" borderId="0" xfId="0" applyFont="1" applyAlignment="1"/>
    <xf numFmtId="4" fontId="47" fillId="0" borderId="3" xfId="0" applyNumberFormat="1" applyFont="1" applyBorder="1"/>
    <xf numFmtId="2" fontId="9" fillId="2" borderId="2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horizontal="center" vertical="top" wrapText="1"/>
    </xf>
    <xf numFmtId="4" fontId="0" fillId="2" borderId="8" xfId="0" applyNumberFormat="1" applyFont="1" applyFill="1" applyBorder="1" applyAlignment="1">
      <alignment horizontal="center" vertical="top" wrapText="1"/>
    </xf>
    <xf numFmtId="4" fontId="0" fillId="2" borderId="3" xfId="0" quotePrefix="1" applyNumberFormat="1" applyFont="1" applyFill="1" applyBorder="1" applyAlignment="1">
      <alignment horizontal="center" vertical="center" wrapText="1"/>
    </xf>
    <xf numFmtId="4" fontId="28" fillId="2" borderId="3" xfId="0" applyNumberFormat="1" applyFont="1" applyFill="1" applyBorder="1" applyAlignment="1">
      <alignment horizontal="center" vertical="top" wrapText="1"/>
    </xf>
    <xf numFmtId="0" fontId="30" fillId="2" borderId="1" xfId="0" applyFont="1" applyFill="1" applyBorder="1" applyAlignment="1">
      <alignment horizontal="center" vertical="center" wrapText="1"/>
    </xf>
    <xf numFmtId="4" fontId="28" fillId="2" borderId="3" xfId="0" applyNumberFormat="1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4" fontId="28" fillId="2" borderId="3" xfId="0" applyNumberFormat="1" applyFont="1" applyFill="1" applyBorder="1" applyAlignment="1">
      <alignment horizontal="center" vertical="top"/>
    </xf>
    <xf numFmtId="4" fontId="28" fillId="2" borderId="1" xfId="0" applyNumberFormat="1" applyFont="1" applyFill="1" applyBorder="1" applyAlignment="1">
      <alignment horizontal="center"/>
    </xf>
    <xf numFmtId="4" fontId="28" fillId="0" borderId="2" xfId="0" applyNumberFormat="1" applyFont="1" applyFill="1" applyBorder="1" applyAlignment="1">
      <alignment horizontal="center" vertical="top"/>
    </xf>
    <xf numFmtId="4" fontId="28" fillId="2" borderId="13" xfId="0" applyNumberFormat="1" applyFont="1" applyFill="1" applyBorder="1" applyAlignment="1">
      <alignment horizontal="center" vertical="center" wrapText="1"/>
    </xf>
    <xf numFmtId="4" fontId="28" fillId="0" borderId="13" xfId="0" applyNumberFormat="1" applyFont="1" applyFill="1" applyBorder="1" applyAlignment="1">
      <alignment horizontal="center" vertical="top"/>
    </xf>
    <xf numFmtId="4" fontId="28" fillId="0" borderId="1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top"/>
    </xf>
    <xf numFmtId="4" fontId="28" fillId="0" borderId="2" xfId="0" applyNumberFormat="1" applyFont="1" applyBorder="1" applyAlignment="1">
      <alignment horizontal="center"/>
    </xf>
    <xf numFmtId="4" fontId="30" fillId="2" borderId="28" xfId="0" applyNumberFormat="1" applyFont="1" applyFill="1" applyBorder="1" applyAlignment="1">
      <alignment horizontal="center"/>
    </xf>
    <xf numFmtId="4" fontId="0" fillId="0" borderId="8" xfId="0" applyNumberFormat="1" applyFont="1" applyBorder="1" applyAlignment="1">
      <alignment horizontal="center" wrapText="1"/>
    </xf>
    <xf numFmtId="4" fontId="28" fillId="0" borderId="3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center" wrapText="1"/>
    </xf>
    <xf numFmtId="4" fontId="28" fillId="0" borderId="3" xfId="0" applyNumberFormat="1" applyFont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4" fontId="28" fillId="0" borderId="8" xfId="0" applyNumberFormat="1" applyFont="1" applyBorder="1" applyAlignment="1">
      <alignment horizontal="center" wrapText="1"/>
    </xf>
    <xf numFmtId="4" fontId="28" fillId="0" borderId="1" xfId="0" applyNumberFormat="1" applyFont="1" applyFill="1" applyBorder="1" applyAlignment="1">
      <alignment horizontal="center" vertical="top"/>
    </xf>
    <xf numFmtId="4" fontId="28" fillId="2" borderId="8" xfId="0" applyNumberFormat="1" applyFont="1" applyFill="1" applyBorder="1" applyAlignment="1">
      <alignment horizontal="center" wrapText="1"/>
    </xf>
    <xf numFmtId="4" fontId="28" fillId="0" borderId="12" xfId="0" applyNumberFormat="1" applyFont="1" applyBorder="1" applyAlignment="1">
      <alignment horizontal="center" wrapText="1"/>
    </xf>
    <xf numFmtId="2" fontId="28" fillId="0" borderId="8" xfId="0" applyNumberFormat="1" applyFont="1" applyBorder="1" applyAlignment="1">
      <alignment horizontal="center"/>
    </xf>
    <xf numFmtId="4" fontId="28" fillId="0" borderId="1" xfId="0" applyNumberFormat="1" applyFont="1" applyBorder="1" applyAlignment="1">
      <alignment horizontal="center" wrapText="1"/>
    </xf>
    <xf numFmtId="2" fontId="28" fillId="0" borderId="12" xfId="0" applyNumberFormat="1" applyFont="1" applyBorder="1" applyAlignment="1">
      <alignment horizontal="center"/>
    </xf>
    <xf numFmtId="4" fontId="28" fillId="0" borderId="2" xfId="0" applyNumberFormat="1" applyFont="1" applyBorder="1" applyAlignment="1">
      <alignment horizontal="center" wrapText="1"/>
    </xf>
    <xf numFmtId="0" fontId="28" fillId="0" borderId="1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/>
    </xf>
    <xf numFmtId="0" fontId="28" fillId="2" borderId="1" xfId="0" applyFont="1" applyFill="1" applyBorder="1" applyAlignment="1">
      <alignment horizontal="left"/>
    </xf>
    <xf numFmtId="0" fontId="28" fillId="0" borderId="2" xfId="0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4" fontId="0" fillId="0" borderId="13" xfId="0" applyNumberFormat="1" applyFont="1" applyBorder="1" applyAlignment="1">
      <alignment horizontal="center" vertical="top"/>
    </xf>
    <xf numFmtId="4" fontId="28" fillId="0" borderId="8" xfId="0" applyNumberFormat="1" applyFont="1" applyBorder="1" applyAlignment="1">
      <alignment horizontal="center" vertical="top" wrapText="1"/>
    </xf>
    <xf numFmtId="4" fontId="28" fillId="0" borderId="12" xfId="0" applyNumberFormat="1" applyFont="1" applyBorder="1" applyAlignment="1">
      <alignment horizontal="center" vertical="top" wrapText="1"/>
    </xf>
    <xf numFmtId="4" fontId="8" fillId="0" borderId="0" xfId="0" applyNumberFormat="1" applyFont="1" applyBorder="1" applyAlignment="1"/>
    <xf numFmtId="4" fontId="2" fillId="3" borderId="3" xfId="0" applyNumberFormat="1" applyFont="1" applyFill="1" applyBorder="1" applyAlignment="1">
      <alignment horizontal="center"/>
    </xf>
    <xf numFmtId="4" fontId="8" fillId="3" borderId="3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25" fillId="0" borderId="0" xfId="0" applyFont="1" applyBorder="1" applyAlignment="1"/>
    <xf numFmtId="0" fontId="25" fillId="0" borderId="0" xfId="0" applyFont="1" applyFill="1" applyBorder="1" applyAlignment="1"/>
    <xf numFmtId="4" fontId="25" fillId="0" borderId="0" xfId="0" applyNumberFormat="1" applyFont="1" applyBorder="1" applyAlignment="1"/>
    <xf numFmtId="0" fontId="25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 wrapText="1"/>
    </xf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right"/>
    </xf>
    <xf numFmtId="4" fontId="25" fillId="0" borderId="0" xfId="0" applyNumberFormat="1" applyFont="1" applyBorder="1"/>
    <xf numFmtId="4" fontId="25" fillId="0" borderId="0" xfId="0" applyNumberFormat="1" applyFont="1"/>
    <xf numFmtId="0" fontId="25" fillId="0" borderId="0" xfId="0" applyFont="1"/>
    <xf numFmtId="0" fontId="21" fillId="0" borderId="0" xfId="0" applyFont="1" applyFill="1" applyBorder="1" applyAlignment="1"/>
    <xf numFmtId="0" fontId="21" fillId="0" borderId="0" xfId="0" applyFont="1"/>
    <xf numFmtId="4" fontId="21" fillId="0" borderId="0" xfId="0" applyNumberFormat="1" applyFont="1"/>
    <xf numFmtId="4" fontId="21" fillId="0" borderId="0" xfId="0" applyNumberFormat="1" applyFont="1" applyBorder="1" applyAlignment="1"/>
    <xf numFmtId="0" fontId="21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4" fontId="0" fillId="4" borderId="0" xfId="0" applyNumberFormat="1" applyFill="1" applyBorder="1" applyAlignment="1"/>
    <xf numFmtId="4" fontId="0" fillId="4" borderId="0" xfId="0" applyNumberFormat="1" applyFill="1"/>
    <xf numFmtId="4" fontId="49" fillId="0" borderId="0" xfId="0" applyNumberFormat="1" applyFont="1" applyBorder="1"/>
    <xf numFmtId="0" fontId="25" fillId="0" borderId="0" xfId="0" applyNumberFormat="1" applyFont="1"/>
    <xf numFmtId="0" fontId="0" fillId="3" borderId="0" xfId="0" applyFill="1"/>
    <xf numFmtId="4" fontId="25" fillId="3" borderId="0" xfId="0" applyNumberFormat="1" applyFont="1" applyFill="1"/>
    <xf numFmtId="4" fontId="25" fillId="3" borderId="0" xfId="0" applyNumberFormat="1" applyFont="1" applyFill="1" applyBorder="1" applyAlignment="1"/>
    <xf numFmtId="4" fontId="25" fillId="3" borderId="0" xfId="0" applyNumberFormat="1" applyFont="1" applyFill="1" applyBorder="1"/>
    <xf numFmtId="4" fontId="52" fillId="0" borderId="0" xfId="0" applyNumberFormat="1" applyFont="1" applyBorder="1"/>
    <xf numFmtId="4" fontId="53" fillId="0" borderId="0" xfId="0" applyNumberFormat="1" applyFont="1" applyBorder="1" applyAlignment="1">
      <alignment horizontal="center"/>
    </xf>
    <xf numFmtId="0" fontId="0" fillId="2" borderId="0" xfId="0" applyFill="1"/>
    <xf numFmtId="0" fontId="53" fillId="0" borderId="0" xfId="0" applyFont="1" applyAlignment="1"/>
    <xf numFmtId="4" fontId="9" fillId="3" borderId="1" xfId="0" applyNumberFormat="1" applyFont="1" applyFill="1" applyBorder="1" applyAlignment="1">
      <alignment horizontal="center"/>
    </xf>
    <xf numFmtId="0" fontId="27" fillId="0" borderId="0" xfId="0" applyFont="1" applyAlignment="1"/>
    <xf numFmtId="0" fontId="25" fillId="0" borderId="0" xfId="0" applyFont="1" applyAlignmen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55" fillId="2" borderId="1" xfId="0" applyFont="1" applyFill="1" applyBorder="1" applyAlignment="1">
      <alignment horizontal="left"/>
    </xf>
    <xf numFmtId="0" fontId="15" fillId="0" borderId="0" xfId="0" applyFont="1" applyAlignment="1"/>
    <xf numFmtId="0" fontId="12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59" fillId="0" borderId="1" xfId="0" applyFont="1" applyBorder="1"/>
    <xf numFmtId="0" fontId="30" fillId="0" borderId="1" xfId="0" applyFont="1" applyBorder="1" applyAlignment="1">
      <alignment horizontal="center"/>
    </xf>
    <xf numFmtId="2" fontId="30" fillId="0" borderId="1" xfId="0" applyNumberFormat="1" applyFont="1" applyBorder="1" applyAlignment="1">
      <alignment horizontal="center"/>
    </xf>
    <xf numFmtId="0" fontId="30" fillId="0" borderId="1" xfId="0" applyFont="1" applyBorder="1"/>
    <xf numFmtId="0" fontId="42" fillId="0" borderId="0" xfId="0" applyFont="1" applyBorder="1"/>
    <xf numFmtId="2" fontId="11" fillId="0" borderId="1" xfId="0" applyNumberFormat="1" applyFont="1" applyBorder="1" applyAlignment="1">
      <alignment horizontal="center" vertical="center"/>
    </xf>
    <xf numFmtId="2" fontId="43" fillId="0" borderId="1" xfId="0" applyNumberFormat="1" applyFont="1" applyBorder="1" applyAlignment="1">
      <alignment horizontal="right"/>
    </xf>
    <xf numFmtId="4" fontId="0" fillId="3" borderId="0" xfId="0" applyNumberFormat="1" applyFill="1"/>
    <xf numFmtId="0" fontId="25" fillId="3" borderId="0" xfId="0" applyFont="1" applyFill="1"/>
    <xf numFmtId="4" fontId="30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/>
    <xf numFmtId="0" fontId="8" fillId="0" borderId="1" xfId="0" applyFont="1" applyFill="1" applyBorder="1" applyAlignment="1">
      <alignment horizontal="left"/>
    </xf>
    <xf numFmtId="4" fontId="30" fillId="0" borderId="1" xfId="0" applyNumberFormat="1" applyFont="1" applyFill="1" applyBorder="1" applyAlignment="1">
      <alignment horizontal="center"/>
    </xf>
    <xf numFmtId="4" fontId="30" fillId="0" borderId="1" xfId="0" applyNumberFormat="1" applyFont="1" applyBorder="1" applyAlignment="1">
      <alignment horizontal="center"/>
    </xf>
    <xf numFmtId="0" fontId="60" fillId="0" borderId="0" xfId="0" applyFont="1" applyFill="1" applyBorder="1" applyAlignment="1">
      <alignment horizontal="left"/>
    </xf>
    <xf numFmtId="0" fontId="30" fillId="0" borderId="1" xfId="0" applyFont="1" applyFill="1" applyBorder="1" applyAlignment="1">
      <alignment horizontal="left"/>
    </xf>
    <xf numFmtId="4" fontId="30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vertical="top" wrapText="1"/>
    </xf>
    <xf numFmtId="4" fontId="25" fillId="5" borderId="0" xfId="0" applyNumberFormat="1" applyFont="1" applyFill="1"/>
    <xf numFmtId="4" fontId="2" fillId="0" borderId="2" xfId="0" applyNumberFormat="1" applyFont="1" applyFill="1" applyBorder="1" applyAlignment="1">
      <alignment horizontal="center" vertical="top"/>
    </xf>
    <xf numFmtId="4" fontId="9" fillId="2" borderId="1" xfId="0" applyNumberFormat="1" applyFont="1" applyFill="1" applyBorder="1" applyAlignment="1">
      <alignment horizontal="center" vertical="top"/>
    </xf>
    <xf numFmtId="4" fontId="0" fillId="0" borderId="0" xfId="0" applyNumberFormat="1" applyBorder="1" applyAlignment="1">
      <alignment vertical="top"/>
    </xf>
    <xf numFmtId="4" fontId="9" fillId="2" borderId="2" xfId="0" applyNumberFormat="1" applyFont="1" applyFill="1" applyBorder="1" applyAlignment="1">
      <alignment horizontal="center" vertical="top"/>
    </xf>
    <xf numFmtId="2" fontId="8" fillId="2" borderId="19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2" fontId="9" fillId="3" borderId="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center"/>
    </xf>
    <xf numFmtId="4" fontId="8" fillId="0" borderId="3" xfId="0" applyNumberFormat="1" applyFont="1" applyBorder="1" applyAlignment="1">
      <alignment horizontal="center" vertical="top"/>
    </xf>
    <xf numFmtId="4" fontId="8" fillId="2" borderId="3" xfId="0" applyNumberFormat="1" applyFont="1" applyFill="1" applyBorder="1" applyAlignment="1">
      <alignment horizontal="center" vertical="top"/>
    </xf>
    <xf numFmtId="4" fontId="8" fillId="0" borderId="3" xfId="0" applyNumberFormat="1" applyFont="1" applyFill="1" applyBorder="1" applyAlignment="1">
      <alignment horizontal="center" vertical="top"/>
    </xf>
    <xf numFmtId="0" fontId="9" fillId="0" borderId="40" xfId="0" applyFont="1" applyBorder="1" applyAlignment="1"/>
    <xf numFmtId="0" fontId="9" fillId="0" borderId="41" xfId="0" applyFont="1" applyBorder="1" applyAlignment="1"/>
    <xf numFmtId="4" fontId="2" fillId="2" borderId="20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left"/>
    </xf>
    <xf numFmtId="4" fontId="23" fillId="0" borderId="1" xfId="0" applyNumberFormat="1" applyFont="1" applyBorder="1" applyAlignment="1">
      <alignment horizontal="center"/>
    </xf>
    <xf numFmtId="4" fontId="23" fillId="2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4" fontId="30" fillId="0" borderId="1" xfId="0" applyNumberFormat="1" applyFont="1" applyFill="1" applyBorder="1" applyAlignment="1">
      <alignment horizontal="center" vertical="top"/>
    </xf>
    <xf numFmtId="0" fontId="34" fillId="0" borderId="1" xfId="0" applyFont="1" applyBorder="1" applyAlignment="1">
      <alignment horizontal="left" vertical="top" wrapText="1"/>
    </xf>
    <xf numFmtId="0" fontId="34" fillId="2" borderId="1" xfId="0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left"/>
    </xf>
    <xf numFmtId="0" fontId="34" fillId="2" borderId="1" xfId="0" applyFont="1" applyFill="1" applyBorder="1" applyAlignment="1">
      <alignment horizontal="left"/>
    </xf>
    <xf numFmtId="0" fontId="34" fillId="2" borderId="2" xfId="0" applyFont="1" applyFill="1" applyBorder="1" applyAlignment="1">
      <alignment horizontal="left"/>
    </xf>
    <xf numFmtId="4" fontId="46" fillId="0" borderId="1" xfId="0" applyNumberFormat="1" applyFont="1" applyBorder="1" applyAlignment="1">
      <alignment horizontal="center" vertical="top"/>
    </xf>
    <xf numFmtId="4" fontId="30" fillId="2" borderId="19" xfId="0" applyNumberFormat="1" applyFont="1" applyFill="1" applyBorder="1" applyAlignment="1">
      <alignment horizontal="center"/>
    </xf>
    <xf numFmtId="4" fontId="8" fillId="2" borderId="19" xfId="0" applyNumberFormat="1" applyFont="1" applyFill="1" applyBorder="1" applyAlignment="1">
      <alignment horizontal="center"/>
    </xf>
    <xf numFmtId="4" fontId="2" fillId="2" borderId="8" xfId="0" applyNumberFormat="1" applyFont="1" applyFill="1" applyBorder="1" applyAlignment="1">
      <alignment horizontal="center" vertical="top" wrapText="1"/>
    </xf>
    <xf numFmtId="4" fontId="8" fillId="2" borderId="28" xfId="0" applyNumberFormat="1" applyFont="1" applyFill="1" applyBorder="1" applyAlignment="1">
      <alignment horizontal="center"/>
    </xf>
    <xf numFmtId="4" fontId="9" fillId="2" borderId="8" xfId="0" applyNumberFormat="1" applyFont="1" applyFill="1" applyBorder="1" applyAlignment="1">
      <alignment horizontal="center"/>
    </xf>
    <xf numFmtId="4" fontId="30" fillId="2" borderId="14" xfId="0" applyNumberFormat="1" applyFont="1" applyFill="1" applyBorder="1" applyAlignment="1">
      <alignment horizontal="center"/>
    </xf>
    <xf numFmtId="4" fontId="8" fillId="0" borderId="18" xfId="0" applyNumberFormat="1" applyFont="1" applyFill="1" applyBorder="1" applyAlignment="1">
      <alignment horizontal="center"/>
    </xf>
    <xf numFmtId="4" fontId="8" fillId="0" borderId="19" xfId="0" applyNumberFormat="1" applyFont="1" applyFill="1" applyBorder="1" applyAlignment="1">
      <alignment horizontal="center"/>
    </xf>
    <xf numFmtId="2" fontId="9" fillId="3" borderId="2" xfId="0" applyNumberFormat="1" applyFont="1" applyFill="1" applyBorder="1" applyAlignment="1">
      <alignment horizontal="center"/>
    </xf>
    <xf numFmtId="4" fontId="9" fillId="3" borderId="2" xfId="0" applyNumberFormat="1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/>
    </xf>
    <xf numFmtId="4" fontId="8" fillId="3" borderId="2" xfId="0" applyNumberFormat="1" applyFont="1" applyFill="1" applyBorder="1" applyAlignment="1">
      <alignment horizontal="center"/>
    </xf>
    <xf numFmtId="4" fontId="0" fillId="3" borderId="2" xfId="0" applyNumberFormat="1" applyFill="1" applyBorder="1"/>
    <xf numFmtId="0" fontId="0" fillId="3" borderId="2" xfId="0" applyFill="1" applyBorder="1"/>
    <xf numFmtId="4" fontId="25" fillId="0" borderId="3" xfId="0" applyNumberFormat="1" applyFont="1" applyBorder="1"/>
    <xf numFmtId="0" fontId="0" fillId="2" borderId="3" xfId="0" applyFill="1" applyBorder="1"/>
    <xf numFmtId="4" fontId="8" fillId="3" borderId="19" xfId="0" applyNumberFormat="1" applyFont="1" applyFill="1" applyBorder="1" applyAlignment="1">
      <alignment horizontal="center"/>
    </xf>
    <xf numFmtId="0" fontId="21" fillId="3" borderId="19" xfId="0" applyFont="1" applyFill="1" applyBorder="1"/>
    <xf numFmtId="4" fontId="2" fillId="2" borderId="2" xfId="0" applyNumberFormat="1" applyFont="1" applyFill="1" applyBorder="1" applyAlignment="1">
      <alignment horizontal="center" vertical="top" wrapText="1"/>
    </xf>
    <xf numFmtId="4" fontId="62" fillId="2" borderId="14" xfId="0" applyNumberFormat="1" applyFont="1" applyFill="1" applyBorder="1" applyAlignment="1">
      <alignment horizontal="center"/>
    </xf>
    <xf numFmtId="4" fontId="62" fillId="2" borderId="19" xfId="0" applyNumberFormat="1" applyFont="1" applyFill="1" applyBorder="1" applyAlignment="1">
      <alignment horizontal="center"/>
    </xf>
    <xf numFmtId="4" fontId="8" fillId="2" borderId="28" xfId="0" applyNumberFormat="1" applyFont="1" applyFill="1" applyBorder="1" applyAlignment="1">
      <alignment horizontal="center" vertical="top"/>
    </xf>
    <xf numFmtId="4" fontId="9" fillId="0" borderId="13" xfId="0" applyNumberFormat="1" applyFont="1" applyBorder="1" applyAlignment="1">
      <alignment horizontal="center" vertical="center" wrapText="1"/>
    </xf>
    <xf numFmtId="4" fontId="8" fillId="0" borderId="30" xfId="0" applyNumberFormat="1" applyFont="1" applyBorder="1" applyAlignment="1">
      <alignment horizontal="center" vertical="center" wrapText="1"/>
    </xf>
    <xf numFmtId="4" fontId="8" fillId="2" borderId="36" xfId="0" applyNumberFormat="1" applyFont="1" applyFill="1" applyBorder="1" applyAlignment="1">
      <alignment horizontal="center"/>
    </xf>
    <xf numFmtId="4" fontId="9" fillId="0" borderId="13" xfId="0" applyNumberFormat="1" applyFont="1" applyFill="1" applyBorder="1" applyAlignment="1">
      <alignment horizontal="center" vertical="top"/>
    </xf>
    <xf numFmtId="4" fontId="28" fillId="2" borderId="6" xfId="0" applyNumberFormat="1" applyFont="1" applyFill="1" applyBorder="1" applyAlignment="1">
      <alignment horizontal="center" vertical="top"/>
    </xf>
    <xf numFmtId="4" fontId="28" fillId="2" borderId="17" xfId="0" applyNumberFormat="1" applyFont="1" applyFill="1" applyBorder="1" applyAlignment="1">
      <alignment horizontal="center" vertical="top" wrapText="1"/>
    </xf>
    <xf numFmtId="4" fontId="2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43" fillId="0" borderId="1" xfId="0" applyFont="1" applyBorder="1" applyAlignment="1">
      <alignment horizontal="center"/>
    </xf>
    <xf numFmtId="4" fontId="30" fillId="2" borderId="1" xfId="0" applyNumberFormat="1" applyFont="1" applyFill="1" applyBorder="1" applyAlignment="1">
      <alignment horizontal="center" vertical="top" wrapText="1"/>
    </xf>
    <xf numFmtId="4" fontId="0" fillId="2" borderId="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2" fontId="9" fillId="3" borderId="8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/>
    </xf>
    <xf numFmtId="4" fontId="30" fillId="0" borderId="1" xfId="0" applyNumberFormat="1" applyFont="1" applyBorder="1" applyAlignment="1">
      <alignment vertical="center" wrapText="1"/>
    </xf>
    <xf numFmtId="0" fontId="55" fillId="0" borderId="0" xfId="0" applyFont="1" applyBorder="1" applyAlignment="1"/>
    <xf numFmtId="4" fontId="0" fillId="0" borderId="1" xfId="0" applyNumberFormat="1" applyBorder="1" applyAlignment="1"/>
    <xf numFmtId="4" fontId="30" fillId="0" borderId="1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top"/>
    </xf>
    <xf numFmtId="4" fontId="30" fillId="0" borderId="3" xfId="0" applyNumberFormat="1" applyFont="1" applyFill="1" applyBorder="1" applyAlignment="1">
      <alignment horizontal="center" vertical="top"/>
    </xf>
    <xf numFmtId="0" fontId="2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0" fontId="67" fillId="0" borderId="1" xfId="0" applyFont="1" applyBorder="1" applyAlignment="1">
      <alignment horizontal="center"/>
    </xf>
    <xf numFmtId="4" fontId="8" fillId="2" borderId="19" xfId="0" applyNumberFormat="1" applyFont="1" applyFill="1" applyBorder="1" applyAlignment="1"/>
    <xf numFmtId="4" fontId="2" fillId="0" borderId="3" xfId="0" applyNumberFormat="1" applyFont="1" applyFill="1" applyBorder="1" applyAlignment="1">
      <alignment horizontal="center"/>
    </xf>
    <xf numFmtId="0" fontId="16" fillId="0" borderId="0" xfId="0" applyFont="1" applyAlignment="1"/>
    <xf numFmtId="0" fontId="16" fillId="0" borderId="39" xfId="0" applyFont="1" applyBorder="1" applyAlignment="1"/>
    <xf numFmtId="4" fontId="9" fillId="3" borderId="8" xfId="0" applyNumberFormat="1" applyFont="1" applyFill="1" applyBorder="1" applyAlignment="1">
      <alignment horizontal="center"/>
    </xf>
    <xf numFmtId="4" fontId="9" fillId="3" borderId="12" xfId="0" applyNumberFormat="1" applyFont="1" applyFill="1" applyBorder="1" applyAlignment="1">
      <alignment horizontal="center"/>
    </xf>
    <xf numFmtId="4" fontId="8" fillId="3" borderId="28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 vertical="top"/>
    </xf>
    <xf numFmtId="4" fontId="8" fillId="0" borderId="18" xfId="0" applyNumberFormat="1" applyFont="1" applyBorder="1" applyAlignment="1">
      <alignment horizontal="center" vertical="top"/>
    </xf>
    <xf numFmtId="4" fontId="8" fillId="2" borderId="19" xfId="0" applyNumberFormat="1" applyFont="1" applyFill="1" applyBorder="1" applyAlignment="1">
      <alignment horizontal="center" vertical="top"/>
    </xf>
    <xf numFmtId="4" fontId="9" fillId="0" borderId="2" xfId="0" applyNumberFormat="1" applyFont="1" applyFill="1" applyBorder="1" applyAlignment="1">
      <alignment horizontal="center" vertical="top"/>
    </xf>
    <xf numFmtId="4" fontId="2" fillId="3" borderId="3" xfId="0" applyNumberFormat="1" applyFont="1" applyFill="1" applyBorder="1" applyAlignment="1">
      <alignment horizontal="center" vertical="top"/>
    </xf>
    <xf numFmtId="4" fontId="0" fillId="3" borderId="3" xfId="0" applyNumberFormat="1" applyFill="1" applyBorder="1"/>
    <xf numFmtId="0" fontId="0" fillId="3" borderId="3" xfId="0" applyFill="1" applyBorder="1"/>
    <xf numFmtId="4" fontId="9" fillId="0" borderId="19" xfId="0" applyNumberFormat="1" applyFont="1" applyFill="1" applyBorder="1" applyAlignment="1">
      <alignment horizontal="center" vertical="top"/>
    </xf>
    <xf numFmtId="4" fontId="23" fillId="3" borderId="18" xfId="0" applyNumberFormat="1" applyFont="1" applyFill="1" applyBorder="1" applyAlignment="1">
      <alignment horizontal="center" vertical="top"/>
    </xf>
    <xf numFmtId="0" fontId="21" fillId="0" borderId="1" xfId="0" applyFont="1" applyBorder="1" applyAlignment="1">
      <alignment horizontal="center" vertical="top" wrapText="1"/>
    </xf>
    <xf numFmtId="0" fontId="25" fillId="0" borderId="1" xfId="0" applyFont="1" applyBorder="1"/>
    <xf numFmtId="0" fontId="25" fillId="0" borderId="1" xfId="0" applyFont="1" applyBorder="1" applyAlignment="1">
      <alignment horizontal="center" vertical="center"/>
    </xf>
    <xf numFmtId="4" fontId="25" fillId="0" borderId="1" xfId="0" applyNumberFormat="1" applyFont="1" applyBorder="1"/>
    <xf numFmtId="0" fontId="25" fillId="0" borderId="2" xfId="0" applyFont="1" applyBorder="1"/>
    <xf numFmtId="4" fontId="25" fillId="0" borderId="2" xfId="0" applyNumberFormat="1" applyFont="1" applyBorder="1" applyAlignment="1">
      <alignment horizontal="center" vertical="center"/>
    </xf>
    <xf numFmtId="4" fontId="25" fillId="0" borderId="2" xfId="0" applyNumberFormat="1" applyFont="1" applyBorder="1"/>
    <xf numFmtId="4" fontId="25" fillId="0" borderId="1" xfId="0" applyNumberFormat="1" applyFont="1" applyFill="1" applyBorder="1"/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1" fillId="0" borderId="1" xfId="0" applyFont="1" applyBorder="1"/>
    <xf numFmtId="0" fontId="4" fillId="2" borderId="1" xfId="0" applyFont="1" applyFill="1" applyBorder="1" applyAlignment="1">
      <alignment horizontal="left"/>
    </xf>
    <xf numFmtId="0" fontId="23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4" fontId="47" fillId="0" borderId="0" xfId="0" applyNumberFormat="1" applyFont="1" applyAlignment="1"/>
    <xf numFmtId="4" fontId="70" fillId="0" borderId="1" xfId="0" applyNumberFormat="1" applyFont="1" applyFill="1" applyBorder="1" applyAlignment="1">
      <alignment horizontal="right"/>
    </xf>
    <xf numFmtId="4" fontId="34" fillId="0" borderId="1" xfId="0" applyNumberFormat="1" applyFont="1" applyBorder="1" applyAlignment="1">
      <alignment horizontal="right" vertical="top" wrapText="1"/>
    </xf>
    <xf numFmtId="4" fontId="34" fillId="0" borderId="1" xfId="0" applyNumberFormat="1" applyFont="1" applyFill="1" applyBorder="1" applyAlignment="1">
      <alignment horizontal="right" vertical="top" wrapText="1"/>
    </xf>
    <xf numFmtId="2" fontId="34" fillId="0" borderId="1" xfId="0" applyNumberFormat="1" applyFont="1" applyFill="1" applyBorder="1" applyAlignment="1">
      <alignment horizontal="right" vertical="top" wrapText="1"/>
    </xf>
    <xf numFmtId="4" fontId="34" fillId="0" borderId="1" xfId="0" applyNumberFormat="1" applyFont="1" applyBorder="1" applyAlignment="1">
      <alignment horizontal="right"/>
    </xf>
    <xf numFmtId="4" fontId="44" fillId="0" borderId="1" xfId="0" applyNumberFormat="1" applyFont="1" applyBorder="1" applyAlignment="1">
      <alignment horizontal="right"/>
    </xf>
    <xf numFmtId="0" fontId="34" fillId="0" borderId="2" xfId="0" applyFont="1" applyBorder="1" applyAlignment="1">
      <alignment horizontal="left"/>
    </xf>
    <xf numFmtId="4" fontId="34" fillId="0" borderId="2" xfId="0" applyNumberFormat="1" applyFont="1" applyBorder="1" applyAlignment="1">
      <alignment horizontal="right" vertical="top" wrapText="1"/>
    </xf>
    <xf numFmtId="4" fontId="34" fillId="0" borderId="2" xfId="0" applyNumberFormat="1" applyFont="1" applyBorder="1" applyAlignment="1">
      <alignment horizontal="right"/>
    </xf>
    <xf numFmtId="4" fontId="34" fillId="0" borderId="2" xfId="0" applyNumberFormat="1" applyFont="1" applyFill="1" applyBorder="1" applyAlignment="1">
      <alignment horizontal="right" vertical="top" wrapText="1"/>
    </xf>
    <xf numFmtId="2" fontId="34" fillId="0" borderId="2" xfId="0" applyNumberFormat="1" applyFont="1" applyFill="1" applyBorder="1" applyAlignment="1">
      <alignment horizontal="right" vertical="top" wrapText="1"/>
    </xf>
    <xf numFmtId="2" fontId="66" fillId="0" borderId="1" xfId="0" applyNumberFormat="1" applyFont="1" applyBorder="1" applyAlignment="1">
      <alignment horizontal="left" vertical="center"/>
    </xf>
    <xf numFmtId="0" fontId="46" fillId="0" borderId="0" xfId="0" applyFont="1"/>
    <xf numFmtId="2" fontId="34" fillId="0" borderId="0" xfId="0" applyNumberFormat="1" applyFont="1" applyFill="1" applyBorder="1" applyAlignment="1">
      <alignment horizontal="center" vertical="top" wrapText="1"/>
    </xf>
    <xf numFmtId="0" fontId="46" fillId="0" borderId="0" xfId="0" applyFont="1" applyAlignment="1"/>
    <xf numFmtId="4" fontId="43" fillId="0" borderId="1" xfId="0" applyNumberFormat="1" applyFont="1" applyBorder="1" applyAlignment="1">
      <alignment horizontal="right"/>
    </xf>
    <xf numFmtId="4" fontId="76" fillId="0" borderId="13" xfId="0" applyNumberFormat="1" applyFont="1" applyFill="1" applyBorder="1" applyAlignment="1">
      <alignment horizontal="right"/>
    </xf>
    <xf numFmtId="4" fontId="43" fillId="0" borderId="1" xfId="0" applyNumberFormat="1" applyFont="1" applyBorder="1" applyAlignment="1">
      <alignment horizontal="right" vertical="center" wrapText="1"/>
    </xf>
    <xf numFmtId="4" fontId="43" fillId="0" borderId="1" xfId="0" applyNumberFormat="1" applyFont="1" applyBorder="1" applyAlignment="1">
      <alignment horizontal="right" vertical="top" wrapText="1"/>
    </xf>
    <xf numFmtId="4" fontId="43" fillId="0" borderId="1" xfId="0" applyNumberFormat="1" applyFont="1" applyFill="1" applyBorder="1" applyAlignment="1">
      <alignment horizontal="right" vertical="top" wrapText="1"/>
    </xf>
    <xf numFmtId="4" fontId="43" fillId="0" borderId="1" xfId="0" applyNumberFormat="1" applyFont="1" applyFill="1" applyBorder="1" applyAlignment="1">
      <alignment horizontal="right" vertical="center" wrapText="1"/>
    </xf>
    <xf numFmtId="4" fontId="34" fillId="0" borderId="1" xfId="0" applyNumberFormat="1" applyFont="1" applyBorder="1" applyAlignment="1">
      <alignment horizontal="right" vertical="center" wrapText="1"/>
    </xf>
    <xf numFmtId="4" fontId="34" fillId="0" borderId="2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top" wrapText="1"/>
    </xf>
    <xf numFmtId="4" fontId="28" fillId="0" borderId="8" xfId="0" applyNumberFormat="1" applyFont="1" applyBorder="1" applyAlignment="1">
      <alignment horizontal="center"/>
    </xf>
    <xf numFmtId="4" fontId="28" fillId="0" borderId="12" xfId="0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 vertical="center" wrapText="1"/>
    </xf>
    <xf numFmtId="0" fontId="9" fillId="0" borderId="11" xfId="0" applyFont="1" applyBorder="1" applyAlignment="1"/>
    <xf numFmtId="0" fontId="77" fillId="0" borderId="0" xfId="0" applyFont="1" applyBorder="1" applyAlignment="1"/>
    <xf numFmtId="0" fontId="77" fillId="0" borderId="0" xfId="0" applyFont="1" applyAlignment="1"/>
    <xf numFmtId="0" fontId="9" fillId="0" borderId="0" xfId="0" applyFont="1" applyAlignment="1"/>
    <xf numFmtId="0" fontId="0" fillId="2" borderId="18" xfId="0" applyFill="1" applyBorder="1"/>
    <xf numFmtId="0" fontId="39" fillId="2" borderId="19" xfId="0" applyFont="1" applyFill="1" applyBorder="1"/>
    <xf numFmtId="0" fontId="0" fillId="2" borderId="19" xfId="0" applyFill="1" applyBorder="1"/>
    <xf numFmtId="0" fontId="21" fillId="2" borderId="19" xfId="0" applyFont="1" applyFill="1" applyBorder="1" applyAlignment="1">
      <alignment horizontal="center"/>
    </xf>
    <xf numFmtId="2" fontId="21" fillId="2" borderId="19" xfId="0" applyNumberFormat="1" applyFont="1" applyFill="1" applyBorder="1" applyAlignment="1">
      <alignment horizontal="center"/>
    </xf>
    <xf numFmtId="4" fontId="30" fillId="2" borderId="20" xfId="0" applyNumberFormat="1" applyFont="1" applyFill="1" applyBorder="1" applyAlignment="1">
      <alignment horizontal="center"/>
    </xf>
    <xf numFmtId="4" fontId="21" fillId="2" borderId="20" xfId="0" applyNumberFormat="1" applyFont="1" applyFill="1" applyBorder="1" applyAlignment="1">
      <alignment horizontal="center"/>
    </xf>
    <xf numFmtId="4" fontId="21" fillId="2" borderId="18" xfId="0" applyNumberFormat="1" applyFont="1" applyFill="1" applyBorder="1" applyAlignment="1">
      <alignment horizontal="center"/>
    </xf>
    <xf numFmtId="4" fontId="8" fillId="2" borderId="20" xfId="0" applyNumberFormat="1" applyFont="1" applyFill="1" applyBorder="1" applyAlignment="1">
      <alignment horizontal="center"/>
    </xf>
    <xf numFmtId="4" fontId="21" fillId="2" borderId="30" xfId="0" applyNumberFormat="1" applyFont="1" applyFill="1" applyBorder="1" applyAlignment="1">
      <alignment horizontal="center"/>
    </xf>
    <xf numFmtId="0" fontId="53" fillId="2" borderId="1" xfId="0" applyFont="1" applyFill="1" applyBorder="1" applyAlignment="1">
      <alignment horizontal="left"/>
    </xf>
    <xf numFmtId="4" fontId="44" fillId="0" borderId="1" xfId="0" applyNumberFormat="1" applyFont="1" applyBorder="1" applyAlignment="1"/>
    <xf numFmtId="0" fontId="4" fillId="0" borderId="0" xfId="0" applyFont="1" applyAlignment="1"/>
    <xf numFmtId="0" fontId="4" fillId="0" borderId="1" xfId="0" applyFont="1" applyFill="1" applyBorder="1" applyAlignment="1">
      <alignment horizontal="left"/>
    </xf>
    <xf numFmtId="0" fontId="55" fillId="0" borderId="0" xfId="0" applyFont="1" applyFill="1" applyBorder="1" applyAlignment="1">
      <alignment horizontal="left"/>
    </xf>
    <xf numFmtId="4" fontId="44" fillId="0" borderId="1" xfId="0" applyNumberFormat="1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 wrapText="1"/>
    </xf>
    <xf numFmtId="4" fontId="43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78" fillId="0" borderId="1" xfId="0" applyFont="1" applyBorder="1" applyAlignment="1">
      <alignment horizontal="center"/>
    </xf>
    <xf numFmtId="0" fontId="47" fillId="0" borderId="1" xfId="0" applyFont="1" applyBorder="1" applyAlignment="1">
      <alignment horizontal="center" vertical="top" wrapText="1"/>
    </xf>
    <xf numFmtId="0" fontId="47" fillId="0" borderId="1" xfId="0" applyFont="1" applyBorder="1" applyAlignment="1">
      <alignment horizontal="center"/>
    </xf>
    <xf numFmtId="14" fontId="47" fillId="0" borderId="1" xfId="0" applyNumberFormat="1" applyFont="1" applyBorder="1" applyAlignment="1">
      <alignment horizontal="center"/>
    </xf>
    <xf numFmtId="0" fontId="47" fillId="2" borderId="1" xfId="0" applyFont="1" applyFill="1" applyBorder="1" applyAlignment="1">
      <alignment horizontal="center"/>
    </xf>
    <xf numFmtId="0" fontId="47" fillId="0" borderId="2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53" fillId="0" borderId="1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14" fontId="47" fillId="2" borderId="1" xfId="0" applyNumberFormat="1" applyFont="1" applyFill="1" applyBorder="1" applyAlignment="1">
      <alignment horizontal="center"/>
    </xf>
    <xf numFmtId="0" fontId="0" fillId="3" borderId="36" xfId="0" applyFill="1" applyBorder="1"/>
    <xf numFmtId="0" fontId="51" fillId="0" borderId="1" xfId="0" applyFont="1" applyBorder="1" applyAlignment="1">
      <alignment horizontal="center"/>
    </xf>
    <xf numFmtId="14" fontId="51" fillId="0" borderId="1" xfId="0" applyNumberFormat="1" applyFont="1" applyBorder="1" applyAlignment="1">
      <alignment horizontal="center"/>
    </xf>
    <xf numFmtId="14" fontId="47" fillId="0" borderId="1" xfId="0" applyNumberFormat="1" applyFont="1" applyBorder="1" applyAlignment="1">
      <alignment horizontal="center" vertical="center" wrapText="1"/>
    </xf>
    <xf numFmtId="14" fontId="47" fillId="0" borderId="1" xfId="0" applyNumberFormat="1" applyFont="1" applyBorder="1" applyAlignment="1">
      <alignment horizontal="center" vertical="center"/>
    </xf>
    <xf numFmtId="14" fontId="47" fillId="6" borderId="1" xfId="0" applyNumberFormat="1" applyFont="1" applyFill="1" applyBorder="1" applyAlignment="1">
      <alignment horizontal="center"/>
    </xf>
    <xf numFmtId="14" fontId="47" fillId="3" borderId="1" xfId="0" applyNumberFormat="1" applyFont="1" applyFill="1" applyBorder="1" applyAlignment="1">
      <alignment horizontal="center"/>
    </xf>
    <xf numFmtId="0" fontId="47" fillId="8" borderId="1" xfId="0" applyFont="1" applyFill="1" applyBorder="1" applyAlignment="1">
      <alignment horizontal="center"/>
    </xf>
    <xf numFmtId="0" fontId="47" fillId="8" borderId="2" xfId="0" applyFont="1" applyFill="1" applyBorder="1" applyAlignment="1">
      <alignment horizontal="center"/>
    </xf>
    <xf numFmtId="0" fontId="51" fillId="0" borderId="0" xfId="0" applyFont="1"/>
    <xf numFmtId="4" fontId="34" fillId="2" borderId="1" xfId="0" applyNumberFormat="1" applyFont="1" applyFill="1" applyBorder="1" applyAlignment="1">
      <alignment horizontal="right"/>
    </xf>
    <xf numFmtId="4" fontId="34" fillId="2" borderId="1" xfId="0" applyNumberFormat="1" applyFont="1" applyFill="1" applyBorder="1" applyAlignment="1">
      <alignment horizontal="right" vertical="top" wrapText="1"/>
    </xf>
    <xf numFmtId="4" fontId="43" fillId="2" borderId="1" xfId="0" applyNumberFormat="1" applyFont="1" applyFill="1" applyBorder="1" applyAlignment="1">
      <alignment horizontal="right" vertical="center" wrapText="1"/>
    </xf>
    <xf numFmtId="0" fontId="51" fillId="3" borderId="1" xfId="0" applyFont="1" applyFill="1" applyBorder="1" applyAlignment="1">
      <alignment horizontal="center"/>
    </xf>
    <xf numFmtId="164" fontId="25" fillId="0" borderId="0" xfId="0" applyNumberFormat="1" applyFont="1"/>
    <xf numFmtId="0" fontId="4" fillId="0" borderId="0" xfId="0" applyFont="1" applyBorder="1" applyAlignment="1"/>
    <xf numFmtId="4" fontId="43" fillId="0" borderId="1" xfId="0" applyNumberFormat="1" applyFont="1" applyFill="1" applyBorder="1" applyAlignment="1">
      <alignment horizontal="right" wrapText="1"/>
    </xf>
    <xf numFmtId="0" fontId="0" fillId="0" borderId="0" xfId="0" applyBorder="1" applyAlignment="1">
      <alignment horizontal="left" vertical="top" wrapText="1"/>
    </xf>
    <xf numFmtId="0" fontId="21" fillId="0" borderId="3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14" fontId="47" fillId="0" borderId="1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25" fillId="4" borderId="0" xfId="0" applyFont="1" applyFill="1" applyBorder="1" applyAlignment="1"/>
    <xf numFmtId="0" fontId="0" fillId="4" borderId="0" xfId="0" applyFill="1" applyBorder="1" applyAlignment="1"/>
    <xf numFmtId="0" fontId="2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77" fillId="0" borderId="0" xfId="0" applyFont="1"/>
    <xf numFmtId="4" fontId="0" fillId="0" borderId="1" xfId="0" applyNumberFormat="1" applyBorder="1" applyAlignment="1">
      <alignment vertical="top"/>
    </xf>
    <xf numFmtId="0" fontId="8" fillId="6" borderId="10" xfId="0" applyFont="1" applyFill="1" applyBorder="1" applyAlignment="1">
      <alignment horizontal="center" vertical="top" wrapText="1"/>
    </xf>
    <xf numFmtId="0" fontId="23" fillId="6" borderId="3" xfId="0" applyFont="1" applyFill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2" fillId="2" borderId="2" xfId="0" applyNumberFormat="1" applyFont="1" applyFill="1" applyBorder="1" applyAlignment="1">
      <alignment wrapText="1"/>
    </xf>
    <xf numFmtId="4" fontId="34" fillId="0" borderId="8" xfId="0" applyNumberFormat="1" applyFont="1" applyBorder="1" applyAlignment="1">
      <alignment horizontal="right" wrapText="1"/>
    </xf>
    <xf numFmtId="4" fontId="34" fillId="6" borderId="8" xfId="0" applyNumberFormat="1" applyFont="1" applyFill="1" applyBorder="1" applyAlignment="1">
      <alignment horizontal="right" wrapText="1"/>
    </xf>
    <xf numFmtId="4" fontId="34" fillId="0" borderId="1" xfId="0" applyNumberFormat="1" applyFont="1" applyFill="1" applyBorder="1" applyAlignment="1">
      <alignment horizontal="right"/>
    </xf>
    <xf numFmtId="4" fontId="34" fillId="0" borderId="3" xfId="0" applyNumberFormat="1" applyFont="1" applyFill="1" applyBorder="1" applyAlignment="1">
      <alignment horizontal="right"/>
    </xf>
    <xf numFmtId="4" fontId="44" fillId="0" borderId="3" xfId="0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4" fontId="34" fillId="2" borderId="8" xfId="0" applyNumberFormat="1" applyFont="1" applyFill="1" applyBorder="1" applyAlignment="1">
      <alignment horizontal="right" wrapText="1"/>
    </xf>
    <xf numFmtId="4" fontId="34" fillId="2" borderId="3" xfId="0" applyNumberFormat="1" applyFont="1" applyFill="1" applyBorder="1" applyAlignment="1">
      <alignment horizontal="right"/>
    </xf>
    <xf numFmtId="4" fontId="34" fillId="0" borderId="1" xfId="0" applyNumberFormat="1" applyFont="1" applyBorder="1" applyAlignment="1">
      <alignment horizontal="right" wrapText="1"/>
    </xf>
    <xf numFmtId="4" fontId="34" fillId="6" borderId="1" xfId="0" applyNumberFormat="1" applyFont="1" applyFill="1" applyBorder="1" applyAlignment="1">
      <alignment horizontal="right" wrapText="1"/>
    </xf>
    <xf numFmtId="4" fontId="34" fillId="0" borderId="2" xfId="0" applyNumberFormat="1" applyFont="1" applyBorder="1" applyAlignment="1">
      <alignment horizontal="right" wrapText="1"/>
    </xf>
    <xf numFmtId="4" fontId="34" fillId="6" borderId="2" xfId="0" applyNumberFormat="1" applyFont="1" applyFill="1" applyBorder="1" applyAlignment="1">
      <alignment horizontal="right" wrapText="1"/>
    </xf>
    <xf numFmtId="4" fontId="34" fillId="2" borderId="2" xfId="0" applyNumberFormat="1" applyFont="1" applyFill="1" applyBorder="1" applyAlignment="1">
      <alignment horizontal="right"/>
    </xf>
    <xf numFmtId="4" fontId="34" fillId="0" borderId="13" xfId="0" applyNumberFormat="1" applyFont="1" applyFill="1" applyBorder="1" applyAlignment="1">
      <alignment horizontal="right"/>
    </xf>
    <xf numFmtId="4" fontId="34" fillId="0" borderId="2" xfId="0" applyNumberFormat="1" applyFont="1" applyFill="1" applyBorder="1" applyAlignment="1">
      <alignment horizontal="right"/>
    </xf>
    <xf numFmtId="4" fontId="44" fillId="0" borderId="13" xfId="0" applyNumberFormat="1" applyFont="1" applyBorder="1" applyAlignment="1">
      <alignment horizontal="right"/>
    </xf>
    <xf numFmtId="4" fontId="44" fillId="0" borderId="2" xfId="0" applyNumberFormat="1" applyFont="1" applyBorder="1" applyAlignment="1">
      <alignment horizontal="right"/>
    </xf>
    <xf numFmtId="4" fontId="30" fillId="2" borderId="1" xfId="0" applyNumberFormat="1" applyFont="1" applyFill="1" applyBorder="1" applyAlignment="1">
      <alignment horizontal="right"/>
    </xf>
    <xf numFmtId="4" fontId="30" fillId="6" borderId="1" xfId="0" applyNumberFormat="1" applyFont="1" applyFill="1" applyBorder="1" applyAlignment="1">
      <alignment horizontal="right"/>
    </xf>
    <xf numFmtId="4" fontId="30" fillId="0" borderId="1" xfId="0" applyNumberFormat="1" applyFont="1" applyBorder="1" applyAlignment="1">
      <alignment horizontal="right"/>
    </xf>
    <xf numFmtId="4" fontId="30" fillId="0" borderId="1" xfId="0" applyNumberFormat="1" applyFont="1" applyFill="1" applyBorder="1" applyAlignment="1">
      <alignment horizontal="right"/>
    </xf>
    <xf numFmtId="4" fontId="30" fillId="0" borderId="1" xfId="0" applyNumberFormat="1" applyFont="1" applyFill="1" applyBorder="1" applyAlignment="1">
      <alignment horizontal="right" vertical="top"/>
    </xf>
    <xf numFmtId="4" fontId="65" fillId="2" borderId="1" xfId="0" applyNumberFormat="1" applyFont="1" applyFill="1" applyBorder="1" applyAlignment="1">
      <alignment horizontal="right"/>
    </xf>
    <xf numFmtId="4" fontId="21" fillId="0" borderId="3" xfId="0" applyNumberFormat="1" applyFont="1" applyBorder="1" applyAlignment="1">
      <alignment horizontal="right" vertical="top"/>
    </xf>
    <xf numFmtId="4" fontId="21" fillId="0" borderId="1" xfId="0" applyNumberFormat="1" applyFont="1" applyBorder="1" applyAlignment="1">
      <alignment horizontal="right" vertical="top"/>
    </xf>
    <xf numFmtId="4" fontId="31" fillId="0" borderId="1" xfId="0" applyNumberFormat="1" applyFont="1" applyBorder="1" applyAlignment="1">
      <alignment horizontal="right"/>
    </xf>
    <xf numFmtId="4" fontId="16" fillId="0" borderId="1" xfId="0" applyNumberFormat="1" applyFont="1" applyBorder="1" applyAlignment="1">
      <alignment horizontal="right"/>
    </xf>
    <xf numFmtId="4" fontId="25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 vertical="top"/>
    </xf>
    <xf numFmtId="4" fontId="34" fillId="6" borderId="1" xfId="0" applyNumberFormat="1" applyFont="1" applyFill="1" applyBorder="1" applyAlignment="1">
      <alignment horizontal="right"/>
    </xf>
    <xf numFmtId="4" fontId="34" fillId="6" borderId="3" xfId="0" applyNumberFormat="1" applyFont="1" applyFill="1" applyBorder="1" applyAlignment="1">
      <alignment horizontal="right"/>
    </xf>
    <xf numFmtId="4" fontId="44" fillId="6" borderId="3" xfId="0" applyNumberFormat="1" applyFont="1" applyFill="1" applyBorder="1" applyAlignment="1">
      <alignment horizontal="right"/>
    </xf>
    <xf numFmtId="4" fontId="44" fillId="6" borderId="1" xfId="0" applyNumberFormat="1" applyFont="1" applyFill="1" applyBorder="1" applyAlignment="1">
      <alignment horizontal="right"/>
    </xf>
    <xf numFmtId="2" fontId="30" fillId="2" borderId="1" xfId="0" applyNumberFormat="1" applyFont="1" applyFill="1" applyBorder="1" applyAlignment="1">
      <alignment horizontal="right"/>
    </xf>
    <xf numFmtId="4" fontId="71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Fill="1" applyBorder="1" applyAlignment="1">
      <alignment horizontal="right" vertical="top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top"/>
    </xf>
    <xf numFmtId="4" fontId="2" fillId="0" borderId="3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right"/>
    </xf>
    <xf numFmtId="4" fontId="2" fillId="2" borderId="1" xfId="0" applyNumberFormat="1" applyFont="1" applyFill="1" applyBorder="1" applyAlignment="1">
      <alignment horizontal="right" vertical="top"/>
    </xf>
    <xf numFmtId="4" fontId="2" fillId="2" borderId="2" xfId="0" applyNumberFormat="1" applyFont="1" applyFill="1" applyBorder="1" applyAlignment="1">
      <alignment horizontal="right" vertical="top"/>
    </xf>
    <xf numFmtId="4" fontId="9" fillId="0" borderId="13" xfId="0" applyNumberFormat="1" applyFont="1" applyFill="1" applyBorder="1" applyAlignment="1">
      <alignment horizontal="right" vertical="top"/>
    </xf>
    <xf numFmtId="4" fontId="8" fillId="0" borderId="19" xfId="0" applyNumberFormat="1" applyFont="1" applyBorder="1" applyAlignment="1">
      <alignment horizontal="right"/>
    </xf>
    <xf numFmtId="4" fontId="8" fillId="2" borderId="28" xfId="0" applyNumberFormat="1" applyFont="1" applyFill="1" applyBorder="1" applyAlignment="1">
      <alignment horizontal="right" vertical="top"/>
    </xf>
    <xf numFmtId="4" fontId="8" fillId="2" borderId="36" xfId="0" applyNumberFormat="1" applyFont="1" applyFill="1" applyBorder="1" applyAlignment="1">
      <alignment horizontal="right"/>
    </xf>
    <xf numFmtId="4" fontId="8" fillId="2" borderId="19" xfId="0" applyNumberFormat="1" applyFont="1" applyFill="1" applyBorder="1" applyAlignment="1">
      <alignment horizontal="right"/>
    </xf>
    <xf numFmtId="4" fontId="8" fillId="2" borderId="28" xfId="0" applyNumberFormat="1" applyFont="1" applyFill="1" applyBorder="1" applyAlignment="1">
      <alignment horizontal="right"/>
    </xf>
    <xf numFmtId="4" fontId="8" fillId="0" borderId="18" xfId="0" applyNumberFormat="1" applyFont="1" applyFill="1" applyBorder="1" applyAlignment="1">
      <alignment horizontal="right"/>
    </xf>
    <xf numFmtId="0" fontId="34" fillId="0" borderId="1" xfId="0" applyFont="1" applyBorder="1" applyAlignment="1">
      <alignment horizontal="right" wrapText="1"/>
    </xf>
    <xf numFmtId="0" fontId="44" fillId="0" borderId="1" xfId="0" applyFont="1" applyBorder="1" applyAlignment="1">
      <alignment horizontal="right"/>
    </xf>
    <xf numFmtId="0" fontId="34" fillId="2" borderId="1" xfId="0" applyFont="1" applyFill="1" applyBorder="1" applyAlignment="1">
      <alignment horizontal="right" wrapText="1"/>
    </xf>
    <xf numFmtId="0" fontId="34" fillId="2" borderId="8" xfId="0" applyFont="1" applyFill="1" applyBorder="1" applyAlignment="1">
      <alignment horizontal="right" wrapText="1"/>
    </xf>
    <xf numFmtId="0" fontId="34" fillId="0" borderId="1" xfId="0" applyFont="1" applyBorder="1" applyAlignment="1">
      <alignment horizontal="right"/>
    </xf>
    <xf numFmtId="2" fontId="34" fillId="2" borderId="1" xfId="0" applyNumberFormat="1" applyFont="1" applyFill="1" applyBorder="1" applyAlignment="1">
      <alignment horizontal="right"/>
    </xf>
    <xf numFmtId="2" fontId="34" fillId="2" borderId="8" xfId="0" applyNumberFormat="1" applyFont="1" applyFill="1" applyBorder="1" applyAlignment="1">
      <alignment horizontal="right"/>
    </xf>
    <xf numFmtId="4" fontId="34" fillId="2" borderId="8" xfId="0" applyNumberFormat="1" applyFont="1" applyFill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0" borderId="9" xfId="0" applyFont="1" applyBorder="1" applyAlignment="1">
      <alignment horizontal="right"/>
    </xf>
    <xf numFmtId="0" fontId="34" fillId="2" borderId="1" xfId="0" applyFont="1" applyFill="1" applyBorder="1" applyAlignment="1">
      <alignment horizontal="right"/>
    </xf>
    <xf numFmtId="0" fontId="44" fillId="2" borderId="9" xfId="0" applyFont="1" applyFill="1" applyBorder="1" applyAlignment="1">
      <alignment horizontal="right"/>
    </xf>
    <xf numFmtId="0" fontId="34" fillId="7" borderId="1" xfId="0" applyFont="1" applyFill="1" applyBorder="1" applyAlignment="1">
      <alignment horizontal="right"/>
    </xf>
    <xf numFmtId="0" fontId="44" fillId="2" borderId="0" xfId="0" applyFont="1" applyFill="1" applyBorder="1" applyAlignment="1">
      <alignment horizontal="right"/>
    </xf>
    <xf numFmtId="2" fontId="34" fillId="7" borderId="8" xfId="0" applyNumberFormat="1" applyFont="1" applyFill="1" applyBorder="1" applyAlignment="1">
      <alignment horizontal="right"/>
    </xf>
    <xf numFmtId="2" fontId="34" fillId="6" borderId="8" xfId="0" applyNumberFormat="1" applyFont="1" applyFill="1" applyBorder="1" applyAlignment="1">
      <alignment horizontal="right"/>
    </xf>
    <xf numFmtId="4" fontId="34" fillId="6" borderId="8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right"/>
    </xf>
    <xf numFmtId="2" fontId="34" fillId="2" borderId="2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right"/>
    </xf>
    <xf numFmtId="0" fontId="8" fillId="6" borderId="12" xfId="0" applyFont="1" applyFill="1" applyBorder="1" applyAlignment="1">
      <alignment horizontal="right" vertical="top" wrapText="1"/>
    </xf>
    <xf numFmtId="0" fontId="8" fillId="6" borderId="17" xfId="0" applyFont="1" applyFill="1" applyBorder="1" applyAlignment="1">
      <alignment horizontal="right" vertical="top" wrapText="1"/>
    </xf>
    <xf numFmtId="0" fontId="34" fillId="6" borderId="8" xfId="0" applyFont="1" applyFill="1" applyBorder="1" applyAlignment="1">
      <alignment horizontal="right" wrapText="1"/>
    </xf>
    <xf numFmtId="2" fontId="34" fillId="6" borderId="1" xfId="0" applyNumberFormat="1" applyFont="1" applyFill="1" applyBorder="1" applyAlignment="1">
      <alignment horizontal="right"/>
    </xf>
    <xf numFmtId="2" fontId="34" fillId="6" borderId="2" xfId="0" applyNumberFormat="1" applyFont="1" applyFill="1" applyBorder="1" applyAlignment="1">
      <alignment horizontal="right"/>
    </xf>
    <xf numFmtId="2" fontId="30" fillId="6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0" fontId="9" fillId="0" borderId="1" xfId="0" applyFont="1" applyBorder="1" applyAlignment="1">
      <alignment horizontal="right"/>
    </xf>
    <xf numFmtId="2" fontId="9" fillId="2" borderId="1" xfId="0" applyNumberFormat="1" applyFont="1" applyFill="1" applyBorder="1" applyAlignment="1">
      <alignment horizontal="right"/>
    </xf>
    <xf numFmtId="2" fontId="9" fillId="2" borderId="8" xfId="0" applyNumberFormat="1" applyFont="1" applyFill="1" applyBorder="1" applyAlignment="1">
      <alignment horizontal="right"/>
    </xf>
    <xf numFmtId="0" fontId="0" fillId="0" borderId="9" xfId="0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2" fontId="9" fillId="2" borderId="2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right"/>
    </xf>
    <xf numFmtId="2" fontId="8" fillId="2" borderId="19" xfId="0" applyNumberFormat="1" applyFont="1" applyFill="1" applyBorder="1" applyAlignment="1">
      <alignment horizontal="right"/>
    </xf>
    <xf numFmtId="0" fontId="2" fillId="6" borderId="8" xfId="0" applyFont="1" applyFill="1" applyBorder="1" applyAlignment="1">
      <alignment horizontal="right" vertical="top" wrapText="1"/>
    </xf>
    <xf numFmtId="2" fontId="9" fillId="6" borderId="8" xfId="0" applyNumberFormat="1" applyFont="1" applyFill="1" applyBorder="1" applyAlignment="1">
      <alignment horizontal="right"/>
    </xf>
    <xf numFmtId="2" fontId="9" fillId="6" borderId="1" xfId="0" applyNumberFormat="1" applyFont="1" applyFill="1" applyBorder="1" applyAlignment="1">
      <alignment horizontal="right"/>
    </xf>
    <xf numFmtId="2" fontId="9" fillId="6" borderId="2" xfId="0" applyNumberFormat="1" applyFont="1" applyFill="1" applyBorder="1" applyAlignment="1">
      <alignment horizontal="right"/>
    </xf>
    <xf numFmtId="4" fontId="2" fillId="6" borderId="8" xfId="0" applyNumberFormat="1" applyFont="1" applyFill="1" applyBorder="1" applyAlignment="1">
      <alignment horizontal="center" vertical="top" wrapText="1"/>
    </xf>
    <xf numFmtId="4" fontId="2" fillId="6" borderId="1" xfId="0" applyNumberFormat="1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4" fontId="30" fillId="6" borderId="19" xfId="0" applyNumberFormat="1" applyFont="1" applyFill="1" applyBorder="1" applyAlignment="1">
      <alignment horizontal="center"/>
    </xf>
    <xf numFmtId="2" fontId="8" fillId="6" borderId="19" xfId="0" applyNumberFormat="1" applyFont="1" applyFill="1" applyBorder="1" applyAlignment="1">
      <alignment horizontal="right"/>
    </xf>
    <xf numFmtId="4" fontId="55" fillId="2" borderId="3" xfId="0" applyNumberFormat="1" applyFont="1" applyFill="1" applyBorder="1" applyAlignment="1">
      <alignment horizontal="center" vertical="center"/>
    </xf>
    <xf numFmtId="4" fontId="35" fillId="0" borderId="3" xfId="0" applyNumberFormat="1" applyFont="1" applyFill="1" applyBorder="1" applyAlignment="1">
      <alignment horizontal="center" vertical="center"/>
    </xf>
    <xf numFmtId="4" fontId="33" fillId="2" borderId="3" xfId="0" applyNumberFormat="1" applyFont="1" applyFill="1" applyBorder="1" applyAlignment="1">
      <alignment horizontal="center" vertical="center"/>
    </xf>
    <xf numFmtId="0" fontId="46" fillId="0" borderId="1" xfId="0" applyFont="1" applyBorder="1" applyAlignment="1">
      <alignment horizontal="right"/>
    </xf>
    <xf numFmtId="4" fontId="75" fillId="0" borderId="1" xfId="0" applyNumberFormat="1" applyFont="1" applyBorder="1" applyAlignment="1"/>
    <xf numFmtId="4" fontId="2" fillId="0" borderId="1" xfId="0" applyNumberFormat="1" applyFont="1" applyBorder="1" applyAlignment="1">
      <alignment horizontal="right" vertical="top" wrapText="1"/>
    </xf>
    <xf numFmtId="4" fontId="9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4" fontId="2" fillId="0" borderId="8" xfId="0" applyNumberFormat="1" applyFont="1" applyFill="1" applyBorder="1" applyAlignment="1">
      <alignment horizontal="right" vertical="top" wrapText="1"/>
    </xf>
    <xf numFmtId="4" fontId="0" fillId="0" borderId="8" xfId="0" applyNumberFormat="1" applyBorder="1" applyAlignment="1">
      <alignment horizontal="right"/>
    </xf>
    <xf numFmtId="4" fontId="2" fillId="0" borderId="3" xfId="0" applyNumberFormat="1" applyFont="1" applyFill="1" applyBorder="1" applyAlignment="1">
      <alignment horizontal="right" vertical="top" wrapText="1"/>
    </xf>
    <xf numFmtId="4" fontId="9" fillId="0" borderId="1" xfId="0" applyNumberFormat="1" applyFont="1" applyFill="1" applyBorder="1" applyAlignment="1">
      <alignment horizontal="right" vertical="top" wrapText="1"/>
    </xf>
    <xf numFmtId="4" fontId="28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 vertical="top" wrapText="1"/>
    </xf>
    <xf numFmtId="4" fontId="0" fillId="2" borderId="8" xfId="0" applyNumberFormat="1" applyFill="1" applyBorder="1" applyAlignment="1">
      <alignment horizontal="right"/>
    </xf>
    <xf numFmtId="4" fontId="0" fillId="2" borderId="1" xfId="0" applyNumberForma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/>
    </xf>
    <xf numFmtId="0" fontId="0" fillId="0" borderId="8" xfId="0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0" fillId="0" borderId="37" xfId="0" applyBorder="1" applyAlignment="1">
      <alignment horizontal="right"/>
    </xf>
    <xf numFmtId="2" fontId="2" fillId="0" borderId="2" xfId="0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right" vertical="top" wrapText="1"/>
    </xf>
    <xf numFmtId="4" fontId="2" fillId="0" borderId="2" xfId="0" applyNumberFormat="1" applyFont="1" applyFill="1" applyBorder="1" applyAlignment="1">
      <alignment horizontal="right" vertical="top" wrapText="1"/>
    </xf>
    <xf numFmtId="4" fontId="0" fillId="0" borderId="12" xfId="0" applyNumberFormat="1" applyBorder="1" applyAlignment="1">
      <alignment horizontal="right"/>
    </xf>
    <xf numFmtId="4" fontId="0" fillId="0" borderId="2" xfId="0" applyNumberFormat="1" applyBorder="1" applyAlignment="1">
      <alignment horizontal="right" vertical="top"/>
    </xf>
    <xf numFmtId="0" fontId="43" fillId="0" borderId="1" xfId="0" applyFont="1" applyFill="1" applyBorder="1" applyAlignment="1">
      <alignment horizontal="right"/>
    </xf>
    <xf numFmtId="4" fontId="43" fillId="0" borderId="1" xfId="0" applyNumberFormat="1" applyFont="1" applyFill="1" applyBorder="1" applyAlignment="1">
      <alignment horizontal="right"/>
    </xf>
    <xf numFmtId="4" fontId="30" fillId="0" borderId="1" xfId="0" applyNumberFormat="1" applyFont="1" applyBorder="1" applyAlignment="1">
      <alignment horizontal="right" wrapText="1"/>
    </xf>
    <xf numFmtId="4" fontId="30" fillId="0" borderId="1" xfId="0" applyNumberFormat="1" applyFont="1" applyBorder="1" applyAlignment="1">
      <alignment horizontal="right" vertical="top" wrapText="1"/>
    </xf>
    <xf numFmtId="4" fontId="30" fillId="0" borderId="1" xfId="0" applyNumberFormat="1" applyFont="1" applyFill="1" applyBorder="1" applyAlignment="1">
      <alignment horizontal="right" wrapText="1"/>
    </xf>
    <xf numFmtId="4" fontId="30" fillId="0" borderId="1" xfId="0" applyNumberFormat="1" applyFont="1" applyFill="1" applyBorder="1" applyAlignment="1">
      <alignment horizontal="right" vertical="top" wrapText="1"/>
    </xf>
    <xf numFmtId="4" fontId="30" fillId="0" borderId="3" xfId="0" applyNumberFormat="1" applyFont="1" applyFill="1" applyBorder="1" applyAlignment="1">
      <alignment horizontal="right" wrapText="1"/>
    </xf>
    <xf numFmtId="4" fontId="21" fillId="0" borderId="1" xfId="0" applyNumberFormat="1" applyFont="1" applyBorder="1" applyAlignment="1">
      <alignment horizontal="right"/>
    </xf>
    <xf numFmtId="4" fontId="25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29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1" fillId="0" borderId="4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vertical="top" wrapText="1"/>
    </xf>
    <xf numFmtId="0" fontId="46" fillId="0" borderId="9" xfId="0" applyFont="1" applyBorder="1" applyAlignment="1">
      <alignment horizontal="right"/>
    </xf>
    <xf numFmtId="2" fontId="34" fillId="0" borderId="1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 vertical="top" wrapText="1"/>
    </xf>
    <xf numFmtId="4" fontId="9" fillId="0" borderId="8" xfId="0" applyNumberFormat="1" applyFont="1" applyFill="1" applyBorder="1" applyAlignment="1">
      <alignment horizontal="right" vertical="top" wrapText="1"/>
    </xf>
    <xf numFmtId="4" fontId="9" fillId="0" borderId="6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top"/>
    </xf>
    <xf numFmtId="0" fontId="34" fillId="0" borderId="1" xfId="0" applyFont="1" applyFill="1" applyBorder="1" applyAlignment="1">
      <alignment horizontal="right"/>
    </xf>
    <xf numFmtId="0" fontId="34" fillId="0" borderId="2" xfId="0" applyFont="1" applyFill="1" applyBorder="1" applyAlignment="1">
      <alignment horizontal="right"/>
    </xf>
    <xf numFmtId="0" fontId="44" fillId="0" borderId="2" xfId="0" applyFont="1" applyBorder="1" applyAlignment="1">
      <alignment horizontal="right"/>
    </xf>
    <xf numFmtId="4" fontId="9" fillId="0" borderId="12" xfId="0" applyNumberFormat="1" applyFont="1" applyFill="1" applyBorder="1" applyAlignment="1">
      <alignment horizontal="right" vertical="top" wrapText="1"/>
    </xf>
    <xf numFmtId="4" fontId="2" fillId="0" borderId="12" xfId="0" applyNumberFormat="1" applyFont="1" applyFill="1" applyBorder="1" applyAlignment="1">
      <alignment horizontal="right" vertical="top" wrapText="1"/>
    </xf>
    <xf numFmtId="0" fontId="28" fillId="0" borderId="1" xfId="0" applyFont="1" applyFill="1" applyBorder="1" applyAlignment="1">
      <alignment horizontal="right"/>
    </xf>
    <xf numFmtId="0" fontId="30" fillId="0" borderId="1" xfId="0" applyFont="1" applyFill="1" applyBorder="1" applyAlignment="1">
      <alignment horizontal="right"/>
    </xf>
    <xf numFmtId="4" fontId="21" fillId="0" borderId="1" xfId="0" applyNumberFormat="1" applyFont="1" applyFill="1" applyBorder="1" applyAlignment="1">
      <alignment horizontal="right"/>
    </xf>
    <xf numFmtId="4" fontId="30" fillId="0" borderId="1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Border="1" applyAlignment="1">
      <alignment horizontal="right"/>
    </xf>
    <xf numFmtId="4" fontId="61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 vertical="top" wrapText="1"/>
    </xf>
    <xf numFmtId="2" fontId="0" fillId="0" borderId="0" xfId="0" applyNumberFormat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4" fontId="2" fillId="0" borderId="1" xfId="0" applyNumberFormat="1" applyFont="1" applyBorder="1" applyAlignment="1">
      <alignment horizontal="right" vertical="center" wrapText="1"/>
    </xf>
    <xf numFmtId="4" fontId="2" fillId="3" borderId="8" xfId="0" applyNumberFormat="1" applyFont="1" applyFill="1" applyBorder="1" applyAlignment="1">
      <alignment horizontal="right" vertical="top" wrapText="1"/>
    </xf>
    <xf numFmtId="4" fontId="0" fillId="3" borderId="8" xfId="0" applyNumberFormat="1" applyFill="1" applyBorder="1" applyAlignment="1">
      <alignment horizontal="right"/>
    </xf>
    <xf numFmtId="4" fontId="2" fillId="3" borderId="8" xfId="0" applyNumberFormat="1" applyFont="1" applyFill="1" applyBorder="1" applyAlignment="1">
      <alignment horizontal="right" wrapText="1"/>
    </xf>
    <xf numFmtId="2" fontId="2" fillId="2" borderId="2" xfId="0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top" wrapText="1"/>
    </xf>
    <xf numFmtId="4" fontId="0" fillId="3" borderId="12" xfId="0" applyNumberFormat="1" applyFill="1" applyBorder="1" applyAlignment="1">
      <alignment horizontal="right"/>
    </xf>
    <xf numFmtId="4" fontId="30" fillId="3" borderId="1" xfId="0" applyNumberFormat="1" applyFont="1" applyFill="1" applyBorder="1" applyAlignment="1">
      <alignment horizontal="right"/>
    </xf>
    <xf numFmtId="4" fontId="21" fillId="3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top" wrapText="1"/>
    </xf>
    <xf numFmtId="4" fontId="2" fillId="0" borderId="0" xfId="0" applyNumberFormat="1" applyFont="1" applyFill="1" applyBorder="1" applyAlignment="1">
      <alignment horizontal="right" vertical="top" wrapText="1"/>
    </xf>
    <xf numFmtId="4" fontId="60" fillId="0" borderId="0" xfId="0" applyNumberFormat="1" applyFont="1" applyFill="1" applyBorder="1" applyAlignment="1">
      <alignment horizontal="right" vertical="top" wrapText="1"/>
    </xf>
    <xf numFmtId="4" fontId="25" fillId="0" borderId="0" xfId="0" applyNumberFormat="1" applyFont="1" applyAlignment="1">
      <alignment horizontal="right" vertical="center"/>
    </xf>
    <xf numFmtId="4" fontId="2" fillId="3" borderId="12" xfId="0" applyNumberFormat="1" applyFont="1" applyFill="1" applyBorder="1" applyAlignment="1">
      <alignment horizontal="right" wrapText="1"/>
    </xf>
    <xf numFmtId="2" fontId="30" fillId="0" borderId="1" xfId="0" applyNumberFormat="1" applyFont="1" applyFill="1" applyBorder="1" applyAlignment="1">
      <alignment horizontal="right"/>
    </xf>
    <xf numFmtId="4" fontId="21" fillId="2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 vertical="center"/>
    </xf>
    <xf numFmtId="0" fontId="34" fillId="0" borderId="2" xfId="0" applyFont="1" applyBorder="1" applyAlignment="1">
      <alignment horizontal="right"/>
    </xf>
    <xf numFmtId="2" fontId="66" fillId="0" borderId="1" xfId="0" applyNumberFormat="1" applyFont="1" applyBorder="1" applyAlignment="1">
      <alignment horizontal="right" vertical="center"/>
    </xf>
    <xf numFmtId="2" fontId="66" fillId="0" borderId="1" xfId="0" applyNumberFormat="1" applyFont="1" applyBorder="1" applyAlignment="1">
      <alignment horizontal="right"/>
    </xf>
    <xf numFmtId="0" fontId="46" fillId="0" borderId="0" xfId="0" applyFont="1" applyAlignment="1">
      <alignment horizontal="right"/>
    </xf>
    <xf numFmtId="0" fontId="58" fillId="2" borderId="0" xfId="0" applyFont="1" applyFill="1" applyAlignment="1">
      <alignment horizontal="right"/>
    </xf>
    <xf numFmtId="0" fontId="58" fillId="0" borderId="0" xfId="0" applyFont="1" applyAlignment="1">
      <alignment horizontal="right"/>
    </xf>
    <xf numFmtId="2" fontId="46" fillId="0" borderId="0" xfId="0" applyNumberFormat="1" applyFont="1" applyAlignment="1">
      <alignment horizontal="right"/>
    </xf>
    <xf numFmtId="4" fontId="71" fillId="0" borderId="0" xfId="0" applyNumberFormat="1" applyFont="1" applyAlignment="1">
      <alignment horizontal="right"/>
    </xf>
    <xf numFmtId="0" fontId="82" fillId="0" borderId="0" xfId="0" applyFont="1" applyFill="1" applyBorder="1" applyAlignment="1">
      <alignment horizontal="right"/>
    </xf>
    <xf numFmtId="0" fontId="63" fillId="0" borderId="0" xfId="0" applyFont="1" applyAlignment="1">
      <alignment horizontal="right"/>
    </xf>
    <xf numFmtId="0" fontId="79" fillId="0" borderId="0" xfId="0" applyFont="1" applyAlignment="1">
      <alignment horizontal="right"/>
    </xf>
    <xf numFmtId="0" fontId="72" fillId="0" borderId="0" xfId="0" applyFont="1" applyBorder="1" applyAlignment="1">
      <alignment horizontal="right"/>
    </xf>
    <xf numFmtId="0" fontId="72" fillId="0" borderId="0" xfId="0" applyFont="1" applyAlignment="1">
      <alignment horizontal="right"/>
    </xf>
    <xf numFmtId="0" fontId="75" fillId="0" borderId="4" xfId="0" applyFont="1" applyBorder="1" applyAlignment="1">
      <alignment horizontal="right" vertical="top" wrapText="1"/>
    </xf>
    <xf numFmtId="0" fontId="75" fillId="0" borderId="1" xfId="0" applyFont="1" applyBorder="1" applyAlignment="1">
      <alignment horizontal="right" vertical="top" wrapText="1"/>
    </xf>
    <xf numFmtId="0" fontId="34" fillId="0" borderId="0" xfId="0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0" fontId="46" fillId="0" borderId="0" xfId="0" applyFont="1" applyBorder="1" applyAlignment="1">
      <alignment horizontal="right"/>
    </xf>
    <xf numFmtId="0" fontId="44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42" fillId="0" borderId="4" xfId="0" applyFont="1" applyBorder="1" applyAlignment="1">
      <alignment horizontal="right" vertical="top" wrapText="1"/>
    </xf>
    <xf numFmtId="0" fontId="42" fillId="0" borderId="1" xfId="0" applyFont="1" applyBorder="1" applyAlignment="1">
      <alignment horizontal="right" vertical="top" wrapText="1"/>
    </xf>
    <xf numFmtId="4" fontId="83" fillId="0" borderId="1" xfId="0" applyNumberFormat="1" applyFont="1" applyBorder="1" applyAlignment="1">
      <alignment horizontal="right"/>
    </xf>
    <xf numFmtId="2" fontId="43" fillId="0" borderId="1" xfId="0" applyNumberFormat="1" applyFont="1" applyBorder="1" applyAlignment="1">
      <alignment horizontal="right" vertical="center"/>
    </xf>
    <xf numFmtId="0" fontId="42" fillId="0" borderId="1" xfId="0" applyFont="1" applyBorder="1" applyAlignment="1">
      <alignment horizontal="right"/>
    </xf>
    <xf numFmtId="4" fontId="58" fillId="0" borderId="1" xfId="0" applyNumberFormat="1" applyFont="1" applyBorder="1" applyAlignment="1">
      <alignment horizontal="right"/>
    </xf>
    <xf numFmtId="2" fontId="44" fillId="0" borderId="0" xfId="0" applyNumberFormat="1" applyFont="1" applyAlignment="1">
      <alignment horizontal="right"/>
    </xf>
    <xf numFmtId="4" fontId="2" fillId="3" borderId="1" xfId="0" applyNumberFormat="1" applyFont="1" applyFill="1" applyBorder="1" applyAlignment="1">
      <alignment horizontal="right" vertical="top" wrapText="1"/>
    </xf>
    <xf numFmtId="4" fontId="2" fillId="3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59" fillId="0" borderId="1" xfId="0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2" fontId="30" fillId="0" borderId="1" xfId="0" applyNumberFormat="1" applyFont="1" applyBorder="1" applyAlignment="1">
      <alignment horizontal="right"/>
    </xf>
    <xf numFmtId="4" fontId="31" fillId="0" borderId="0" xfId="0" applyNumberFormat="1" applyFont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14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0" fontId="16" fillId="0" borderId="0" xfId="0" applyFont="1" applyAlignment="1">
      <alignment horizontal="right"/>
    </xf>
    <xf numFmtId="0" fontId="23" fillId="0" borderId="4" xfId="0" applyFont="1" applyBorder="1" applyAlignment="1">
      <alignment horizontal="right" vertical="top" wrapText="1"/>
    </xf>
    <xf numFmtId="0" fontId="23" fillId="0" borderId="1" xfId="0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42" fillId="0" borderId="0" xfId="0" applyNumberFormat="1" applyFont="1" applyBorder="1" applyAlignment="1">
      <alignment horizontal="right"/>
    </xf>
    <xf numFmtId="0" fontId="55" fillId="2" borderId="1" xfId="0" applyFont="1" applyFill="1" applyBorder="1" applyAlignment="1">
      <alignment horizontal="right"/>
    </xf>
    <xf numFmtId="2" fontId="55" fillId="2" borderId="1" xfId="0" applyNumberFormat="1" applyFont="1" applyFill="1" applyBorder="1" applyAlignment="1">
      <alignment horizontal="right"/>
    </xf>
    <xf numFmtId="0" fontId="56" fillId="0" borderId="1" xfId="0" applyFont="1" applyBorder="1" applyAlignment="1">
      <alignment horizontal="right"/>
    </xf>
    <xf numFmtId="4" fontId="55" fillId="2" borderId="1" xfId="0" applyNumberFormat="1" applyFont="1" applyFill="1" applyBorder="1" applyAlignment="1">
      <alignment horizontal="right"/>
    </xf>
    <xf numFmtId="4" fontId="55" fillId="0" borderId="1" xfId="0" applyNumberFormat="1" applyFont="1" applyBorder="1" applyAlignment="1">
      <alignment horizontal="right"/>
    </xf>
    <xf numFmtId="4" fontId="55" fillId="0" borderId="1" xfId="0" applyNumberFormat="1" applyFont="1" applyBorder="1" applyAlignment="1">
      <alignment horizontal="right" vertical="center" wrapText="1"/>
    </xf>
    <xf numFmtId="4" fontId="56" fillId="0" borderId="1" xfId="0" applyNumberFormat="1" applyFont="1" applyBorder="1" applyAlignment="1">
      <alignment horizontal="right"/>
    </xf>
    <xf numFmtId="4" fontId="57" fillId="0" borderId="1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4" fontId="9" fillId="0" borderId="1" xfId="0" applyNumberFormat="1" applyFont="1" applyBorder="1" applyAlignment="1">
      <alignment horizontal="right" vertical="center" wrapText="1"/>
    </xf>
    <xf numFmtId="0" fontId="0" fillId="2" borderId="1" xfId="0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2" fontId="9" fillId="3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4" fontId="8" fillId="2" borderId="1" xfId="0" applyNumberFormat="1" applyFont="1" applyFill="1" applyBorder="1" applyAlignment="1">
      <alignment horizontal="right"/>
    </xf>
    <xf numFmtId="4" fontId="42" fillId="2" borderId="1" xfId="0" applyNumberFormat="1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  <xf numFmtId="4" fontId="61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61" fillId="0" borderId="1" xfId="0" applyFont="1" applyBorder="1" applyAlignment="1">
      <alignment horizontal="right"/>
    </xf>
    <xf numFmtId="4" fontId="63" fillId="0" borderId="1" xfId="0" applyNumberFormat="1" applyFont="1" applyBorder="1" applyAlignment="1">
      <alignment horizontal="right"/>
    </xf>
    <xf numFmtId="0" fontId="23" fillId="2" borderId="1" xfId="0" applyFont="1" applyFill="1" applyBorder="1" applyAlignment="1">
      <alignment horizontal="right" vertical="top" wrapText="1"/>
    </xf>
    <xf numFmtId="0" fontId="23" fillId="0" borderId="0" xfId="0" applyFont="1" applyBorder="1" applyAlignment="1">
      <alignment horizontal="right" vertical="top" wrapText="1"/>
    </xf>
    <xf numFmtId="0" fontId="21" fillId="0" borderId="0" xfId="0" applyFont="1" applyBorder="1" applyAlignment="1">
      <alignment horizontal="right" vertical="center" wrapText="1"/>
    </xf>
    <xf numFmtId="0" fontId="21" fillId="0" borderId="0" xfId="0" applyNumberFormat="1" applyFont="1" applyBorder="1" applyAlignment="1">
      <alignment horizontal="right" vertical="center" wrapText="1"/>
    </xf>
    <xf numFmtId="0" fontId="21" fillId="2" borderId="1" xfId="0" applyFont="1" applyFill="1" applyBorder="1" applyAlignment="1">
      <alignment horizontal="right" vertical="top" wrapText="1"/>
    </xf>
    <xf numFmtId="4" fontId="46" fillId="2" borderId="1" xfId="0" applyNumberFormat="1" applyFont="1" applyFill="1" applyBorder="1" applyAlignment="1">
      <alignment horizontal="right"/>
    </xf>
    <xf numFmtId="4" fontId="44" fillId="2" borderId="1" xfId="0" applyNumberFormat="1" applyFont="1" applyFill="1" applyBorder="1" applyAlignment="1">
      <alignment horizontal="right"/>
    </xf>
    <xf numFmtId="4" fontId="34" fillId="2" borderId="4" xfId="0" applyNumberFormat="1" applyFont="1" applyFill="1" applyBorder="1" applyAlignment="1">
      <alignment horizontal="right"/>
    </xf>
    <xf numFmtId="4" fontId="34" fillId="2" borderId="1" xfId="0" applyNumberFormat="1" applyFont="1" applyFill="1" applyBorder="1" applyAlignment="1">
      <alignment horizontal="right" vertical="center" wrapText="1"/>
    </xf>
    <xf numFmtId="4" fontId="54" fillId="2" borderId="1" xfId="0" applyNumberFormat="1" applyFont="1" applyFill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4" fontId="43" fillId="2" borderId="1" xfId="0" applyNumberFormat="1" applyFont="1" applyFill="1" applyBorder="1" applyAlignment="1">
      <alignment horizontal="right"/>
    </xf>
    <xf numFmtId="4" fontId="76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4" fontId="21" fillId="0" borderId="0" xfId="0" applyNumberFormat="1" applyFont="1" applyBorder="1" applyAlignment="1">
      <alignment horizontal="right"/>
    </xf>
    <xf numFmtId="4" fontId="69" fillId="0" borderId="1" xfId="0" applyNumberFormat="1" applyFont="1" applyBorder="1" applyAlignment="1">
      <alignment horizontal="right"/>
    </xf>
    <xf numFmtId="0" fontId="24" fillId="0" borderId="0" xfId="0" applyFont="1" applyAlignment="1">
      <alignment horizontal="right"/>
    </xf>
    <xf numFmtId="4" fontId="68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14" fillId="0" borderId="0" xfId="0" applyFont="1" applyBorder="1" applyAlignment="1">
      <alignment horizontal="right"/>
    </xf>
    <xf numFmtId="0" fontId="46" fillId="2" borderId="1" xfId="0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right" wrapText="1"/>
    </xf>
    <xf numFmtId="2" fontId="44" fillId="2" borderId="1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4" fontId="2" fillId="2" borderId="3" xfId="0" applyNumberFormat="1" applyFont="1" applyFill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4" fontId="0" fillId="0" borderId="4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4" fontId="8" fillId="0" borderId="6" xfId="0" applyNumberFormat="1" applyFont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4" fontId="21" fillId="0" borderId="4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4" fontId="47" fillId="0" borderId="0" xfId="0" applyNumberFormat="1" applyFont="1" applyBorder="1" applyAlignment="1">
      <alignment horizontal="right"/>
    </xf>
    <xf numFmtId="0" fontId="47" fillId="0" borderId="0" xfId="0" applyFont="1" applyBorder="1" applyAlignment="1">
      <alignment horizontal="right"/>
    </xf>
    <xf numFmtId="4" fontId="47" fillId="0" borderId="0" xfId="0" applyNumberFormat="1" applyFont="1" applyFill="1" applyBorder="1" applyAlignment="1">
      <alignment horizontal="right"/>
    </xf>
    <xf numFmtId="0" fontId="17" fillId="0" borderId="9" xfId="0" applyFont="1" applyBorder="1" applyAlignment="1">
      <alignment horizontal="right"/>
    </xf>
    <xf numFmtId="4" fontId="9" fillId="0" borderId="6" xfId="0" applyNumberFormat="1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4" fontId="50" fillId="0" borderId="29" xfId="0" applyNumberFormat="1" applyFont="1" applyFill="1" applyBorder="1" applyAlignment="1">
      <alignment horizontal="right"/>
    </xf>
    <xf numFmtId="0" fontId="51" fillId="0" borderId="0" xfId="0" applyFont="1" applyBorder="1" applyAlignment="1">
      <alignment horizontal="right"/>
    </xf>
    <xf numFmtId="4" fontId="50" fillId="0" borderId="13" xfId="0" applyNumberFormat="1" applyFont="1" applyFill="1" applyBorder="1" applyAlignment="1">
      <alignment horizontal="right"/>
    </xf>
    <xf numFmtId="0" fontId="8" fillId="7" borderId="12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2" fontId="2" fillId="7" borderId="6" xfId="0" applyNumberFormat="1" applyFont="1" applyFill="1" applyBorder="1" applyAlignment="1">
      <alignment horizontal="right"/>
    </xf>
    <xf numFmtId="2" fontId="8" fillId="7" borderId="6" xfId="0" applyNumberFormat="1" applyFont="1" applyFill="1" applyBorder="1" applyAlignment="1">
      <alignment horizontal="right"/>
    </xf>
    <xf numFmtId="0" fontId="8" fillId="7" borderId="10" xfId="0" applyFont="1" applyFill="1" applyBorder="1" applyAlignment="1">
      <alignment horizontal="center" vertical="top" wrapText="1"/>
    </xf>
    <xf numFmtId="0" fontId="21" fillId="7" borderId="3" xfId="0" applyFont="1" applyFill="1" applyBorder="1" applyAlignment="1">
      <alignment horizontal="center" vertical="top" wrapText="1"/>
    </xf>
    <xf numFmtId="4" fontId="2" fillId="7" borderId="6" xfId="0" applyNumberFormat="1" applyFont="1" applyFill="1" applyBorder="1" applyAlignment="1">
      <alignment horizontal="right"/>
    </xf>
    <xf numFmtId="4" fontId="8" fillId="7" borderId="6" xfId="0" applyNumberFormat="1" applyFont="1" applyFill="1" applyBorder="1" applyAlignment="1">
      <alignment horizontal="right"/>
    </xf>
    <xf numFmtId="0" fontId="21" fillId="7" borderId="4" xfId="0" applyFont="1" applyFill="1" applyBorder="1" applyAlignment="1">
      <alignment horizontal="center" vertical="top" wrapText="1"/>
    </xf>
    <xf numFmtId="0" fontId="21" fillId="7" borderId="1" xfId="0" applyFont="1" applyFill="1" applyBorder="1" applyAlignment="1">
      <alignment horizontal="center" vertical="top" wrapText="1"/>
    </xf>
    <xf numFmtId="0" fontId="8" fillId="7" borderId="10" xfId="0" applyFont="1" applyFill="1" applyBorder="1" applyAlignment="1">
      <alignment horizontal="right" vertical="top" wrapText="1"/>
    </xf>
    <xf numFmtId="0" fontId="21" fillId="7" borderId="3" xfId="0" applyFont="1" applyFill="1" applyBorder="1" applyAlignment="1">
      <alignment horizontal="right" vertical="top" wrapText="1"/>
    </xf>
    <xf numFmtId="4" fontId="34" fillId="7" borderId="1" xfId="0" applyNumberFormat="1" applyFont="1" applyFill="1" applyBorder="1" applyAlignment="1">
      <alignment horizontal="right"/>
    </xf>
    <xf numFmtId="4" fontId="9" fillId="7" borderId="1" xfId="0" applyNumberFormat="1" applyFont="1" applyFill="1" applyBorder="1" applyAlignment="1">
      <alignment horizontal="right"/>
    </xf>
    <xf numFmtId="4" fontId="8" fillId="7" borderId="1" xfId="0" applyNumberFormat="1" applyFont="1" applyFill="1" applyBorder="1" applyAlignment="1">
      <alignment horizontal="right"/>
    </xf>
    <xf numFmtId="4" fontId="56" fillId="7" borderId="1" xfId="0" applyNumberFormat="1" applyFont="1" applyFill="1" applyBorder="1" applyAlignment="1">
      <alignment horizontal="right"/>
    </xf>
    <xf numFmtId="0" fontId="23" fillId="7" borderId="12" xfId="0" applyFont="1" applyFill="1" applyBorder="1" applyAlignment="1">
      <alignment horizontal="right" vertical="center" wrapText="1"/>
    </xf>
    <xf numFmtId="0" fontId="23" fillId="7" borderId="17" xfId="0" applyFont="1" applyFill="1" applyBorder="1" applyAlignment="1">
      <alignment horizontal="right" vertical="center" wrapText="1"/>
    </xf>
    <xf numFmtId="2" fontId="34" fillId="7" borderId="1" xfId="0" applyNumberFormat="1" applyFont="1" applyFill="1" applyBorder="1" applyAlignment="1">
      <alignment horizontal="right"/>
    </xf>
    <xf numFmtId="2" fontId="9" fillId="7" borderId="1" xfId="0" applyNumberFormat="1" applyFont="1" applyFill="1" applyBorder="1" applyAlignment="1">
      <alignment horizontal="right"/>
    </xf>
    <xf numFmtId="2" fontId="3" fillId="7" borderId="1" xfId="0" applyNumberFormat="1" applyFont="1" applyFill="1" applyBorder="1" applyAlignment="1">
      <alignment horizontal="right"/>
    </xf>
    <xf numFmtId="2" fontId="44" fillId="7" borderId="1" xfId="0" applyNumberFormat="1" applyFont="1" applyFill="1" applyBorder="1" applyAlignment="1">
      <alignment horizontal="right"/>
    </xf>
    <xf numFmtId="2" fontId="43" fillId="7" borderId="1" xfId="0" applyNumberFormat="1" applyFont="1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4" fontId="43" fillId="7" borderId="1" xfId="0" applyNumberFormat="1" applyFont="1" applyFill="1" applyBorder="1" applyAlignment="1">
      <alignment horizontal="right"/>
    </xf>
    <xf numFmtId="4" fontId="70" fillId="7" borderId="1" xfId="0" applyNumberFormat="1" applyFont="1" applyFill="1" applyBorder="1" applyAlignment="1">
      <alignment horizontal="right"/>
    </xf>
    <xf numFmtId="0" fontId="23" fillId="7" borderId="2" xfId="0" applyFont="1" applyFill="1" applyBorder="1" applyAlignment="1">
      <alignment horizontal="right" vertical="center" wrapText="1"/>
    </xf>
    <xf numFmtId="4" fontId="2" fillId="7" borderId="1" xfId="0" applyNumberFormat="1" applyFont="1" applyFill="1" applyBorder="1" applyAlignment="1">
      <alignment horizontal="right" vertical="top" wrapText="1"/>
    </xf>
    <xf numFmtId="4" fontId="2" fillId="7" borderId="1" xfId="0" applyNumberFormat="1" applyFont="1" applyFill="1" applyBorder="1" applyAlignment="1">
      <alignment horizontal="right"/>
    </xf>
    <xf numFmtId="4" fontId="2" fillId="7" borderId="2" xfId="0" applyNumberFormat="1" applyFont="1" applyFill="1" applyBorder="1" applyAlignment="1">
      <alignment horizontal="right"/>
    </xf>
    <xf numFmtId="2" fontId="30" fillId="7" borderId="1" xfId="0" applyNumberFormat="1" applyFont="1" applyFill="1" applyBorder="1" applyAlignment="1">
      <alignment horizontal="right"/>
    </xf>
    <xf numFmtId="0" fontId="8" fillId="7" borderId="2" xfId="0" applyFont="1" applyFill="1" applyBorder="1" applyAlignment="1">
      <alignment horizontal="right" vertical="top" wrapText="1"/>
    </xf>
    <xf numFmtId="0" fontId="23" fillId="7" borderId="3" xfId="0" applyFont="1" applyFill="1" applyBorder="1" applyAlignment="1">
      <alignment horizontal="right" vertical="top" wrapText="1"/>
    </xf>
    <xf numFmtId="4" fontId="0" fillId="7" borderId="1" xfId="0" applyNumberFormat="1" applyFill="1" applyBorder="1" applyAlignment="1">
      <alignment horizontal="right"/>
    </xf>
    <xf numFmtId="4" fontId="0" fillId="7" borderId="2" xfId="0" applyNumberFormat="1" applyFill="1" applyBorder="1" applyAlignment="1">
      <alignment horizontal="right"/>
    </xf>
    <xf numFmtId="4" fontId="21" fillId="7" borderId="1" xfId="0" applyNumberFormat="1" applyFont="1" applyFill="1" applyBorder="1" applyAlignment="1">
      <alignment horizontal="right"/>
    </xf>
    <xf numFmtId="0" fontId="43" fillId="7" borderId="8" xfId="0" applyFont="1" applyFill="1" applyBorder="1" applyAlignment="1">
      <alignment horizontal="right" vertical="top" wrapText="1"/>
    </xf>
    <xf numFmtId="0" fontId="43" fillId="7" borderId="4" xfId="0" applyFont="1" applyFill="1" applyBorder="1" applyAlignment="1">
      <alignment horizontal="right" vertical="top" wrapText="1"/>
    </xf>
    <xf numFmtId="2" fontId="34" fillId="7" borderId="2" xfId="0" applyNumberFormat="1" applyFont="1" applyFill="1" applyBorder="1" applyAlignment="1">
      <alignment horizontal="right"/>
    </xf>
    <xf numFmtId="0" fontId="43" fillId="7" borderId="10" xfId="0" applyFont="1" applyFill="1" applyBorder="1" applyAlignment="1">
      <alignment horizontal="right" vertical="center" wrapText="1"/>
    </xf>
    <xf numFmtId="0" fontId="75" fillId="7" borderId="3" xfId="0" applyFont="1" applyFill="1" applyBorder="1" applyAlignment="1">
      <alignment horizontal="right" vertical="top" wrapText="1"/>
    </xf>
    <xf numFmtId="4" fontId="34" fillId="7" borderId="1" xfId="0" applyNumberFormat="1" applyFont="1" applyFill="1" applyBorder="1" applyAlignment="1">
      <alignment horizontal="right" vertical="top" wrapText="1"/>
    </xf>
    <xf numFmtId="4" fontId="34" fillId="7" borderId="2" xfId="0" applyNumberFormat="1" applyFont="1" applyFill="1" applyBorder="1" applyAlignment="1">
      <alignment horizontal="right" vertical="top" wrapText="1"/>
    </xf>
    <xf numFmtId="4" fontId="43" fillId="7" borderId="1" xfId="0" applyNumberFormat="1" applyFont="1" applyFill="1" applyBorder="1" applyAlignment="1">
      <alignment horizontal="right" vertical="center" wrapText="1"/>
    </xf>
    <xf numFmtId="2" fontId="43" fillId="7" borderId="1" xfId="0" applyNumberFormat="1" applyFont="1" applyFill="1" applyBorder="1" applyAlignment="1">
      <alignment horizontal="right" vertical="center"/>
    </xf>
    <xf numFmtId="0" fontId="42" fillId="7" borderId="3" xfId="0" applyFont="1" applyFill="1" applyBorder="1" applyAlignment="1">
      <alignment horizontal="right" vertical="top" wrapText="1"/>
    </xf>
    <xf numFmtId="1" fontId="8" fillId="7" borderId="12" xfId="0" applyNumberFormat="1" applyFont="1" applyFill="1" applyBorder="1" applyAlignment="1">
      <alignment horizontal="right" vertical="top" wrapText="1"/>
    </xf>
    <xf numFmtId="1" fontId="8" fillId="7" borderId="17" xfId="0" applyNumberFormat="1" applyFont="1" applyFill="1" applyBorder="1" applyAlignment="1">
      <alignment horizontal="right" vertical="top" wrapText="1"/>
    </xf>
    <xf numFmtId="0" fontId="30" fillId="7" borderId="1" xfId="0" applyFont="1" applyFill="1" applyBorder="1" applyAlignment="1">
      <alignment horizontal="right"/>
    </xf>
    <xf numFmtId="4" fontId="34" fillId="7" borderId="3" xfId="0" applyNumberFormat="1" applyFont="1" applyFill="1" applyBorder="1" applyAlignment="1">
      <alignment horizontal="right" vertical="top" wrapText="1"/>
    </xf>
    <xf numFmtId="4" fontId="34" fillId="7" borderId="13" xfId="0" applyNumberFormat="1" applyFont="1" applyFill="1" applyBorder="1" applyAlignment="1">
      <alignment horizontal="right" vertical="top" wrapText="1"/>
    </xf>
    <xf numFmtId="4" fontId="30" fillId="7" borderId="1" xfId="0" applyNumberFormat="1" applyFont="1" applyFill="1" applyBorder="1" applyAlignment="1">
      <alignment horizontal="right" vertical="center" wrapText="1"/>
    </xf>
    <xf numFmtId="2" fontId="2" fillId="7" borderId="1" xfId="0" applyNumberFormat="1" applyFont="1" applyFill="1" applyBorder="1" applyAlignment="1">
      <alignment horizontal="right"/>
    </xf>
    <xf numFmtId="2" fontId="2" fillId="7" borderId="2" xfId="0" applyNumberFormat="1" applyFont="1" applyFill="1" applyBorder="1" applyAlignment="1">
      <alignment horizontal="right"/>
    </xf>
    <xf numFmtId="4" fontId="2" fillId="7" borderId="1" xfId="0" applyNumberFormat="1" applyFont="1" applyFill="1" applyBorder="1" applyAlignment="1">
      <alignment horizontal="right" vertical="center" wrapText="1"/>
    </xf>
    <xf numFmtId="4" fontId="2" fillId="7" borderId="2" xfId="0" applyNumberFormat="1" applyFont="1" applyFill="1" applyBorder="1" applyAlignment="1">
      <alignment horizontal="right" vertical="center" wrapText="1"/>
    </xf>
    <xf numFmtId="4" fontId="30" fillId="7" borderId="1" xfId="0" applyNumberFormat="1" applyFont="1" applyFill="1" applyBorder="1" applyAlignment="1">
      <alignment horizontal="right"/>
    </xf>
    <xf numFmtId="0" fontId="28" fillId="0" borderId="1" xfId="0" applyFont="1" applyBorder="1" applyAlignment="1">
      <alignment horizontal="right" wrapText="1"/>
    </xf>
    <xf numFmtId="0" fontId="0" fillId="0" borderId="0" xfId="0" applyFont="1" applyBorder="1" applyAlignment="1">
      <alignment horizontal="right"/>
    </xf>
    <xf numFmtId="4" fontId="0" fillId="0" borderId="1" xfId="0" applyNumberFormat="1" applyFont="1" applyBorder="1" applyAlignment="1">
      <alignment horizontal="right" wrapText="1"/>
    </xf>
    <xf numFmtId="4" fontId="28" fillId="0" borderId="1" xfId="0" applyNumberFormat="1" applyFont="1" applyBorder="1" applyAlignment="1">
      <alignment horizontal="right" wrapText="1"/>
    </xf>
    <xf numFmtId="4" fontId="28" fillId="0" borderId="1" xfId="0" applyNumberFormat="1" applyFont="1" applyFill="1" applyBorder="1" applyAlignment="1">
      <alignment horizontal="right" wrapText="1"/>
    </xf>
    <xf numFmtId="4" fontId="28" fillId="0" borderId="3" xfId="0" applyNumberFormat="1" applyFont="1" applyFill="1" applyBorder="1" applyAlignment="1">
      <alignment horizontal="right" wrapText="1"/>
    </xf>
    <xf numFmtId="4" fontId="0" fillId="0" borderId="1" xfId="0" applyNumberFormat="1" applyFont="1" applyBorder="1" applyAlignment="1">
      <alignment horizontal="right"/>
    </xf>
    <xf numFmtId="0" fontId="28" fillId="0" borderId="1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2" fontId="28" fillId="0" borderId="1" xfId="0" applyNumberFormat="1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4" fontId="21" fillId="0" borderId="1" xfId="0" applyNumberFormat="1" applyFont="1" applyBorder="1" applyAlignment="1">
      <alignment horizontal="right" wrapText="1"/>
    </xf>
    <xf numFmtId="4" fontId="55" fillId="0" borderId="13" xfId="0" applyNumberFormat="1" applyFont="1" applyFill="1" applyBorder="1" applyAlignment="1">
      <alignment horizontal="right" wrapText="1"/>
    </xf>
    <xf numFmtId="0" fontId="21" fillId="2" borderId="4" xfId="0" applyFont="1" applyFill="1" applyBorder="1" applyAlignment="1">
      <alignment horizontal="right" vertical="top" wrapText="1"/>
    </xf>
    <xf numFmtId="4" fontId="0" fillId="2" borderId="1" xfId="0" applyNumberFormat="1" applyFont="1" applyFill="1" applyBorder="1" applyAlignment="1">
      <alignment horizontal="right" wrapText="1"/>
    </xf>
    <xf numFmtId="4" fontId="21" fillId="2" borderId="1" xfId="0" applyNumberFormat="1" applyFont="1" applyFill="1" applyBorder="1" applyAlignment="1">
      <alignment horizontal="right" wrapText="1"/>
    </xf>
    <xf numFmtId="4" fontId="28" fillId="2" borderId="3" xfId="0" applyNumberFormat="1" applyFont="1" applyFill="1" applyBorder="1" applyAlignment="1">
      <alignment horizontal="right" wrapText="1"/>
    </xf>
    <xf numFmtId="4" fontId="30" fillId="2" borderId="3" xfId="0" applyNumberFormat="1" applyFont="1" applyFill="1" applyBorder="1" applyAlignment="1">
      <alignment horizontal="right" wrapText="1"/>
    </xf>
    <xf numFmtId="4" fontId="67" fillId="0" borderId="13" xfId="0" applyNumberFormat="1" applyFont="1" applyFill="1" applyBorder="1" applyAlignment="1">
      <alignment horizontal="right" wrapText="1"/>
    </xf>
    <xf numFmtId="0" fontId="8" fillId="7" borderId="12" xfId="0" applyFont="1" applyFill="1" applyBorder="1" applyAlignment="1">
      <alignment horizontal="right" vertical="top"/>
    </xf>
    <xf numFmtId="0" fontId="8" fillId="7" borderId="17" xfId="0" applyFont="1" applyFill="1" applyBorder="1" applyAlignment="1">
      <alignment horizontal="right" vertical="top"/>
    </xf>
    <xf numFmtId="0" fontId="28" fillId="7" borderId="1" xfId="0" applyFont="1" applyFill="1" applyBorder="1" applyAlignment="1">
      <alignment horizontal="right" wrapText="1"/>
    </xf>
    <xf numFmtId="2" fontId="28" fillId="7" borderId="1" xfId="0" applyNumberFormat="1" applyFont="1" applyFill="1" applyBorder="1" applyAlignment="1">
      <alignment horizontal="right"/>
    </xf>
    <xf numFmtId="0" fontId="8" fillId="7" borderId="4" xfId="0" applyFont="1" applyFill="1" applyBorder="1" applyAlignment="1">
      <alignment horizontal="right" vertical="top" wrapText="1"/>
    </xf>
    <xf numFmtId="0" fontId="21" fillId="7" borderId="1" xfId="0" applyFont="1" applyFill="1" applyBorder="1" applyAlignment="1">
      <alignment horizontal="right" vertical="top" wrapText="1"/>
    </xf>
    <xf numFmtId="4" fontId="0" fillId="7" borderId="1" xfId="0" applyNumberFormat="1" applyFont="1" applyFill="1" applyBorder="1" applyAlignment="1">
      <alignment horizontal="right" wrapText="1"/>
    </xf>
    <xf numFmtId="4" fontId="21" fillId="7" borderId="1" xfId="0" applyNumberFormat="1" applyFont="1" applyFill="1" applyBorder="1" applyAlignment="1">
      <alignment horizontal="right" wrapText="1"/>
    </xf>
    <xf numFmtId="4" fontId="28" fillId="0" borderId="1" xfId="0" applyNumberFormat="1" applyFont="1" applyBorder="1" applyAlignment="1">
      <alignment horizontal="right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right" vertical="center" wrapText="1"/>
    </xf>
    <xf numFmtId="0" fontId="25" fillId="0" borderId="3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top" wrapText="1"/>
    </xf>
    <xf numFmtId="0" fontId="2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4" fontId="26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/>
    <xf numFmtId="0" fontId="25" fillId="0" borderId="0" xfId="0" applyFont="1" applyBorder="1" applyAlignment="1">
      <alignment horizontal="right" vertical="top" wrapText="1"/>
    </xf>
    <xf numFmtId="4" fontId="25" fillId="0" borderId="0" xfId="0" applyNumberFormat="1" applyFont="1" applyBorder="1" applyAlignment="1">
      <alignment horizontal="right"/>
    </xf>
    <xf numFmtId="4" fontId="46" fillId="0" borderId="1" xfId="0" applyNumberFormat="1" applyFont="1" applyBorder="1" applyAlignment="1">
      <alignment horizontal="right" vertical="top"/>
    </xf>
    <xf numFmtId="4" fontId="54" fillId="0" borderId="1" xfId="0" applyNumberFormat="1" applyFont="1" applyBorder="1" applyAlignment="1">
      <alignment horizontal="right"/>
    </xf>
    <xf numFmtId="4" fontId="46" fillId="0" borderId="1" xfId="0" applyNumberFormat="1" applyFont="1" applyBorder="1" applyAlignment="1">
      <alignment horizontal="right"/>
    </xf>
    <xf numFmtId="4" fontId="54" fillId="0" borderId="1" xfId="0" applyNumberFormat="1" applyFont="1" applyFill="1" applyBorder="1" applyAlignment="1">
      <alignment horizontal="right"/>
    </xf>
    <xf numFmtId="4" fontId="46" fillId="6" borderId="1" xfId="0" applyNumberFormat="1" applyFont="1" applyFill="1" applyBorder="1" applyAlignment="1">
      <alignment horizontal="right"/>
    </xf>
    <xf numFmtId="4" fontId="54" fillId="6" borderId="1" xfId="0" applyNumberFormat="1" applyFont="1" applyFill="1" applyBorder="1" applyAlignment="1">
      <alignment horizontal="right"/>
    </xf>
    <xf numFmtId="4" fontId="54" fillId="0" borderId="2" xfId="0" applyNumberFormat="1" applyFont="1" applyBorder="1" applyAlignment="1">
      <alignment horizontal="right"/>
    </xf>
    <xf numFmtId="4" fontId="0" fillId="2" borderId="6" xfId="0" applyNumberFormat="1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 vertical="top" wrapText="1"/>
    </xf>
    <xf numFmtId="0" fontId="34" fillId="6" borderId="8" xfId="0" applyFont="1" applyFill="1" applyBorder="1" applyAlignment="1">
      <alignment horizontal="center" vertical="top" wrapText="1"/>
    </xf>
    <xf numFmtId="2" fontId="34" fillId="6" borderId="8" xfId="0" applyNumberFormat="1" applyFont="1" applyFill="1" applyBorder="1" applyAlignment="1">
      <alignment horizontal="center"/>
    </xf>
    <xf numFmtId="2" fontId="34" fillId="6" borderId="12" xfId="0" applyNumberFormat="1" applyFont="1" applyFill="1" applyBorder="1" applyAlignment="1">
      <alignment horizontal="center"/>
    </xf>
    <xf numFmtId="2" fontId="9" fillId="6" borderId="8" xfId="0" applyNumberFormat="1" applyFont="1" applyFill="1" applyBorder="1" applyAlignment="1">
      <alignment horizontal="center"/>
    </xf>
    <xf numFmtId="2" fontId="9" fillId="6" borderId="12" xfId="0" applyNumberFormat="1" applyFont="1" applyFill="1" applyBorder="1" applyAlignment="1">
      <alignment horizontal="center"/>
    </xf>
    <xf numFmtId="2" fontId="43" fillId="6" borderId="1" xfId="0" applyNumberFormat="1" applyFont="1" applyFill="1" applyBorder="1" applyAlignment="1">
      <alignment horizontal="center"/>
    </xf>
    <xf numFmtId="0" fontId="21" fillId="6" borderId="3" xfId="0" applyFont="1" applyFill="1" applyBorder="1" applyAlignment="1">
      <alignment horizontal="center" vertical="top" wrapText="1"/>
    </xf>
    <xf numFmtId="4" fontId="0" fillId="6" borderId="6" xfId="0" applyNumberFormat="1" applyFont="1" applyFill="1" applyBorder="1" applyAlignment="1">
      <alignment horizontal="center" wrapText="1"/>
    </xf>
    <xf numFmtId="4" fontId="28" fillId="6" borderId="6" xfId="0" applyNumberFormat="1" applyFont="1" applyFill="1" applyBorder="1" applyAlignment="1">
      <alignment horizontal="center" wrapText="1"/>
    </xf>
    <xf numFmtId="4" fontId="28" fillId="6" borderId="13" xfId="0" applyNumberFormat="1" applyFont="1" applyFill="1" applyBorder="1" applyAlignment="1">
      <alignment horizontal="center" wrapText="1"/>
    </xf>
    <xf numFmtId="4" fontId="9" fillId="6" borderId="1" xfId="0" applyNumberFormat="1" applyFont="1" applyFill="1" applyBorder="1" applyAlignment="1">
      <alignment horizontal="center"/>
    </xf>
    <xf numFmtId="4" fontId="30" fillId="6" borderId="1" xfId="0" applyNumberFormat="1" applyFont="1" applyFill="1" applyBorder="1" applyAlignment="1">
      <alignment vertical="center" wrapText="1"/>
    </xf>
    <xf numFmtId="0" fontId="8" fillId="6" borderId="8" xfId="0" applyFont="1" applyFill="1" applyBorder="1" applyAlignment="1">
      <alignment horizontal="center" vertical="top" wrapText="1"/>
    </xf>
    <xf numFmtId="2" fontId="28" fillId="6" borderId="8" xfId="0" applyNumberFormat="1" applyFont="1" applyFill="1" applyBorder="1" applyAlignment="1">
      <alignment horizontal="center"/>
    </xf>
    <xf numFmtId="2" fontId="28" fillId="6" borderId="12" xfId="0" applyNumberFormat="1" applyFont="1" applyFill="1" applyBorder="1" applyAlignment="1">
      <alignment horizontal="center"/>
    </xf>
    <xf numFmtId="2" fontId="30" fillId="6" borderId="1" xfId="0" applyNumberFormat="1" applyFont="1" applyFill="1" applyBorder="1" applyAlignment="1">
      <alignment horizontal="center"/>
    </xf>
    <xf numFmtId="4" fontId="28" fillId="6" borderId="8" xfId="0" applyNumberFormat="1" applyFont="1" applyFill="1" applyBorder="1" applyAlignment="1">
      <alignment horizontal="center" vertical="top" wrapText="1"/>
    </xf>
    <xf numFmtId="4" fontId="28" fillId="6" borderId="12" xfId="0" applyNumberFormat="1" applyFont="1" applyFill="1" applyBorder="1" applyAlignment="1">
      <alignment horizontal="center" vertical="top" wrapText="1"/>
    </xf>
    <xf numFmtId="4" fontId="30" fillId="6" borderId="1" xfId="0" applyNumberFormat="1" applyFont="1" applyFill="1" applyBorder="1" applyAlignment="1">
      <alignment horizontal="center" vertical="center" wrapText="1"/>
    </xf>
    <xf numFmtId="4" fontId="34" fillId="6" borderId="1" xfId="0" applyNumberFormat="1" applyFont="1" applyFill="1" applyBorder="1" applyAlignment="1">
      <alignment horizontal="center" vertical="top" wrapText="1"/>
    </xf>
    <xf numFmtId="4" fontId="0" fillId="0" borderId="1" xfId="0" applyNumberFormat="1" applyFont="1" applyBorder="1" applyAlignment="1">
      <alignment horizontal="center" wrapText="1"/>
    </xf>
    <xf numFmtId="4" fontId="28" fillId="6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2" borderId="3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4" fontId="61" fillId="0" borderId="0" xfId="0" applyNumberFormat="1" applyFont="1"/>
    <xf numFmtId="2" fontId="61" fillId="0" borderId="0" xfId="0" applyNumberFormat="1" applyFont="1"/>
    <xf numFmtId="4" fontId="30" fillId="2" borderId="3" xfId="0" applyNumberFormat="1" applyFont="1" applyFill="1" applyBorder="1" applyAlignment="1">
      <alignment horizontal="center" vertical="top" wrapText="1"/>
    </xf>
    <xf numFmtId="4" fontId="21" fillId="2" borderId="3" xfId="0" quotePrefix="1" applyNumberFormat="1" applyFont="1" applyFill="1" applyBorder="1" applyAlignment="1">
      <alignment horizontal="center" vertical="center" wrapText="1"/>
    </xf>
    <xf numFmtId="4" fontId="25" fillId="0" borderId="1" xfId="0" applyNumberFormat="1" applyFont="1" applyBorder="1" applyAlignment="1"/>
    <xf numFmtId="4" fontId="28" fillId="0" borderId="3" xfId="0" applyNumberFormat="1" applyFont="1" applyFill="1" applyBorder="1" applyAlignment="1">
      <alignment horizontal="right" vertical="center" wrapText="1"/>
    </xf>
    <xf numFmtId="0" fontId="30" fillId="0" borderId="3" xfId="0" applyFont="1" applyFill="1" applyBorder="1" applyAlignment="1">
      <alignment horizontal="right" vertical="center" wrapText="1"/>
    </xf>
    <xf numFmtId="4" fontId="28" fillId="0" borderId="3" xfId="0" applyNumberFormat="1" applyFont="1" applyFill="1" applyBorder="1" applyAlignment="1">
      <alignment horizontal="right" vertical="top"/>
    </xf>
    <xf numFmtId="4" fontId="28" fillId="0" borderId="13" xfId="0" applyNumberFormat="1" applyFont="1" applyFill="1" applyBorder="1" applyAlignment="1">
      <alignment horizontal="right" vertical="top"/>
    </xf>
    <xf numFmtId="4" fontId="28" fillId="0" borderId="1" xfId="0" applyNumberFormat="1" applyFont="1" applyFill="1" applyBorder="1" applyAlignment="1">
      <alignment horizontal="right" vertical="top"/>
    </xf>
    <xf numFmtId="4" fontId="28" fillId="0" borderId="1" xfId="0" applyNumberFormat="1" applyFont="1" applyFill="1" applyBorder="1" applyAlignment="1">
      <alignment horizontal="right" vertical="center" wrapText="1"/>
    </xf>
    <xf numFmtId="4" fontId="28" fillId="0" borderId="2" xfId="0" applyNumberFormat="1" applyFont="1" applyFill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center" wrapText="1"/>
    </xf>
    <xf numFmtId="0" fontId="26" fillId="0" borderId="1" xfId="0" applyFont="1" applyBorder="1" applyAlignment="1"/>
    <xf numFmtId="4" fontId="33" fillId="0" borderId="1" xfId="0" applyNumberFormat="1" applyFont="1" applyBorder="1" applyAlignment="1"/>
    <xf numFmtId="4" fontId="35" fillId="0" borderId="1" xfId="0" applyNumberFormat="1" applyFont="1" applyBorder="1" applyAlignment="1"/>
    <xf numFmtId="0" fontId="8" fillId="0" borderId="17" xfId="0" applyFont="1" applyBorder="1" applyAlignment="1">
      <alignment horizontal="center" vertical="top" wrapText="1"/>
    </xf>
    <xf numFmtId="2" fontId="9" fillId="2" borderId="15" xfId="0" applyNumberFormat="1" applyFont="1" applyFill="1" applyBorder="1" applyAlignment="1">
      <alignment horizontal="center"/>
    </xf>
    <xf numFmtId="2" fontId="8" fillId="2" borderId="15" xfId="0" applyNumberFormat="1" applyFont="1" applyFill="1" applyBorder="1" applyAlignment="1">
      <alignment horizontal="center"/>
    </xf>
    <xf numFmtId="4" fontId="30" fillId="2" borderId="15" xfId="0" applyNumberFormat="1" applyFont="1" applyFill="1" applyBorder="1" applyAlignment="1">
      <alignment horizontal="center"/>
    </xf>
    <xf numFmtId="4" fontId="9" fillId="3" borderId="6" xfId="0" applyNumberFormat="1" applyFont="1" applyFill="1" applyBorder="1" applyAlignment="1">
      <alignment horizontal="center"/>
    </xf>
    <xf numFmtId="4" fontId="8" fillId="3" borderId="15" xfId="0" applyNumberFormat="1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center" vertical="top" wrapText="1"/>
    </xf>
    <xf numFmtId="4" fontId="78" fillId="0" borderId="1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right"/>
    </xf>
    <xf numFmtId="4" fontId="9" fillId="0" borderId="3" xfId="0" applyNumberFormat="1" applyFont="1" applyFill="1" applyBorder="1" applyAlignment="1">
      <alignment horizontal="right"/>
    </xf>
    <xf numFmtId="4" fontId="46" fillId="0" borderId="3" xfId="0" applyNumberFormat="1" applyFont="1" applyBorder="1" applyAlignment="1">
      <alignment horizontal="right" vertical="top"/>
    </xf>
    <xf numFmtId="4" fontId="44" fillId="0" borderId="1" xfId="0" applyNumberFormat="1" applyFont="1" applyBorder="1" applyAlignment="1">
      <alignment horizontal="right" vertical="top"/>
    </xf>
    <xf numFmtId="4" fontId="2" fillId="2" borderId="3" xfId="0" applyNumberFormat="1" applyFont="1" applyFill="1" applyBorder="1" applyAlignment="1">
      <alignment horizontal="right" vertical="top"/>
    </xf>
    <xf numFmtId="4" fontId="9" fillId="2" borderId="3" xfId="0" applyNumberFormat="1" applyFont="1" applyFill="1" applyBorder="1" applyAlignment="1">
      <alignment horizontal="right" vertical="top"/>
    </xf>
    <xf numFmtId="2" fontId="64" fillId="2" borderId="12" xfId="0" applyNumberFormat="1" applyFont="1" applyFill="1" applyBorder="1" applyAlignment="1">
      <alignment horizontal="right"/>
    </xf>
    <xf numFmtId="2" fontId="9" fillId="2" borderId="12" xfId="0" applyNumberFormat="1" applyFont="1" applyFill="1" applyBorder="1" applyAlignment="1">
      <alignment horizontal="right"/>
    </xf>
    <xf numFmtId="4" fontId="12" fillId="2" borderId="2" xfId="0" applyNumberFormat="1" applyFont="1" applyFill="1" applyBorder="1" applyAlignment="1">
      <alignment horizontal="right" vertical="top"/>
    </xf>
    <xf numFmtId="4" fontId="12" fillId="0" borderId="3" xfId="0" applyNumberFormat="1" applyFont="1" applyFill="1" applyBorder="1" applyAlignment="1">
      <alignment horizontal="right" vertical="top"/>
    </xf>
    <xf numFmtId="4" fontId="12" fillId="2" borderId="13" xfId="0" applyNumberFormat="1" applyFont="1" applyFill="1" applyBorder="1" applyAlignment="1">
      <alignment horizontal="right" vertical="top"/>
    </xf>
    <xf numFmtId="4" fontId="64" fillId="2" borderId="13" xfId="0" applyNumberFormat="1" applyFont="1" applyFill="1" applyBorder="1" applyAlignment="1">
      <alignment horizontal="right" vertical="top"/>
    </xf>
    <xf numFmtId="2" fontId="30" fillId="2" borderId="28" xfId="0" applyNumberFormat="1" applyFont="1" applyFill="1" applyBorder="1" applyAlignment="1">
      <alignment horizontal="right"/>
    </xf>
    <xf numFmtId="4" fontId="30" fillId="2" borderId="28" xfId="0" applyNumberFormat="1" applyFont="1" applyFill="1" applyBorder="1" applyAlignment="1">
      <alignment horizontal="right"/>
    </xf>
    <xf numFmtId="4" fontId="30" fillId="2" borderId="28" xfId="0" applyNumberFormat="1" applyFont="1" applyFill="1" applyBorder="1" applyAlignment="1">
      <alignment horizontal="right" vertical="top"/>
    </xf>
    <xf numFmtId="4" fontId="30" fillId="2" borderId="18" xfId="0" applyNumberFormat="1" applyFont="1" applyFill="1" applyBorder="1" applyAlignment="1">
      <alignment horizontal="right" vertical="top"/>
    </xf>
    <xf numFmtId="4" fontId="30" fillId="0" borderId="19" xfId="0" applyNumberFormat="1" applyFont="1" applyFill="1" applyBorder="1" applyAlignment="1">
      <alignment horizontal="right" vertical="top"/>
    </xf>
    <xf numFmtId="4" fontId="16" fillId="0" borderId="19" xfId="0" applyNumberFormat="1" applyFont="1" applyBorder="1" applyAlignment="1">
      <alignment horizontal="right"/>
    </xf>
    <xf numFmtId="4" fontId="21" fillId="0" borderId="19" xfId="0" applyNumberFormat="1" applyFont="1" applyBorder="1" applyAlignment="1">
      <alignment horizontal="right" vertical="top"/>
    </xf>
    <xf numFmtId="4" fontId="9" fillId="6" borderId="8" xfId="0" applyNumberFormat="1" applyFont="1" applyFill="1" applyBorder="1" applyAlignment="1">
      <alignment horizontal="right"/>
    </xf>
    <xf numFmtId="2" fontId="30" fillId="6" borderId="28" xfId="0" applyNumberFormat="1" applyFont="1" applyFill="1" applyBorder="1" applyAlignment="1">
      <alignment horizontal="right"/>
    </xf>
    <xf numFmtId="4" fontId="30" fillId="6" borderId="28" xfId="0" applyNumberFormat="1" applyFont="1" applyFill="1" applyBorder="1" applyAlignment="1">
      <alignment horizontal="right"/>
    </xf>
    <xf numFmtId="4" fontId="30" fillId="2" borderId="19" xfId="0" applyNumberFormat="1" applyFont="1" applyFill="1" applyBorder="1" applyAlignment="1">
      <alignment horizontal="right" vertical="top"/>
    </xf>
    <xf numFmtId="4" fontId="30" fillId="2" borderId="19" xfId="0" applyNumberFormat="1" applyFont="1" applyFill="1" applyBorder="1" applyAlignment="1">
      <alignment horizontal="right"/>
    </xf>
    <xf numFmtId="4" fontId="21" fillId="2" borderId="19" xfId="0" applyNumberFormat="1" applyFont="1" applyFill="1" applyBorder="1" applyAlignment="1">
      <alignment horizontal="right" vertical="top"/>
    </xf>
    <xf numFmtId="4" fontId="9" fillId="0" borderId="1" xfId="0" applyNumberFormat="1" applyFont="1" applyFill="1" applyBorder="1" applyAlignment="1">
      <alignment horizontal="right" vertical="top"/>
    </xf>
    <xf numFmtId="2" fontId="9" fillId="6" borderId="1" xfId="0" applyNumberFormat="1" applyFont="1" applyFill="1" applyBorder="1" applyAlignment="1">
      <alignment horizontal="center"/>
    </xf>
    <xf numFmtId="0" fontId="21" fillId="6" borderId="19" xfId="0" applyFont="1" applyFill="1" applyBorder="1" applyAlignment="1">
      <alignment horizontal="center"/>
    </xf>
    <xf numFmtId="0" fontId="21" fillId="6" borderId="15" xfId="0" applyFont="1" applyFill="1" applyBorder="1" applyAlignment="1">
      <alignment horizontal="center"/>
    </xf>
    <xf numFmtId="4" fontId="30" fillId="6" borderId="20" xfId="0" applyNumberFormat="1" applyFont="1" applyFill="1" applyBorder="1" applyAlignment="1">
      <alignment horizontal="center"/>
    </xf>
    <xf numFmtId="4" fontId="44" fillId="0" borderId="3" xfId="0" applyNumberFormat="1" applyFont="1" applyBorder="1" applyAlignment="1">
      <alignment horizontal="right" vertical="top"/>
    </xf>
    <xf numFmtId="4" fontId="47" fillId="0" borderId="11" xfId="0" applyNumberFormat="1" applyFont="1" applyBorder="1" applyAlignment="1"/>
    <xf numFmtId="4" fontId="30" fillId="0" borderId="28" xfId="0" applyNumberFormat="1" applyFont="1" applyFill="1" applyBorder="1" applyAlignment="1">
      <alignment horizontal="right" vertical="top"/>
    </xf>
    <xf numFmtId="4" fontId="44" fillId="0" borderId="2" xfId="0" applyNumberFormat="1" applyFont="1" applyBorder="1" applyAlignment="1">
      <alignment horizontal="right" vertical="top"/>
    </xf>
    <xf numFmtId="4" fontId="43" fillId="0" borderId="18" xfId="0" applyNumberFormat="1" applyFont="1" applyBorder="1" applyAlignment="1">
      <alignment horizontal="center" vertical="center"/>
    </xf>
    <xf numFmtId="4" fontId="43" fillId="0" borderId="19" xfId="0" applyNumberFormat="1" applyFont="1" applyBorder="1" applyAlignment="1">
      <alignment horizontal="right"/>
    </xf>
    <xf numFmtId="4" fontId="21" fillId="0" borderId="20" xfId="0" applyNumberFormat="1" applyFont="1" applyBorder="1" applyAlignment="1">
      <alignment horizontal="right" vertical="top"/>
    </xf>
    <xf numFmtId="4" fontId="34" fillId="0" borderId="8" xfId="0" applyNumberFormat="1" applyFont="1" applyBorder="1" applyAlignment="1">
      <alignment horizontal="right"/>
    </xf>
    <xf numFmtId="4" fontId="34" fillId="0" borderId="12" xfId="0" applyNumberFormat="1" applyFont="1" applyBorder="1" applyAlignment="1">
      <alignment horizontal="right"/>
    </xf>
    <xf numFmtId="4" fontId="16" fillId="0" borderId="15" xfId="0" applyNumberFormat="1" applyFont="1" applyBorder="1" applyAlignment="1">
      <alignment horizontal="right"/>
    </xf>
    <xf numFmtId="4" fontId="21" fillId="0" borderId="1" xfId="0" applyNumberFormat="1" applyFont="1" applyBorder="1"/>
    <xf numFmtId="4" fontId="0" fillId="0" borderId="2" xfId="0" applyNumberFormat="1" applyBorder="1"/>
    <xf numFmtId="4" fontId="21" fillId="0" borderId="30" xfId="0" applyNumberFormat="1" applyFont="1" applyBorder="1"/>
    <xf numFmtId="4" fontId="16" fillId="0" borderId="28" xfId="0" applyNumberFormat="1" applyFont="1" applyBorder="1" applyAlignment="1">
      <alignment horizontal="right"/>
    </xf>
    <xf numFmtId="4" fontId="8" fillId="0" borderId="28" xfId="0" applyNumberFormat="1" applyFont="1" applyBorder="1" applyAlignment="1">
      <alignment horizontal="right"/>
    </xf>
    <xf numFmtId="4" fontId="42" fillId="0" borderId="18" xfId="0" applyNumberFormat="1" applyFont="1" applyBorder="1" applyAlignment="1">
      <alignment horizontal="right" vertical="top"/>
    </xf>
    <xf numFmtId="4" fontId="25" fillId="0" borderId="30" xfId="0" applyNumberFormat="1" applyFont="1" applyBorder="1"/>
    <xf numFmtId="4" fontId="25" fillId="0" borderId="0" xfId="0" applyNumberFormat="1" applyFont="1" applyAlignment="1"/>
    <xf numFmtId="4" fontId="21" fillId="0" borderId="28" xfId="0" applyNumberFormat="1" applyFont="1" applyBorder="1" applyAlignment="1">
      <alignment horizontal="right" vertical="top"/>
    </xf>
    <xf numFmtId="4" fontId="43" fillId="0" borderId="18" xfId="0" applyNumberFormat="1" applyFont="1" applyBorder="1" applyAlignment="1">
      <alignment horizontal="right"/>
    </xf>
    <xf numFmtId="4" fontId="42" fillId="0" borderId="19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24" fillId="0" borderId="0" xfId="0" applyFont="1" applyAlignment="1">
      <alignment horizontal="right"/>
    </xf>
    <xf numFmtId="4" fontId="42" fillId="0" borderId="1" xfId="0" applyNumberFormat="1" applyFont="1" applyBorder="1" applyAlignment="1">
      <alignment horizontal="right" vertical="center"/>
    </xf>
    <xf numFmtId="4" fontId="43" fillId="0" borderId="8" xfId="0" applyNumberFormat="1" applyFont="1" applyBorder="1" applyAlignment="1">
      <alignment horizontal="right"/>
    </xf>
    <xf numFmtId="0" fontId="0" fillId="0" borderId="6" xfId="0" applyBorder="1"/>
    <xf numFmtId="0" fontId="0" fillId="0" borderId="8" xfId="0" applyBorder="1"/>
    <xf numFmtId="4" fontId="8" fillId="2" borderId="16" xfId="0" applyNumberFormat="1" applyFont="1" applyFill="1" applyBorder="1" applyAlignment="1">
      <alignment horizontal="center"/>
    </xf>
    <xf numFmtId="4" fontId="23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42" fillId="0" borderId="1" xfId="0" applyNumberFormat="1" applyFont="1" applyBorder="1" applyAlignment="1">
      <alignment horizontal="right"/>
    </xf>
    <xf numFmtId="4" fontId="23" fillId="0" borderId="1" xfId="0" applyNumberFormat="1" applyFont="1" applyBorder="1" applyAlignment="1">
      <alignment horizontal="right"/>
    </xf>
    <xf numFmtId="4" fontId="34" fillId="2" borderId="1" xfId="0" applyNumberFormat="1" applyFont="1" applyFill="1" applyBorder="1" applyAlignment="1">
      <alignment horizontal="right" vertical="top"/>
    </xf>
    <xf numFmtId="4" fontId="46" fillId="2" borderId="1" xfId="0" applyNumberFormat="1" applyFont="1" applyFill="1" applyBorder="1" applyAlignment="1">
      <alignment horizontal="right" vertical="top"/>
    </xf>
    <xf numFmtId="4" fontId="44" fillId="2" borderId="1" xfId="0" applyNumberFormat="1" applyFont="1" applyFill="1" applyBorder="1" applyAlignment="1">
      <alignment horizontal="right" vertical="top"/>
    </xf>
    <xf numFmtId="2" fontId="9" fillId="2" borderId="29" xfId="0" applyNumberFormat="1" applyFont="1" applyFill="1" applyBorder="1" applyAlignment="1">
      <alignment horizontal="right"/>
    </xf>
    <xf numFmtId="4" fontId="9" fillId="2" borderId="29" xfId="0" applyNumberFormat="1" applyFont="1" applyFill="1" applyBorder="1" applyAlignment="1">
      <alignment horizontal="right"/>
    </xf>
    <xf numFmtId="4" fontId="66" fillId="2" borderId="12" xfId="0" applyNumberFormat="1" applyFont="1" applyFill="1" applyBorder="1" applyAlignment="1">
      <alignment horizontal="right"/>
    </xf>
    <xf numFmtId="4" fontId="34" fillId="2" borderId="13" xfId="0" applyNumberFormat="1" applyFont="1" applyFill="1" applyBorder="1" applyAlignment="1">
      <alignment horizontal="right" vertical="top"/>
    </xf>
    <xf numFmtId="2" fontId="66" fillId="2" borderId="12" xfId="0" applyNumberFormat="1" applyFont="1" applyFill="1" applyBorder="1" applyAlignment="1">
      <alignment horizontal="right"/>
    </xf>
    <xf numFmtId="4" fontId="34" fillId="2" borderId="12" xfId="0" applyNumberFormat="1" applyFont="1" applyFill="1" applyBorder="1" applyAlignment="1">
      <alignment horizontal="right"/>
    </xf>
    <xf numFmtId="4" fontId="46" fillId="2" borderId="3" xfId="0" applyNumberFormat="1" applyFont="1" applyFill="1" applyBorder="1" applyAlignment="1">
      <alignment horizontal="right" vertical="top"/>
    </xf>
    <xf numFmtId="4" fontId="46" fillId="2" borderId="13" xfId="0" applyNumberFormat="1" applyFont="1" applyFill="1" applyBorder="1" applyAlignment="1">
      <alignment horizontal="right" vertical="top"/>
    </xf>
    <xf numFmtId="4" fontId="34" fillId="2" borderId="13" xfId="0" applyNumberFormat="1" applyFont="1" applyFill="1" applyBorder="1" applyAlignment="1">
      <alignment horizontal="right"/>
    </xf>
    <xf numFmtId="4" fontId="44" fillId="2" borderId="13" xfId="0" applyNumberFormat="1" applyFont="1" applyFill="1" applyBorder="1" applyAlignment="1">
      <alignment horizontal="right" vertical="top"/>
    </xf>
    <xf numFmtId="4" fontId="0" fillId="0" borderId="1" xfId="0" applyNumberFormat="1" applyFont="1" applyBorder="1"/>
    <xf numFmtId="4" fontId="34" fillId="0" borderId="8" xfId="0" applyNumberFormat="1" applyFont="1" applyBorder="1" applyAlignment="1">
      <alignment horizontal="center"/>
    </xf>
    <xf numFmtId="0" fontId="0" fillId="2" borderId="15" xfId="0" applyFill="1" applyBorder="1"/>
    <xf numFmtId="0" fontId="0" fillId="0" borderId="0" xfId="0" applyBorder="1" applyAlignment="1">
      <alignment horizontal="left" vertical="top" wrapText="1"/>
    </xf>
    <xf numFmtId="0" fontId="8" fillId="7" borderId="12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0" fillId="2" borderId="42" xfId="0" applyFill="1" applyBorder="1"/>
    <xf numFmtId="0" fontId="84" fillId="2" borderId="43" xfId="0" applyFont="1" applyFill="1" applyBorder="1"/>
    <xf numFmtId="0" fontId="25" fillId="2" borderId="43" xfId="0" applyFont="1" applyFill="1" applyBorder="1" applyAlignment="1">
      <alignment horizontal="right"/>
    </xf>
    <xf numFmtId="0" fontId="21" fillId="2" borderId="43" xfId="0" applyFont="1" applyFill="1" applyBorder="1" applyAlignment="1">
      <alignment horizontal="right"/>
    </xf>
    <xf numFmtId="2" fontId="21" fillId="2" borderId="43" xfId="0" applyNumberFormat="1" applyFont="1" applyFill="1" applyBorder="1" applyAlignment="1">
      <alignment horizontal="right"/>
    </xf>
    <xf numFmtId="2" fontId="21" fillId="2" borderId="11" xfId="0" applyNumberFormat="1" applyFont="1" applyFill="1" applyBorder="1" applyAlignment="1">
      <alignment horizontal="right"/>
    </xf>
    <xf numFmtId="4" fontId="30" fillId="2" borderId="31" xfId="0" applyNumberFormat="1" applyFont="1" applyFill="1" applyBorder="1" applyAlignment="1">
      <alignment horizontal="right"/>
    </xf>
    <xf numFmtId="4" fontId="30" fillId="2" borderId="44" xfId="0" applyNumberFormat="1" applyFont="1" applyFill="1" applyBorder="1" applyAlignment="1">
      <alignment horizontal="right"/>
    </xf>
    <xf numFmtId="4" fontId="8" fillId="2" borderId="44" xfId="0" applyNumberFormat="1" applyFont="1" applyFill="1" applyBorder="1" applyAlignment="1">
      <alignment horizontal="right" vertical="top"/>
    </xf>
    <xf numFmtId="4" fontId="21" fillId="2" borderId="45" xfId="0" applyNumberFormat="1" applyFont="1" applyFill="1" applyBorder="1" applyAlignment="1">
      <alignment horizontal="right"/>
    </xf>
    <xf numFmtId="4" fontId="21" fillId="2" borderId="43" xfId="0" applyNumberFormat="1" applyFont="1" applyFill="1" applyBorder="1" applyAlignment="1">
      <alignment horizontal="right"/>
    </xf>
    <xf numFmtId="4" fontId="21" fillId="2" borderId="46" xfId="0" applyNumberFormat="1" applyFont="1" applyFill="1" applyBorder="1" applyAlignment="1">
      <alignment horizontal="right"/>
    </xf>
    <xf numFmtId="4" fontId="21" fillId="2" borderId="42" xfId="0" applyNumberFormat="1" applyFont="1" applyFill="1" applyBorder="1" applyAlignment="1">
      <alignment horizontal="right"/>
    </xf>
    <xf numFmtId="4" fontId="21" fillId="2" borderId="44" xfId="0" applyNumberFormat="1" applyFont="1" applyFill="1" applyBorder="1" applyAlignment="1">
      <alignment horizontal="right"/>
    </xf>
    <xf numFmtId="4" fontId="31" fillId="2" borderId="45" xfId="0" applyNumberFormat="1" applyFont="1" applyFill="1" applyBorder="1" applyAlignment="1">
      <alignment horizontal="right"/>
    </xf>
    <xf numFmtId="4" fontId="8" fillId="2" borderId="44" xfId="0" applyNumberFormat="1" applyFont="1" applyFill="1" applyBorder="1" applyAlignment="1">
      <alignment horizontal="right"/>
    </xf>
    <xf numFmtId="4" fontId="8" fillId="2" borderId="32" xfId="0" applyNumberFormat="1" applyFont="1" applyFill="1" applyBorder="1" applyAlignment="1">
      <alignment horizontal="right"/>
    </xf>
    <xf numFmtId="4" fontId="21" fillId="2" borderId="47" xfId="0" applyNumberFormat="1" applyFont="1" applyFill="1" applyBorder="1" applyAlignment="1">
      <alignment horizontal="right"/>
    </xf>
    <xf numFmtId="4" fontId="21" fillId="2" borderId="11" xfId="0" applyNumberFormat="1" applyFont="1" applyFill="1" applyBorder="1" applyAlignment="1">
      <alignment horizontal="right"/>
    </xf>
    <xf numFmtId="4" fontId="21" fillId="0" borderId="47" xfId="0" applyNumberFormat="1" applyFont="1" applyBorder="1"/>
    <xf numFmtId="4" fontId="4" fillId="0" borderId="1" xfId="0" applyNumberFormat="1" applyFont="1" applyBorder="1"/>
    <xf numFmtId="0" fontId="25" fillId="0" borderId="2" xfId="0" applyFont="1" applyBorder="1" applyAlignment="1">
      <alignment horizontal="right" vertical="center" wrapText="1"/>
    </xf>
    <xf numFmtId="0" fontId="25" fillId="0" borderId="3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right" vertical="top" wrapText="1"/>
    </xf>
    <xf numFmtId="0" fontId="37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right"/>
    </xf>
    <xf numFmtId="0" fontId="23" fillId="0" borderId="0" xfId="0" applyFont="1" applyBorder="1" applyAlignment="1">
      <alignment horizontal="right" vertical="top" wrapText="1"/>
    </xf>
    <xf numFmtId="0" fontId="21" fillId="0" borderId="0" xfId="0" applyFont="1" applyBorder="1" applyAlignment="1">
      <alignment horizontal="right" vertical="center" wrapText="1"/>
    </xf>
    <xf numFmtId="0" fontId="21" fillId="0" borderId="0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right" vertical="top" wrapText="1"/>
    </xf>
    <xf numFmtId="0" fontId="21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top" wrapText="1"/>
    </xf>
    <xf numFmtId="4" fontId="43" fillId="2" borderId="4" xfId="0" applyNumberFormat="1" applyFont="1" applyFill="1" applyBorder="1" applyAlignment="1">
      <alignment horizontal="right"/>
    </xf>
    <xf numFmtId="164" fontId="51" fillId="0" borderId="0" xfId="0" applyNumberFormat="1" applyFont="1"/>
    <xf numFmtId="0" fontId="0" fillId="0" borderId="0" xfId="0" applyBorder="1" applyAlignment="1">
      <alignment horizontal="center" vertical="top"/>
    </xf>
    <xf numFmtId="0" fontId="1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43" fillId="0" borderId="1" xfId="0" applyFont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4" fontId="9" fillId="0" borderId="6" xfId="0" applyNumberFormat="1" applyFont="1" applyFill="1" applyBorder="1" applyAlignment="1">
      <alignment horizontal="center" vertical="center" wrapText="1"/>
    </xf>
    <xf numFmtId="4" fontId="30" fillId="7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6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center" vertical="center" wrapText="1"/>
    </xf>
    <xf numFmtId="4" fontId="34" fillId="7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34" fillId="7" borderId="1" xfId="0" applyNumberFormat="1" applyFont="1" applyFill="1" applyBorder="1" applyAlignment="1">
      <alignment horizontal="center" vertical="center" wrapText="1"/>
    </xf>
    <xf numFmtId="4" fontId="34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9" fillId="0" borderId="12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2" fillId="9" borderId="1" xfId="0" applyNumberFormat="1" applyFont="1" applyFill="1" applyBorder="1" applyAlignment="1">
      <alignment horizontal="right" vertical="top" wrapText="1"/>
    </xf>
    <xf numFmtId="4" fontId="2" fillId="9" borderId="2" xfId="0" applyNumberFormat="1" applyFont="1" applyFill="1" applyBorder="1" applyAlignment="1">
      <alignment horizontal="right" vertical="top" wrapText="1"/>
    </xf>
    <xf numFmtId="4" fontId="30" fillId="9" borderId="1" xfId="0" applyNumberFormat="1" applyFont="1" applyFill="1" applyBorder="1" applyAlignment="1">
      <alignment horizontal="right"/>
    </xf>
    <xf numFmtId="4" fontId="48" fillId="0" borderId="1" xfId="0" applyNumberFormat="1" applyFont="1" applyFill="1" applyBorder="1" applyAlignment="1">
      <alignment horizontal="right" vertical="center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2" borderId="3" xfId="0" applyFont="1" applyFill="1" applyBorder="1" applyAlignment="1">
      <alignment horizontal="center" vertical="top" wrapText="1"/>
    </xf>
    <xf numFmtId="0" fontId="23" fillId="0" borderId="3" xfId="0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23" fillId="0" borderId="1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4" fontId="75" fillId="0" borderId="1" xfId="0" applyNumberFormat="1" applyFont="1" applyBorder="1" applyAlignment="1">
      <alignment horizontal="right"/>
    </xf>
    <xf numFmtId="0" fontId="21" fillId="0" borderId="1" xfId="0" applyFont="1" applyBorder="1" applyAlignment="1">
      <alignment horizontal="center" vertical="top" wrapText="1"/>
    </xf>
    <xf numFmtId="4" fontId="44" fillId="0" borderId="2" xfId="0" applyNumberFormat="1" applyFont="1" applyBorder="1" applyAlignment="1"/>
    <xf numFmtId="0" fontId="0" fillId="0" borderId="3" xfId="0" applyBorder="1" applyAlignment="1"/>
    <xf numFmtId="4" fontId="2" fillId="0" borderId="2" xfId="0" applyNumberFormat="1" applyFont="1" applyBorder="1" applyAlignment="1">
      <alignment horizontal="right" vertical="top"/>
    </xf>
    <xf numFmtId="4" fontId="9" fillId="0" borderId="13" xfId="0" applyNumberFormat="1" applyFont="1" applyBorder="1" applyAlignment="1">
      <alignment horizontal="right" vertical="center" wrapText="1"/>
    </xf>
    <xf numFmtId="4" fontId="9" fillId="0" borderId="13" xfId="0" applyNumberFormat="1" applyFont="1" applyFill="1" applyBorder="1" applyAlignment="1">
      <alignment horizontal="right" vertical="center" wrapText="1"/>
    </xf>
    <xf numFmtId="4" fontId="48" fillId="2" borderId="19" xfId="0" applyNumberFormat="1" applyFont="1" applyFill="1" applyBorder="1" applyAlignment="1">
      <alignment horizontal="center" vertical="center"/>
    </xf>
    <xf numFmtId="4" fontId="48" fillId="6" borderId="28" xfId="0" applyNumberFormat="1" applyFont="1" applyFill="1" applyBorder="1" applyAlignment="1">
      <alignment horizontal="center" vertical="center"/>
    </xf>
    <xf numFmtId="4" fontId="48" fillId="6" borderId="18" xfId="0" applyNumberFormat="1" applyFont="1" applyFill="1" applyBorder="1" applyAlignment="1">
      <alignment horizontal="center" vertical="center"/>
    </xf>
    <xf numFmtId="4" fontId="48" fillId="0" borderId="19" xfId="0" applyNumberFormat="1" applyFont="1" applyBorder="1" applyAlignment="1">
      <alignment horizontal="right" vertical="center"/>
    </xf>
    <xf numFmtId="4" fontId="48" fillId="2" borderId="19" xfId="0" applyNumberFormat="1" applyFont="1" applyFill="1" applyBorder="1" applyAlignment="1">
      <alignment horizontal="right" vertical="center"/>
    </xf>
    <xf numFmtId="4" fontId="48" fillId="2" borderId="20" xfId="0" applyNumberFormat="1" applyFont="1" applyFill="1" applyBorder="1" applyAlignment="1">
      <alignment horizontal="right" vertical="center"/>
    </xf>
    <xf numFmtId="4" fontId="48" fillId="2" borderId="36" xfId="0" applyNumberFormat="1" applyFont="1" applyFill="1" applyBorder="1" applyAlignment="1">
      <alignment horizontal="right" vertical="center"/>
    </xf>
    <xf numFmtId="4" fontId="48" fillId="2" borderId="28" xfId="0" applyNumberFormat="1" applyFont="1" applyFill="1" applyBorder="1" applyAlignment="1">
      <alignment horizontal="right" vertical="center"/>
    </xf>
    <xf numFmtId="4" fontId="48" fillId="0" borderId="14" xfId="0" applyNumberFormat="1" applyFont="1" applyFill="1" applyBorder="1" applyAlignment="1">
      <alignment horizontal="right" vertical="center"/>
    </xf>
    <xf numFmtId="4" fontId="48" fillId="0" borderId="30" xfId="0" applyNumberFormat="1" applyFont="1" applyFill="1" applyBorder="1" applyAlignment="1">
      <alignment horizontal="right" vertical="center"/>
    </xf>
    <xf numFmtId="0" fontId="17" fillId="0" borderId="18" xfId="0" applyFont="1" applyBorder="1" applyAlignment="1">
      <alignment horizontal="right" vertical="center"/>
    </xf>
    <xf numFmtId="4" fontId="31" fillId="0" borderId="20" xfId="0" applyNumberFormat="1" applyFont="1" applyBorder="1" applyAlignment="1">
      <alignment vertical="center"/>
    </xf>
    <xf numFmtId="14" fontId="78" fillId="0" borderId="1" xfId="0" applyNumberFormat="1" applyFont="1" applyBorder="1" applyAlignment="1">
      <alignment horizontal="left" vertical="center"/>
    </xf>
    <xf numFmtId="4" fontId="78" fillId="0" borderId="1" xfId="0" applyNumberFormat="1" applyFont="1" applyBorder="1" applyAlignment="1">
      <alignment horizontal="right" vertical="center"/>
    </xf>
    <xf numFmtId="4" fontId="43" fillId="0" borderId="28" xfId="0" applyNumberFormat="1" applyFont="1" applyBorder="1" applyAlignment="1">
      <alignment horizontal="right"/>
    </xf>
    <xf numFmtId="4" fontId="42" fillId="0" borderId="30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8" fillId="6" borderId="8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 vertical="top" wrapText="1"/>
    </xf>
    <xf numFmtId="4" fontId="55" fillId="0" borderId="0" xfId="0" applyNumberFormat="1" applyFont="1" applyBorder="1" applyAlignment="1"/>
    <xf numFmtId="0" fontId="0" fillId="0" borderId="0" xfId="0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7" borderId="12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top" wrapText="1"/>
    </xf>
    <xf numFmtId="0" fontId="21" fillId="0" borderId="0" xfId="0" applyFont="1" applyBorder="1" applyAlignment="1">
      <alignment horizontal="right" vertical="center" wrapText="1"/>
    </xf>
    <xf numFmtId="0" fontId="21" fillId="0" borderId="0" xfId="0" applyNumberFormat="1" applyFont="1" applyBorder="1" applyAlignment="1">
      <alignment horizontal="right" vertical="center" wrapText="1"/>
    </xf>
    <xf numFmtId="0" fontId="24" fillId="0" borderId="0" xfId="0" applyFont="1" applyAlignment="1">
      <alignment horizontal="right"/>
    </xf>
    <xf numFmtId="0" fontId="8" fillId="0" borderId="1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2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4" fontId="2" fillId="2" borderId="6" xfId="0" applyNumberFormat="1" applyFont="1" applyFill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37" fillId="6" borderId="12" xfId="0" applyFont="1" applyFill="1" applyBorder="1" applyAlignment="1">
      <alignment horizontal="center" vertical="center" wrapText="1"/>
    </xf>
    <xf numFmtId="0" fontId="37" fillId="6" borderId="17" xfId="0" applyFont="1" applyFill="1" applyBorder="1" applyAlignment="1">
      <alignment horizontal="center" vertical="center" wrapText="1"/>
    </xf>
    <xf numFmtId="4" fontId="55" fillId="6" borderId="1" xfId="0" applyNumberFormat="1" applyFont="1" applyFill="1" applyBorder="1" applyAlignment="1">
      <alignment horizontal="right"/>
    </xf>
    <xf numFmtId="0" fontId="85" fillId="0" borderId="4" xfId="0" applyFont="1" applyBorder="1" applyAlignment="1">
      <alignment horizontal="center" vertical="top" wrapText="1"/>
    </xf>
    <xf numFmtId="0" fontId="85" fillId="0" borderId="1" xfId="0" applyFont="1" applyBorder="1" applyAlignment="1">
      <alignment horizontal="center" vertical="top" wrapText="1"/>
    </xf>
    <xf numFmtId="4" fontId="9" fillId="6" borderId="1" xfId="0" applyNumberFormat="1" applyFont="1" applyFill="1" applyBorder="1" applyAlignment="1">
      <alignment horizontal="right"/>
    </xf>
    <xf numFmtId="4" fontId="8" fillId="6" borderId="1" xfId="0" applyNumberFormat="1" applyFont="1" applyFill="1" applyBorder="1" applyAlignment="1">
      <alignment horizontal="right"/>
    </xf>
    <xf numFmtId="0" fontId="53" fillId="0" borderId="0" xfId="0" applyFont="1" applyBorder="1" applyAlignment="1"/>
    <xf numFmtId="0" fontId="0" fillId="0" borderId="0" xfId="0" applyBorder="1" applyAlignment="1">
      <alignment horizontal="center" vertical="top"/>
    </xf>
    <xf numFmtId="0" fontId="43" fillId="0" borderId="1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43" fillId="0" borderId="8" xfId="0" applyFont="1" applyBorder="1" applyAlignment="1">
      <alignment horizontal="right" vertical="top" wrapText="1"/>
    </xf>
    <xf numFmtId="0" fontId="43" fillId="0" borderId="4" xfId="0" applyFont="1" applyBorder="1" applyAlignment="1">
      <alignment horizontal="right" vertical="top" wrapText="1"/>
    </xf>
    <xf numFmtId="4" fontId="34" fillId="2" borderId="2" xfId="0" applyNumberFormat="1" applyFont="1" applyFill="1" applyBorder="1" applyAlignment="1">
      <alignment horizontal="right" vertical="top" wrapText="1"/>
    </xf>
    <xf numFmtId="4" fontId="43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1" fontId="8" fillId="0" borderId="12" xfId="0" applyNumberFormat="1" applyFont="1" applyBorder="1" applyAlignment="1">
      <alignment horizontal="right" vertical="top" wrapText="1"/>
    </xf>
    <xf numFmtId="1" fontId="8" fillId="0" borderId="17" xfId="0" applyNumberFormat="1" applyFont="1" applyBorder="1" applyAlignment="1">
      <alignment horizontal="right" vertical="top" wrapText="1"/>
    </xf>
    <xf numFmtId="0" fontId="2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/>
    </xf>
    <xf numFmtId="0" fontId="8" fillId="0" borderId="12" xfId="0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4" fillId="0" borderId="0" xfId="0" applyFont="1" applyAlignment="1">
      <alignment horizontal="right"/>
    </xf>
    <xf numFmtId="0" fontId="8" fillId="0" borderId="1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4" fontId="34" fillId="0" borderId="12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4" fontId="9" fillId="3" borderId="1" xfId="0" applyNumberFormat="1" applyFont="1" applyFill="1" applyBorder="1" applyAlignment="1">
      <alignment horizontal="right" vertical="center" wrapText="1"/>
    </xf>
    <xf numFmtId="4" fontId="0" fillId="2" borderId="1" xfId="0" applyNumberFormat="1" applyFont="1" applyFill="1" applyBorder="1" applyAlignment="1">
      <alignment horizontal="right" vertical="top" wrapText="1"/>
    </xf>
    <xf numFmtId="4" fontId="0" fillId="2" borderId="8" xfId="0" applyNumberFormat="1" applyFont="1" applyFill="1" applyBorder="1" applyAlignment="1">
      <alignment horizontal="right" vertical="top" wrapText="1"/>
    </xf>
    <xf numFmtId="4" fontId="0" fillId="2" borderId="6" xfId="0" applyNumberFormat="1" applyFont="1" applyFill="1" applyBorder="1" applyAlignment="1">
      <alignment horizontal="right" vertical="top" wrapText="1"/>
    </xf>
    <xf numFmtId="4" fontId="28" fillId="2" borderId="3" xfId="0" applyNumberFormat="1" applyFont="1" applyFill="1" applyBorder="1" applyAlignment="1">
      <alignment horizontal="right" vertical="top" wrapText="1"/>
    </xf>
    <xf numFmtId="0" fontId="30" fillId="2" borderId="1" xfId="0" applyFont="1" applyFill="1" applyBorder="1" applyAlignment="1">
      <alignment horizontal="right" vertical="center" wrapText="1"/>
    </xf>
    <xf numFmtId="4" fontId="28" fillId="2" borderId="3" xfId="0" applyNumberFormat="1" applyFont="1" applyFill="1" applyBorder="1" applyAlignment="1">
      <alignment horizontal="right" vertical="center" wrapText="1"/>
    </xf>
    <xf numFmtId="4" fontId="0" fillId="2" borderId="3" xfId="0" applyNumberFormat="1" applyFont="1" applyFill="1" applyBorder="1" applyAlignment="1">
      <alignment horizontal="right" vertical="center" wrapText="1"/>
    </xf>
    <xf numFmtId="0" fontId="30" fillId="2" borderId="3" xfId="0" applyFont="1" applyFill="1" applyBorder="1" applyAlignment="1">
      <alignment horizontal="right" vertical="center" wrapText="1"/>
    </xf>
    <xf numFmtId="4" fontId="28" fillId="2" borderId="6" xfId="0" applyNumberFormat="1" applyFont="1" applyFill="1" applyBorder="1" applyAlignment="1">
      <alignment horizontal="right" vertical="top"/>
    </xf>
    <xf numFmtId="4" fontId="28" fillId="2" borderId="1" xfId="0" applyNumberFormat="1" applyFont="1" applyFill="1" applyBorder="1" applyAlignment="1">
      <alignment horizontal="right" vertical="top"/>
    </xf>
    <xf numFmtId="4" fontId="28" fillId="2" borderId="17" xfId="0" applyNumberFormat="1" applyFont="1" applyFill="1" applyBorder="1" applyAlignment="1">
      <alignment horizontal="right" vertical="top" wrapText="1"/>
    </xf>
    <xf numFmtId="4" fontId="0" fillId="2" borderId="3" xfId="0" quotePrefix="1" applyNumberFormat="1" applyFont="1" applyFill="1" applyBorder="1" applyAlignment="1">
      <alignment horizontal="right" vertical="center" wrapText="1"/>
    </xf>
    <xf numFmtId="4" fontId="28" fillId="2" borderId="3" xfId="0" applyNumberFormat="1" applyFont="1" applyFill="1" applyBorder="1" applyAlignment="1">
      <alignment horizontal="right" vertical="top"/>
    </xf>
    <xf numFmtId="2" fontId="9" fillId="3" borderId="8" xfId="0" applyNumberFormat="1" applyFont="1" applyFill="1" applyBorder="1" applyAlignment="1">
      <alignment horizontal="right"/>
    </xf>
    <xf numFmtId="2" fontId="9" fillId="0" borderId="12" xfId="0" applyNumberFormat="1" applyFont="1" applyBorder="1" applyAlignment="1">
      <alignment horizontal="right"/>
    </xf>
    <xf numFmtId="4" fontId="0" fillId="0" borderId="2" xfId="0" applyNumberFormat="1" applyFont="1" applyBorder="1" applyAlignment="1">
      <alignment horizontal="right" vertical="top" wrapText="1"/>
    </xf>
    <xf numFmtId="4" fontId="0" fillId="0" borderId="12" xfId="0" applyNumberFormat="1" applyFont="1" applyBorder="1" applyAlignment="1">
      <alignment horizontal="right" vertical="top" wrapText="1"/>
    </xf>
    <xf numFmtId="4" fontId="28" fillId="2" borderId="13" xfId="0" applyNumberFormat="1" applyFont="1" applyFill="1" applyBorder="1" applyAlignment="1">
      <alignment horizontal="right" vertical="center" wrapText="1"/>
    </xf>
    <xf numFmtId="4" fontId="30" fillId="2" borderId="3" xfId="0" applyNumberFormat="1" applyFont="1" applyFill="1" applyBorder="1" applyAlignment="1">
      <alignment horizontal="right" vertical="top" wrapText="1"/>
    </xf>
    <xf numFmtId="4" fontId="21" fillId="2" borderId="3" xfId="0" quotePrefix="1" applyNumberFormat="1" applyFont="1" applyFill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top" wrapText="1"/>
    </xf>
    <xf numFmtId="0" fontId="8" fillId="6" borderId="12" xfId="0" applyFont="1" applyFill="1" applyBorder="1" applyAlignment="1">
      <alignment horizontal="center" vertical="top" wrapText="1"/>
    </xf>
    <xf numFmtId="0" fontId="8" fillId="6" borderId="10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23" fillId="0" borderId="3" xfId="0" applyFont="1" applyFill="1" applyBorder="1" applyAlignment="1">
      <alignment horizontal="center" vertical="center" wrapText="1"/>
    </xf>
    <xf numFmtId="0" fontId="21" fillId="0" borderId="2" xfId="0" applyNumberFormat="1" applyFont="1" applyBorder="1" applyAlignment="1">
      <alignment horizontal="center" vertical="top" wrapText="1"/>
    </xf>
    <xf numFmtId="0" fontId="21" fillId="0" borderId="3" xfId="0" applyNumberFormat="1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4" fillId="0" borderId="0" xfId="0" applyFont="1" applyBorder="1"/>
    <xf numFmtId="0" fontId="4" fillId="0" borderId="0" xfId="0" applyFont="1" applyBorder="1" applyAlignment="1">
      <alignment horizontal="left" wrapText="1"/>
    </xf>
    <xf numFmtId="2" fontId="47" fillId="0" borderId="0" xfId="0" applyNumberFormat="1" applyFont="1" applyFill="1" applyBorder="1" applyAlignment="1">
      <alignment horizontal="right"/>
    </xf>
    <xf numFmtId="0" fontId="25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0" fontId="23" fillId="0" borderId="12" xfId="0" applyFont="1" applyFill="1" applyBorder="1" applyAlignment="1">
      <alignment horizontal="center" vertical="center" wrapText="1"/>
    </xf>
    <xf numFmtId="0" fontId="51" fillId="0" borderId="0" xfId="0" applyFont="1" applyBorder="1"/>
    <xf numFmtId="0" fontId="47" fillId="0" borderId="0" xfId="0" applyFont="1" applyFill="1" applyBorder="1" applyAlignment="1">
      <alignment horizontal="right"/>
    </xf>
    <xf numFmtId="4" fontId="2" fillId="3" borderId="6" xfId="0" applyNumberFormat="1" applyFont="1" applyFill="1" applyBorder="1" applyAlignment="1">
      <alignment horizontal="right"/>
    </xf>
    <xf numFmtId="4" fontId="34" fillId="3" borderId="8" xfId="0" applyNumberFormat="1" applyFont="1" applyFill="1" applyBorder="1" applyAlignment="1">
      <alignment horizontal="right"/>
    </xf>
    <xf numFmtId="2" fontId="61" fillId="0" borderId="0" xfId="0" applyNumberFormat="1" applyFont="1" applyBorder="1"/>
    <xf numFmtId="0" fontId="2" fillId="0" borderId="0" xfId="0" applyFont="1" applyFill="1" applyBorder="1" applyAlignment="1">
      <alignment horizontal="center" vertical="top" wrapText="1"/>
    </xf>
    <xf numFmtId="2" fontId="47" fillId="0" borderId="0" xfId="0" applyNumberFormat="1" applyFont="1" applyBorder="1"/>
    <xf numFmtId="4" fontId="51" fillId="0" borderId="0" xfId="0" applyNumberFormat="1" applyFont="1" applyBorder="1"/>
    <xf numFmtId="0" fontId="0" fillId="0" borderId="0" xfId="0" applyFill="1" applyBorder="1"/>
    <xf numFmtId="4" fontId="28" fillId="2" borderId="6" xfId="0" applyNumberFormat="1" applyFont="1" applyFill="1" applyBorder="1" applyAlignment="1">
      <alignment horizontal="right" vertical="center" wrapText="1"/>
    </xf>
    <xf numFmtId="4" fontId="41" fillId="0" borderId="28" xfId="0" applyNumberFormat="1" applyFont="1" applyFill="1" applyBorder="1" applyAlignment="1">
      <alignment horizontal="center" wrapText="1"/>
    </xf>
    <xf numFmtId="0" fontId="21" fillId="0" borderId="17" xfId="0" applyFont="1" applyBorder="1" applyAlignment="1">
      <alignment horizontal="center" vertical="top" wrapText="1"/>
    </xf>
    <xf numFmtId="4" fontId="76" fillId="0" borderId="8" xfId="0" applyNumberFormat="1" applyFont="1" applyBorder="1" applyAlignment="1">
      <alignment horizontal="right"/>
    </xf>
    <xf numFmtId="4" fontId="76" fillId="0" borderId="1" xfId="0" applyNumberFormat="1" applyFont="1" applyBorder="1" applyAlignment="1">
      <alignment horizontal="right"/>
    </xf>
    <xf numFmtId="2" fontId="71" fillId="0" borderId="1" xfId="0" applyNumberFormat="1" applyFont="1" applyBorder="1" applyAlignment="1">
      <alignment horizontal="right"/>
    </xf>
    <xf numFmtId="4" fontId="71" fillId="0" borderId="4" xfId="0" applyNumberFormat="1" applyFont="1" applyBorder="1" applyAlignment="1">
      <alignment horizontal="right"/>
    </xf>
    <xf numFmtId="4" fontId="76" fillId="3" borderId="1" xfId="0" applyNumberFormat="1" applyFont="1" applyFill="1" applyBorder="1" applyAlignment="1">
      <alignment horizontal="right"/>
    </xf>
    <xf numFmtId="4" fontId="76" fillId="3" borderId="6" xfId="0" applyNumberFormat="1" applyFont="1" applyFill="1" applyBorder="1" applyAlignment="1">
      <alignment horizontal="right"/>
    </xf>
    <xf numFmtId="4" fontId="76" fillId="0" borderId="6" xfId="0" applyNumberFormat="1" applyFont="1" applyBorder="1" applyAlignment="1">
      <alignment horizontal="right"/>
    </xf>
    <xf numFmtId="4" fontId="9" fillId="2" borderId="6" xfId="0" applyNumberFormat="1" applyFont="1" applyFill="1" applyBorder="1" applyAlignment="1">
      <alignment horizontal="right"/>
    </xf>
    <xf numFmtId="4" fontId="3" fillId="2" borderId="6" xfId="0" applyNumberFormat="1" applyFont="1" applyFill="1" applyBorder="1" applyAlignment="1">
      <alignment horizontal="right"/>
    </xf>
    <xf numFmtId="4" fontId="76" fillId="2" borderId="1" xfId="0" applyNumberFormat="1" applyFont="1" applyFill="1" applyBorder="1" applyAlignment="1">
      <alignment horizontal="right"/>
    </xf>
    <xf numFmtId="2" fontId="76" fillId="2" borderId="1" xfId="0" applyNumberFormat="1" applyFont="1" applyFill="1" applyBorder="1" applyAlignment="1">
      <alignment horizontal="right"/>
    </xf>
    <xf numFmtId="0" fontId="8" fillId="0" borderId="3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4" fontId="34" fillId="0" borderId="1" xfId="0" applyNumberFormat="1" applyFont="1" applyBorder="1" applyAlignment="1">
      <alignment vertical="center" wrapText="1"/>
    </xf>
    <xf numFmtId="4" fontId="2" fillId="0" borderId="0" xfId="0" applyNumberFormat="1" applyFont="1" applyBorder="1" applyAlignment="1"/>
    <xf numFmtId="4" fontId="2" fillId="0" borderId="39" xfId="0" applyNumberFormat="1" applyFont="1" applyBorder="1" applyAlignment="1">
      <alignment horizontal="right"/>
    </xf>
    <xf numFmtId="4" fontId="2" fillId="0" borderId="1" xfId="0" applyNumberFormat="1" applyFont="1" applyBorder="1" applyAlignment="1"/>
    <xf numFmtId="4" fontId="34" fillId="2" borderId="3" xfId="0" applyNumberFormat="1" applyFont="1" applyFill="1" applyBorder="1" applyAlignment="1">
      <alignment horizontal="right" vertical="top"/>
    </xf>
    <xf numFmtId="4" fontId="9" fillId="2" borderId="6" xfId="0" applyNumberFormat="1" applyFont="1" applyFill="1" applyBorder="1" applyAlignment="1">
      <alignment horizontal="right" vertical="top"/>
    </xf>
    <xf numFmtId="2" fontId="44" fillId="0" borderId="1" xfId="0" applyNumberFormat="1" applyFont="1" applyBorder="1" applyAlignment="1">
      <alignment horizontal="right"/>
    </xf>
    <xf numFmtId="4" fontId="44" fillId="0" borderId="4" xfId="0" applyNumberFormat="1" applyFont="1" applyBorder="1" applyAlignment="1">
      <alignment horizontal="right"/>
    </xf>
    <xf numFmtId="0" fontId="23" fillId="2" borderId="12" xfId="0" applyFont="1" applyFill="1" applyBorder="1" applyAlignment="1">
      <alignment horizontal="center" vertical="top" wrapText="1"/>
    </xf>
    <xf numFmtId="0" fontId="23" fillId="2" borderId="6" xfId="0" applyFont="1" applyFill="1" applyBorder="1" applyAlignment="1">
      <alignment horizontal="center" vertical="top" wrapText="1"/>
    </xf>
    <xf numFmtId="4" fontId="56" fillId="0" borderId="0" xfId="0" applyNumberFormat="1" applyFont="1" applyBorder="1"/>
    <xf numFmtId="4" fontId="61" fillId="0" borderId="0" xfId="0" applyNumberFormat="1" applyFont="1" applyBorder="1"/>
    <xf numFmtId="0" fontId="55" fillId="0" borderId="0" xfId="0" applyFont="1" applyAlignment="1"/>
    <xf numFmtId="4" fontId="55" fillId="0" borderId="0" xfId="0" applyNumberFormat="1" applyFont="1" applyAlignment="1"/>
    <xf numFmtId="0" fontId="5" fillId="0" borderId="1" xfId="0" applyFont="1" applyBorder="1" applyAlignment="1"/>
    <xf numFmtId="0" fontId="55" fillId="0" borderId="1" xfId="0" applyFont="1" applyBorder="1" applyAlignment="1"/>
    <xf numFmtId="2" fontId="4" fillId="2" borderId="1" xfId="0" applyNumberFormat="1" applyFont="1" applyFill="1" applyBorder="1" applyAlignment="1">
      <alignment horizontal="right"/>
    </xf>
    <xf numFmtId="0" fontId="84" fillId="0" borderId="0" xfId="0" applyFont="1"/>
    <xf numFmtId="4" fontId="30" fillId="2" borderId="17" xfId="0" applyNumberFormat="1" applyFont="1" applyFill="1" applyBorder="1" applyAlignment="1">
      <alignment horizontal="right" vertical="top" wrapText="1"/>
    </xf>
    <xf numFmtId="0" fontId="2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25" fillId="2" borderId="1" xfId="0" applyFont="1" applyFill="1" applyBorder="1" applyAlignment="1">
      <alignment horizontal="right"/>
    </xf>
    <xf numFmtId="2" fontId="35" fillId="0" borderId="0" xfId="0" applyNumberFormat="1" applyFont="1" applyAlignment="1"/>
    <xf numFmtId="0" fontId="25" fillId="0" borderId="1" xfId="0" applyFont="1" applyBorder="1" applyAlignment="1">
      <alignment horizontal="center" wrapText="1"/>
    </xf>
    <xf numFmtId="2" fontId="55" fillId="0" borderId="0" xfId="0" applyNumberFormat="1" applyFont="1" applyAlignment="1"/>
    <xf numFmtId="0" fontId="9" fillId="0" borderId="0" xfId="0" applyFont="1" applyAlignment="1">
      <alignment horizontal="right"/>
    </xf>
    <xf numFmtId="0" fontId="44" fillId="0" borderId="1" xfId="0" applyFont="1" applyBorder="1"/>
    <xf numFmtId="4" fontId="44" fillId="0" borderId="1" xfId="0" applyNumberFormat="1" applyFont="1" applyBorder="1"/>
    <xf numFmtId="0" fontId="9" fillId="6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right"/>
    </xf>
    <xf numFmtId="0" fontId="0" fillId="6" borderId="1" xfId="0" applyFont="1" applyFill="1" applyBorder="1" applyAlignment="1">
      <alignment horizontal="right"/>
    </xf>
    <xf numFmtId="4" fontId="9" fillId="6" borderId="1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right"/>
    </xf>
    <xf numFmtId="4" fontId="42" fillId="7" borderId="1" xfId="0" applyNumberFormat="1" applyFont="1" applyFill="1" applyBorder="1"/>
    <xf numFmtId="0" fontId="21" fillId="2" borderId="4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right"/>
    </xf>
    <xf numFmtId="2" fontId="9" fillId="5" borderId="1" xfId="0" applyNumberFormat="1" applyFont="1" applyFill="1" applyBorder="1" applyAlignment="1">
      <alignment horizontal="right"/>
    </xf>
    <xf numFmtId="0" fontId="0" fillId="5" borderId="1" xfId="0" applyFont="1" applyFill="1" applyBorder="1" applyAlignment="1">
      <alignment horizontal="right"/>
    </xf>
    <xf numFmtId="0" fontId="21" fillId="0" borderId="1" xfId="0" applyFont="1" applyBorder="1" applyAlignment="1">
      <alignment horizontal="right" vertical="top" wrapText="1"/>
    </xf>
    <xf numFmtId="4" fontId="42" fillId="6" borderId="1" xfId="0" applyNumberFormat="1" applyFont="1" applyFill="1" applyBorder="1"/>
    <xf numFmtId="4" fontId="44" fillId="2" borderId="1" xfId="0" applyNumberFormat="1" applyFont="1" applyFill="1" applyBorder="1" applyAlignment="1"/>
    <xf numFmtId="4" fontId="44" fillId="2" borderId="1" xfId="0" applyNumberFormat="1" applyFont="1" applyFill="1" applyBorder="1"/>
    <xf numFmtId="0" fontId="44" fillId="2" borderId="1" xfId="0" applyFont="1" applyFill="1" applyBorder="1"/>
    <xf numFmtId="0" fontId="44" fillId="2" borderId="1" xfId="0" applyFont="1" applyFill="1" applyBorder="1" applyAlignment="1"/>
    <xf numFmtId="4" fontId="56" fillId="0" borderId="0" xfId="0" applyNumberFormat="1" applyFont="1"/>
    <xf numFmtId="0" fontId="21" fillId="0" borderId="1" xfId="0" applyFont="1" applyBorder="1" applyAlignment="1">
      <alignment horizontal="right" vertical="top" wrapText="1"/>
    </xf>
    <xf numFmtId="4" fontId="63" fillId="0" borderId="0" xfId="0" applyNumberFormat="1" applyFont="1" applyAlignment="1">
      <alignment horizontal="right"/>
    </xf>
    <xf numFmtId="4" fontId="34" fillId="6" borderId="1" xfId="0" applyNumberFormat="1" applyFont="1" applyFill="1" applyBorder="1" applyAlignment="1">
      <alignment horizontal="right" vertical="top" wrapText="1"/>
    </xf>
    <xf numFmtId="4" fontId="43" fillId="6" borderId="1" xfId="0" applyNumberFormat="1" applyFont="1" applyFill="1" applyBorder="1" applyAlignment="1">
      <alignment horizontal="right" vertical="center" wrapText="1"/>
    </xf>
    <xf numFmtId="4" fontId="43" fillId="0" borderId="0" xfId="0" applyNumberFormat="1" applyFont="1" applyBorder="1" applyAlignment="1">
      <alignment vertical="center" wrapText="1"/>
    </xf>
    <xf numFmtId="4" fontId="44" fillId="6" borderId="1" xfId="0" applyNumberFormat="1" applyFont="1" applyFill="1" applyBorder="1" applyAlignment="1"/>
    <xf numFmtId="4" fontId="44" fillId="6" borderId="1" xfId="0" applyNumberFormat="1" applyFont="1" applyFill="1" applyBorder="1"/>
    <xf numFmtId="4" fontId="28" fillId="6" borderId="3" xfId="0" applyNumberFormat="1" applyFont="1" applyFill="1" applyBorder="1" applyAlignment="1">
      <alignment horizontal="right" vertical="top" wrapText="1"/>
    </xf>
    <xf numFmtId="4" fontId="67" fillId="6" borderId="6" xfId="0" applyNumberFormat="1" applyFont="1" applyFill="1" applyBorder="1" applyAlignment="1">
      <alignment horizontal="right" vertical="center" wrapText="1"/>
    </xf>
    <xf numFmtId="4" fontId="28" fillId="6" borderId="6" xfId="0" applyNumberFormat="1" applyFont="1" applyFill="1" applyBorder="1" applyAlignment="1">
      <alignment horizontal="right" vertical="center" wrapText="1"/>
    </xf>
    <xf numFmtId="4" fontId="9" fillId="6" borderId="6" xfId="0" applyNumberFormat="1" applyFont="1" applyFill="1" applyBorder="1" applyAlignment="1">
      <alignment horizontal="right"/>
    </xf>
    <xf numFmtId="4" fontId="76" fillId="6" borderId="1" xfId="0" applyNumberFormat="1" applyFont="1" applyFill="1" applyBorder="1" applyAlignment="1">
      <alignment horizontal="right"/>
    </xf>
    <xf numFmtId="4" fontId="34" fillId="2" borderId="1" xfId="0" applyNumberFormat="1" applyFont="1" applyFill="1" applyBorder="1" applyAlignment="1">
      <alignment horizontal="right" wrapText="1"/>
    </xf>
    <xf numFmtId="4" fontId="43" fillId="2" borderId="1" xfId="0" applyNumberFormat="1" applyFont="1" applyFill="1" applyBorder="1" applyAlignment="1">
      <alignment horizontal="right" wrapText="1"/>
    </xf>
    <xf numFmtId="4" fontId="34" fillId="10" borderId="1" xfId="0" applyNumberFormat="1" applyFont="1" applyFill="1" applyBorder="1" applyAlignment="1">
      <alignment horizontal="right" vertical="top" wrapText="1"/>
    </xf>
    <xf numFmtId="4" fontId="43" fillId="10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right"/>
    </xf>
    <xf numFmtId="0" fontId="2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4" fontId="9" fillId="3" borderId="1" xfId="0" applyNumberFormat="1" applyFont="1" applyFill="1" applyBorder="1" applyAlignment="1">
      <alignment horizontal="right" vertical="top" wrapText="1"/>
    </xf>
    <xf numFmtId="4" fontId="28" fillId="3" borderId="1" xfId="0" applyNumberFormat="1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center" vertical="top" wrapText="1"/>
    </xf>
    <xf numFmtId="4" fontId="9" fillId="3" borderId="1" xfId="0" applyNumberFormat="1" applyFont="1" applyFill="1" applyBorder="1" applyAlignment="1">
      <alignment horizontal="right"/>
    </xf>
    <xf numFmtId="4" fontId="30" fillId="0" borderId="6" xfId="0" applyNumberFormat="1" applyFont="1" applyFill="1" applyBorder="1" applyAlignment="1">
      <alignment horizontal="right" wrapText="1"/>
    </xf>
    <xf numFmtId="4" fontId="30" fillId="0" borderId="17" xfId="0" applyNumberFormat="1" applyFont="1" applyFill="1" applyBorder="1" applyAlignment="1">
      <alignment horizontal="right" wrapText="1"/>
    </xf>
    <xf numFmtId="2" fontId="0" fillId="0" borderId="1" xfId="0" applyNumberFormat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/>
    </xf>
    <xf numFmtId="4" fontId="0" fillId="0" borderId="1" xfId="0" applyNumberFormat="1" applyBorder="1" applyAlignment="1">
      <alignment horizontal="center"/>
    </xf>
    <xf numFmtId="4" fontId="0" fillId="3" borderId="1" xfId="0" applyNumberFormat="1" applyFill="1" applyBorder="1" applyAlignment="1"/>
    <xf numFmtId="4" fontId="0" fillId="3" borderId="1" xfId="0" applyNumberFormat="1" applyFill="1" applyBorder="1" applyAlignment="1">
      <alignment horizontal="center"/>
    </xf>
    <xf numFmtId="4" fontId="56" fillId="0" borderId="0" xfId="0" applyNumberFormat="1" applyFont="1" applyAlignment="1"/>
    <xf numFmtId="2" fontId="0" fillId="3" borderId="1" xfId="0" applyNumberFormat="1" applyFill="1" applyBorder="1" applyAlignment="1">
      <alignment horizontal="right" vertical="top" wrapText="1"/>
    </xf>
    <xf numFmtId="2" fontId="21" fillId="0" borderId="1" xfId="0" applyNumberFormat="1" applyFont="1" applyBorder="1" applyAlignment="1">
      <alignment horizontal="right" vertical="top" wrapText="1"/>
    </xf>
    <xf numFmtId="4" fontId="0" fillId="0" borderId="1" xfId="0" applyNumberFormat="1" applyFont="1" applyBorder="1" applyAlignment="1"/>
    <xf numFmtId="2" fontId="0" fillId="0" borderId="1" xfId="0" applyNumberFormat="1" applyFont="1" applyBorder="1" applyAlignment="1"/>
    <xf numFmtId="2" fontId="21" fillId="0" borderId="1" xfId="0" applyNumberFormat="1" applyFont="1" applyBorder="1" applyAlignment="1"/>
    <xf numFmtId="0" fontId="0" fillId="0" borderId="1" xfId="0" applyBorder="1" applyAlignment="1">
      <alignment horizontal="center"/>
    </xf>
    <xf numFmtId="0" fontId="23" fillId="0" borderId="1" xfId="0" applyFont="1" applyBorder="1" applyAlignment="1">
      <alignment horizontal="center" vertical="top" wrapText="1"/>
    </xf>
    <xf numFmtId="4" fontId="44" fillId="0" borderId="1" xfId="0" applyNumberFormat="1" applyFont="1" applyBorder="1" applyAlignment="1">
      <alignment vertical="top"/>
    </xf>
    <xf numFmtId="4" fontId="47" fillId="0" borderId="1" xfId="0" applyNumberFormat="1" applyFont="1" applyBorder="1" applyAlignment="1">
      <alignment horizontal="center"/>
    </xf>
    <xf numFmtId="2" fontId="47" fillId="2" borderId="1" xfId="0" applyNumberFormat="1" applyFont="1" applyFill="1" applyBorder="1" applyAlignment="1">
      <alignment horizontal="right"/>
    </xf>
    <xf numFmtId="4" fontId="70" fillId="0" borderId="1" xfId="0" applyNumberFormat="1" applyFont="1" applyBorder="1" applyAlignment="1">
      <alignment horizontal="center"/>
    </xf>
    <xf numFmtId="2" fontId="70" fillId="2" borderId="1" xfId="0" applyNumberFormat="1" applyFont="1" applyFill="1" applyBorder="1" applyAlignment="1">
      <alignment horizontal="right"/>
    </xf>
    <xf numFmtId="0" fontId="4" fillId="0" borderId="0" xfId="0" applyFont="1"/>
    <xf numFmtId="4" fontId="47" fillId="0" borderId="13" xfId="0" applyNumberFormat="1" applyFont="1" applyFill="1" applyBorder="1" applyAlignment="1">
      <alignment horizontal="right" wrapText="1"/>
    </xf>
    <xf numFmtId="4" fontId="56" fillId="0" borderId="0" xfId="0" applyNumberFormat="1" applyFont="1" applyAlignment="1">
      <alignment horizontal="right"/>
    </xf>
    <xf numFmtId="0" fontId="67" fillId="0" borderId="0" xfId="0" applyFont="1" applyFill="1" applyBorder="1" applyAlignment="1">
      <alignment horizontal="left"/>
    </xf>
    <xf numFmtId="2" fontId="28" fillId="6" borderId="1" xfId="0" applyNumberFormat="1" applyFont="1" applyFill="1" applyBorder="1" applyAlignment="1">
      <alignment horizontal="right"/>
    </xf>
    <xf numFmtId="2" fontId="25" fillId="6" borderId="0" xfId="0" applyNumberFormat="1" applyFont="1" applyFill="1" applyAlignment="1">
      <alignment horizontal="right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0" fontId="23" fillId="0" borderId="3" xfId="0" applyFont="1" applyFill="1" applyBorder="1" applyAlignment="1">
      <alignment horizontal="center" vertical="top" wrapText="1"/>
    </xf>
    <xf numFmtId="0" fontId="23" fillId="6" borderId="3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vertical="top" wrapText="1"/>
    </xf>
    <xf numFmtId="0" fontId="23" fillId="0" borderId="12" xfId="0" applyFont="1" applyFill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4" fontId="9" fillId="0" borderId="12" xfId="0" applyNumberFormat="1" applyFont="1" applyBorder="1" applyAlignment="1">
      <alignment horizontal="right"/>
    </xf>
    <xf numFmtId="4" fontId="12" fillId="0" borderId="13" xfId="0" applyNumberFormat="1" applyFont="1" applyFill="1" applyBorder="1" applyAlignment="1">
      <alignment horizontal="right" vertical="top"/>
    </xf>
    <xf numFmtId="4" fontId="2" fillId="0" borderId="13" xfId="0" applyNumberFormat="1" applyFont="1" applyFill="1" applyBorder="1" applyAlignment="1">
      <alignment horizontal="right" vertical="top"/>
    </xf>
    <xf numFmtId="4" fontId="44" fillId="0" borderId="13" xfId="0" applyNumberFormat="1" applyFont="1" applyBorder="1" applyAlignment="1">
      <alignment horizontal="right" vertical="top"/>
    </xf>
    <xf numFmtId="4" fontId="47" fillId="0" borderId="0" xfId="0" applyNumberFormat="1" applyFont="1" applyBorder="1" applyAlignment="1"/>
    <xf numFmtId="4" fontId="30" fillId="2" borderId="1" xfId="0" applyNumberFormat="1" applyFont="1" applyFill="1" applyBorder="1" applyAlignment="1">
      <alignment horizontal="right" vertical="top"/>
    </xf>
    <xf numFmtId="14" fontId="78" fillId="0" borderId="1" xfId="0" applyNumberFormat="1" applyFont="1" applyBorder="1" applyAlignment="1">
      <alignment vertical="center"/>
    </xf>
    <xf numFmtId="4" fontId="78" fillId="0" borderId="1" xfId="0" applyNumberFormat="1" applyFont="1" applyBorder="1" applyAlignment="1">
      <alignment vertical="center"/>
    </xf>
    <xf numFmtId="14" fontId="78" fillId="0" borderId="2" xfId="0" applyNumberFormat="1" applyFont="1" applyBorder="1" applyAlignment="1">
      <alignment vertical="center"/>
    </xf>
    <xf numFmtId="2" fontId="47" fillId="0" borderId="0" xfId="0" applyNumberFormat="1" applyFont="1" applyBorder="1" applyAlignment="1"/>
    <xf numFmtId="0" fontId="8" fillId="0" borderId="8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23" fillId="0" borderId="2" xfId="0" applyFont="1" applyBorder="1" applyAlignment="1">
      <alignment vertical="center" wrapText="1"/>
    </xf>
    <xf numFmtId="0" fontId="23" fillId="0" borderId="3" xfId="0" applyFont="1" applyBorder="1" applyAlignment="1">
      <alignment vertical="top" wrapText="1"/>
    </xf>
    <xf numFmtId="0" fontId="23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top" wrapText="1"/>
    </xf>
    <xf numFmtId="0" fontId="23" fillId="0" borderId="0" xfId="0" applyFont="1" applyBorder="1" applyAlignment="1">
      <alignment vertical="center" wrapText="1"/>
    </xf>
    <xf numFmtId="0" fontId="42" fillId="0" borderId="2" xfId="0" applyFont="1" applyBorder="1" applyAlignment="1">
      <alignment vertical="top" wrapText="1"/>
    </xf>
    <xf numFmtId="0" fontId="42" fillId="0" borderId="2" xfId="0" applyNumberFormat="1" applyFont="1" applyBorder="1" applyAlignment="1">
      <alignment vertical="top" wrapText="1"/>
    </xf>
    <xf numFmtId="0" fontId="42" fillId="0" borderId="3" xfId="0" applyFont="1" applyBorder="1" applyAlignment="1">
      <alignment vertical="top" wrapText="1"/>
    </xf>
    <xf numFmtId="0" fontId="42" fillId="0" borderId="3" xfId="0" applyNumberFormat="1" applyFont="1" applyBorder="1" applyAlignment="1">
      <alignment vertical="top" wrapText="1"/>
    </xf>
    <xf numFmtId="0" fontId="34" fillId="0" borderId="0" xfId="0" applyFont="1" applyAlignment="1"/>
    <xf numFmtId="0" fontId="72" fillId="0" borderId="0" xfId="0" applyFont="1" applyAlignment="1"/>
    <xf numFmtId="0" fontId="23" fillId="0" borderId="2" xfId="0" applyFont="1" applyFill="1" applyBorder="1" applyAlignment="1">
      <alignment vertical="top" wrapText="1"/>
    </xf>
    <xf numFmtId="0" fontId="23" fillId="0" borderId="3" xfId="0" applyFont="1" applyFill="1" applyBorder="1" applyAlignment="1">
      <alignment vertical="top" wrapText="1"/>
    </xf>
    <xf numFmtId="0" fontId="1" fillId="0" borderId="0" xfId="0" applyFont="1" applyAlignment="1"/>
    <xf numFmtId="0" fontId="74" fillId="0" borderId="2" xfId="0" applyFont="1" applyBorder="1" applyAlignment="1">
      <alignment vertical="top" wrapText="1"/>
    </xf>
    <xf numFmtId="0" fontId="74" fillId="0" borderId="3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4" fontId="51" fillId="0" borderId="0" xfId="0" applyNumberFormat="1" applyFont="1" applyAlignment="1">
      <alignment horizontal="right"/>
    </xf>
    <xf numFmtId="4" fontId="9" fillId="0" borderId="2" xfId="0" applyNumberFormat="1" applyFont="1" applyBorder="1" applyAlignment="1">
      <alignment horizontal="right"/>
    </xf>
    <xf numFmtId="4" fontId="34" fillId="2" borderId="2" xfId="0" applyNumberFormat="1" applyFont="1" applyFill="1" applyBorder="1" applyAlignment="1">
      <alignment horizontal="right" vertical="top"/>
    </xf>
    <xf numFmtId="4" fontId="44" fillId="2" borderId="2" xfId="0" applyNumberFormat="1" applyFont="1" applyFill="1" applyBorder="1" applyAlignment="1">
      <alignment horizontal="right" vertical="top"/>
    </xf>
    <xf numFmtId="0" fontId="84" fillId="2" borderId="13" xfId="0" applyFont="1" applyFill="1" applyBorder="1"/>
    <xf numFmtId="4" fontId="4" fillId="0" borderId="3" xfId="0" applyNumberFormat="1" applyFont="1" applyBorder="1"/>
    <xf numFmtId="0" fontId="0" fillId="2" borderId="1" xfId="0" applyFill="1" applyBorder="1"/>
    <xf numFmtId="0" fontId="84" fillId="2" borderId="1" xfId="0" applyFont="1" applyFill="1" applyBorder="1"/>
    <xf numFmtId="0" fontId="21" fillId="2" borderId="1" xfId="0" applyFont="1" applyFill="1" applyBorder="1" applyAlignment="1">
      <alignment horizontal="right"/>
    </xf>
    <xf numFmtId="2" fontId="21" fillId="2" borderId="1" xfId="0" applyNumberFormat="1" applyFont="1" applyFill="1" applyBorder="1" applyAlignment="1">
      <alignment horizontal="right"/>
    </xf>
    <xf numFmtId="4" fontId="44" fillId="0" borderId="1" xfId="0" applyNumberFormat="1" applyFont="1" applyBorder="1" applyAlignment="1">
      <alignment horizontal="right" vertical="center"/>
    </xf>
    <xf numFmtId="4" fontId="34" fillId="0" borderId="1" xfId="0" applyNumberFormat="1" applyFont="1" applyBorder="1" applyAlignment="1">
      <alignment horizontal="right" vertical="center"/>
    </xf>
    <xf numFmtId="4" fontId="34" fillId="0" borderId="8" xfId="0" applyNumberFormat="1" applyFont="1" applyBorder="1" applyAlignment="1">
      <alignment horizontal="right" vertical="center"/>
    </xf>
    <xf numFmtId="4" fontId="44" fillId="0" borderId="8" xfId="0" applyNumberFormat="1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4" fontId="44" fillId="0" borderId="1" xfId="0" applyNumberFormat="1" applyFont="1" applyBorder="1" applyAlignment="1">
      <alignment vertical="center"/>
    </xf>
    <xf numFmtId="4" fontId="42" fillId="0" borderId="1" xfId="0" applyNumberFormat="1" applyFont="1" applyBorder="1" applyAlignment="1">
      <alignment vertical="center"/>
    </xf>
    <xf numFmtId="4" fontId="17" fillId="0" borderId="8" xfId="0" applyNumberFormat="1" applyFont="1" applyBorder="1"/>
    <xf numFmtId="4" fontId="17" fillId="0" borderId="12" xfId="0" applyNumberFormat="1" applyFont="1" applyBorder="1"/>
    <xf numFmtId="0" fontId="17" fillId="0" borderId="2" xfId="0" applyFont="1" applyBorder="1"/>
    <xf numFmtId="4" fontId="42" fillId="0" borderId="1" xfId="0" applyNumberFormat="1" applyFont="1" applyBorder="1"/>
    <xf numFmtId="0" fontId="25" fillId="0" borderId="29" xfId="0" applyFont="1" applyBorder="1" applyAlignment="1"/>
    <xf numFmtId="0" fontId="25" fillId="0" borderId="6" xfId="0" applyFont="1" applyBorder="1" applyAlignment="1"/>
    <xf numFmtId="0" fontId="25" fillId="0" borderId="39" xfId="0" applyFont="1" applyBorder="1" applyAlignment="1"/>
    <xf numFmtId="0" fontId="23" fillId="0" borderId="1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86" fillId="0" borderId="0" xfId="0" applyFont="1"/>
    <xf numFmtId="0" fontId="0" fillId="0" borderId="0" xfId="0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2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37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right"/>
    </xf>
    <xf numFmtId="0" fontId="21" fillId="2" borderId="1" xfId="0" applyFont="1" applyFill="1" applyBorder="1" applyAlignment="1">
      <alignment horizontal="center" vertical="top" wrapText="1"/>
    </xf>
    <xf numFmtId="2" fontId="47" fillId="0" borderId="37" xfId="0" applyNumberFormat="1" applyFont="1" applyFill="1" applyBorder="1" applyAlignment="1"/>
    <xf numFmtId="2" fontId="47" fillId="0" borderId="0" xfId="0" applyNumberFormat="1" applyFont="1" applyFill="1" applyBorder="1" applyAlignment="1"/>
    <xf numFmtId="0" fontId="2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5" fillId="0" borderId="1" xfId="0" applyFont="1" applyBorder="1" applyAlignment="1"/>
    <xf numFmtId="0" fontId="25" fillId="0" borderId="4" xfId="0" applyFont="1" applyBorder="1" applyAlignment="1"/>
    <xf numFmtId="0" fontId="0" fillId="0" borderId="4" xfId="0" applyBorder="1" applyAlignment="1"/>
    <xf numFmtId="0" fontId="4" fillId="0" borderId="0" xfId="0" applyFont="1" applyBorder="1" applyAlignment="1">
      <alignment vertical="center" wrapText="1"/>
    </xf>
    <xf numFmtId="10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23" fillId="10" borderId="12" xfId="0" applyFont="1" applyFill="1" applyBorder="1" applyAlignment="1">
      <alignment horizontal="right" vertical="center" wrapText="1"/>
    </xf>
    <xf numFmtId="0" fontId="23" fillId="10" borderId="17" xfId="0" applyFont="1" applyFill="1" applyBorder="1" applyAlignment="1">
      <alignment horizontal="right" vertical="center" wrapText="1"/>
    </xf>
    <xf numFmtId="2" fontId="34" fillId="10" borderId="1" xfId="0" applyNumberFormat="1" applyFont="1" applyFill="1" applyBorder="1" applyAlignment="1">
      <alignment horizontal="right"/>
    </xf>
    <xf numFmtId="2" fontId="3" fillId="10" borderId="1" xfId="0" applyNumberFormat="1" applyFont="1" applyFill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15" fillId="0" borderId="39" xfId="0" applyFont="1" applyBorder="1" applyAlignment="1"/>
    <xf numFmtId="0" fontId="37" fillId="0" borderId="0" xfId="0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4" fontId="9" fillId="0" borderId="0" xfId="0" applyNumberFormat="1" applyFont="1" applyBorder="1" applyAlignment="1">
      <alignment vertical="center" wrapText="1"/>
    </xf>
    <xf numFmtId="4" fontId="76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/>
    </xf>
    <xf numFmtId="0" fontId="21" fillId="3" borderId="4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4" fontId="9" fillId="3" borderId="8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vertical="top" wrapText="1"/>
    </xf>
    <xf numFmtId="2" fontId="67" fillId="2" borderId="1" xfId="0" applyNumberFormat="1" applyFont="1" applyFill="1" applyBorder="1" applyAlignment="1">
      <alignment horizontal="right"/>
    </xf>
    <xf numFmtId="4" fontId="67" fillId="2" borderId="1" xfId="0" applyNumberFormat="1" applyFont="1" applyFill="1" applyBorder="1" applyAlignment="1">
      <alignment horizontal="right" vertical="top"/>
    </xf>
    <xf numFmtId="2" fontId="4" fillId="2" borderId="8" xfId="0" applyNumberFormat="1" applyFont="1" applyFill="1" applyBorder="1" applyAlignment="1">
      <alignment horizontal="right"/>
    </xf>
    <xf numFmtId="0" fontId="72" fillId="0" borderId="37" xfId="0" applyFont="1" applyBorder="1" applyAlignment="1"/>
    <xf numFmtId="2" fontId="76" fillId="0" borderId="1" xfId="0" applyNumberFormat="1" applyFont="1" applyBorder="1" applyAlignment="1">
      <alignment horizontal="right"/>
    </xf>
    <xf numFmtId="0" fontId="73" fillId="0" borderId="0" xfId="0" applyFont="1" applyAlignment="1"/>
    <xf numFmtId="0" fontId="34" fillId="0" borderId="1" xfId="0" applyFont="1" applyBorder="1" applyAlignment="1"/>
    <xf numFmtId="0" fontId="46" fillId="0" borderId="37" xfId="0" applyFont="1" applyBorder="1" applyAlignment="1"/>
    <xf numFmtId="0" fontId="89" fillId="0" borderId="0" xfId="0" applyFont="1" applyAlignment="1"/>
    <xf numFmtId="4" fontId="76" fillId="0" borderId="1" xfId="0" applyNumberFormat="1" applyFont="1" applyBorder="1" applyAlignment="1">
      <alignment horizontal="right" wrapText="1"/>
    </xf>
    <xf numFmtId="4" fontId="76" fillId="2" borderId="1" xfId="0" applyNumberFormat="1" applyFont="1" applyFill="1" applyBorder="1" applyAlignment="1">
      <alignment horizontal="right" vertical="center" wrapText="1"/>
    </xf>
    <xf numFmtId="4" fontId="76" fillId="6" borderId="1" xfId="0" applyNumberFormat="1" applyFont="1" applyFill="1" applyBorder="1" applyAlignment="1">
      <alignment horizontal="right" vertical="center" wrapText="1"/>
    </xf>
    <xf numFmtId="4" fontId="76" fillId="10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center" vertical="top" wrapText="1"/>
    </xf>
    <xf numFmtId="0" fontId="76" fillId="0" borderId="1" xfId="0" applyFont="1" applyBorder="1" applyAlignment="1"/>
    <xf numFmtId="4" fontId="34" fillId="0" borderId="1" xfId="0" applyNumberFormat="1" applyFont="1" applyBorder="1" applyAlignment="1"/>
    <xf numFmtId="4" fontId="76" fillId="0" borderId="1" xfId="0" applyNumberFormat="1" applyFont="1" applyBorder="1" applyAlignment="1"/>
    <xf numFmtId="0" fontId="23" fillId="2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4" fontId="76" fillId="0" borderId="1" xfId="0" applyNumberFormat="1" applyFont="1" applyFill="1" applyBorder="1" applyAlignment="1">
      <alignment horizontal="right"/>
    </xf>
    <xf numFmtId="4" fontId="67" fillId="0" borderId="1" xfId="0" applyNumberFormat="1" applyFont="1" applyBorder="1" applyAlignment="1">
      <alignment horizontal="right" wrapText="1"/>
    </xf>
    <xf numFmtId="4" fontId="67" fillId="0" borderId="1" xfId="0" applyNumberFormat="1" applyFont="1" applyFill="1" applyBorder="1" applyAlignment="1">
      <alignment horizontal="right"/>
    </xf>
    <xf numFmtId="0" fontId="2" fillId="0" borderId="0" xfId="0" applyFont="1" applyAlignment="1"/>
    <xf numFmtId="4" fontId="2" fillId="2" borderId="2" xfId="0" applyNumberFormat="1" applyFont="1" applyFill="1" applyBorder="1" applyAlignment="1">
      <alignment horizontal="right"/>
    </xf>
    <xf numFmtId="0" fontId="21" fillId="0" borderId="1" xfId="0" applyFont="1" applyBorder="1" applyAlignment="1">
      <alignment horizontal="center" vertical="top" wrapText="1"/>
    </xf>
    <xf numFmtId="4" fontId="90" fillId="0" borderId="1" xfId="0" applyNumberFormat="1" applyFont="1" applyBorder="1" applyAlignment="1"/>
    <xf numFmtId="4" fontId="67" fillId="2" borderId="1" xfId="0" applyNumberFormat="1" applyFont="1" applyFill="1" applyBorder="1" applyAlignment="1">
      <alignment horizontal="right"/>
    </xf>
    <xf numFmtId="4" fontId="67" fillId="0" borderId="1" xfId="0" applyNumberFormat="1" applyFont="1" applyFill="1" applyBorder="1" applyAlignment="1">
      <alignment horizontal="right" vertical="top"/>
    </xf>
    <xf numFmtId="4" fontId="34" fillId="2" borderId="2" xfId="0" applyNumberFormat="1" applyFont="1" applyFill="1" applyBorder="1" applyAlignment="1">
      <alignment horizontal="right" wrapText="1"/>
    </xf>
    <xf numFmtId="4" fontId="2" fillId="2" borderId="8" xfId="0" applyNumberFormat="1" applyFont="1" applyFill="1" applyBorder="1" applyAlignment="1">
      <alignment horizontal="right" vertical="top" wrapText="1"/>
    </xf>
    <xf numFmtId="2" fontId="8" fillId="2" borderId="1" xfId="0" applyNumberFormat="1" applyFont="1" applyFill="1" applyBorder="1" applyAlignment="1">
      <alignment horizontal="left"/>
    </xf>
    <xf numFmtId="4" fontId="8" fillId="2" borderId="1" xfId="0" applyNumberFormat="1" applyFont="1" applyFill="1" applyBorder="1" applyAlignment="1">
      <alignment horizontal="left"/>
    </xf>
    <xf numFmtId="0" fontId="23" fillId="2" borderId="4" xfId="0" applyFont="1" applyFill="1" applyBorder="1" applyAlignment="1">
      <alignment horizontal="center" vertical="top" wrapText="1"/>
    </xf>
    <xf numFmtId="4" fontId="67" fillId="0" borderId="1" xfId="0" applyNumberFormat="1" applyFont="1" applyBorder="1" applyAlignment="1">
      <alignment horizontal="right"/>
    </xf>
    <xf numFmtId="4" fontId="25" fillId="0" borderId="1" xfId="0" applyNumberFormat="1" applyFont="1" applyBorder="1" applyAlignment="1">
      <alignment horizontal="right" wrapText="1"/>
    </xf>
    <xf numFmtId="4" fontId="28" fillId="2" borderId="1" xfId="0" applyNumberFormat="1" applyFont="1" applyFill="1" applyBorder="1" applyAlignment="1">
      <alignment horizontal="right" wrapText="1"/>
    </xf>
    <xf numFmtId="4" fontId="28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top"/>
    </xf>
    <xf numFmtId="0" fontId="5" fillId="0" borderId="0" xfId="0" applyFont="1" applyBorder="1" applyAlignment="1"/>
    <xf numFmtId="4" fontId="28" fillId="0" borderId="3" xfId="0" applyNumberFormat="1" applyFont="1" applyBorder="1" applyAlignment="1">
      <alignment horizontal="right" vertical="top" wrapText="1"/>
    </xf>
    <xf numFmtId="0" fontId="30" fillId="0" borderId="1" xfId="0" applyFont="1" applyBorder="1" applyAlignment="1">
      <alignment horizontal="right" vertical="center" wrapText="1"/>
    </xf>
    <xf numFmtId="4" fontId="28" fillId="0" borderId="3" xfId="0" applyNumberFormat="1" applyFont="1" applyBorder="1" applyAlignment="1">
      <alignment horizontal="right" vertical="center" wrapText="1"/>
    </xf>
    <xf numFmtId="0" fontId="34" fillId="2" borderId="8" xfId="0" applyFont="1" applyFill="1" applyBorder="1" applyAlignment="1">
      <alignment horizontal="right" vertical="top" wrapText="1"/>
    </xf>
    <xf numFmtId="2" fontId="34" fillId="2" borderId="12" xfId="0" applyNumberFormat="1" applyFont="1" applyFill="1" applyBorder="1" applyAlignment="1">
      <alignment horizontal="right"/>
    </xf>
    <xf numFmtId="4" fontId="9" fillId="2" borderId="8" xfId="0" applyNumberFormat="1" applyFont="1" applyFill="1" applyBorder="1" applyAlignment="1">
      <alignment horizontal="right"/>
    </xf>
    <xf numFmtId="165" fontId="9" fillId="3" borderId="8" xfId="0" applyNumberFormat="1" applyFont="1" applyFill="1" applyBorder="1" applyAlignment="1">
      <alignment horizontal="right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2" borderId="39" xfId="0" applyFill="1" applyBorder="1" applyAlignment="1"/>
    <xf numFmtId="0" fontId="25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4" fontId="25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4" fontId="8" fillId="0" borderId="0" xfId="0" applyNumberFormat="1" applyFont="1" applyBorder="1" applyAlignment="1">
      <alignment vertical="center" wrapText="1"/>
    </xf>
    <xf numFmtId="4" fontId="76" fillId="0" borderId="0" xfId="0" applyNumberFormat="1" applyFont="1" applyBorder="1" applyAlignment="1">
      <alignment horizontal="right" vertical="center" wrapText="1"/>
    </xf>
    <xf numFmtId="4" fontId="8" fillId="0" borderId="37" xfId="0" applyNumberFormat="1" applyFont="1" applyBorder="1" applyAlignment="1">
      <alignment vertical="center" wrapText="1"/>
    </xf>
    <xf numFmtId="0" fontId="0" fillId="3" borderId="1" xfId="0" applyFill="1" applyBorder="1" applyAlignment="1"/>
    <xf numFmtId="4" fontId="25" fillId="0" borderId="1" xfId="0" applyNumberFormat="1" applyFont="1" applyBorder="1" applyAlignment="1">
      <alignment vertical="center" wrapText="1"/>
    </xf>
    <xf numFmtId="0" fontId="25" fillId="0" borderId="1" xfId="0" applyNumberFormat="1" applyFont="1" applyBorder="1" applyAlignment="1">
      <alignment vertical="center" wrapText="1"/>
    </xf>
    <xf numFmtId="4" fontId="0" fillId="0" borderId="1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right"/>
    </xf>
    <xf numFmtId="0" fontId="21" fillId="2" borderId="1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21" fillId="0" borderId="0" xfId="0" applyNumberFormat="1" applyFont="1" applyBorder="1" applyAlignment="1">
      <alignment vertical="top" wrapText="1"/>
    </xf>
    <xf numFmtId="0" fontId="2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43" fillId="3" borderId="8" xfId="0" applyFont="1" applyFill="1" applyBorder="1" applyAlignment="1">
      <alignment horizontal="right" vertical="top" wrapText="1"/>
    </xf>
    <xf numFmtId="0" fontId="43" fillId="3" borderId="4" xfId="0" applyFont="1" applyFill="1" applyBorder="1" applyAlignment="1">
      <alignment horizontal="right" vertical="top" wrapText="1"/>
    </xf>
    <xf numFmtId="2" fontId="34" fillId="3" borderId="1" xfId="0" applyNumberFormat="1" applyFont="1" applyFill="1" applyBorder="1" applyAlignment="1">
      <alignment horizontal="right"/>
    </xf>
    <xf numFmtId="2" fontId="34" fillId="3" borderId="2" xfId="0" applyNumberFormat="1" applyFont="1" applyFill="1" applyBorder="1" applyAlignment="1">
      <alignment horizontal="right"/>
    </xf>
    <xf numFmtId="2" fontId="76" fillId="3" borderId="1" xfId="0" applyNumberFormat="1" applyFont="1" applyFill="1" applyBorder="1" applyAlignment="1">
      <alignment horizontal="right"/>
    </xf>
    <xf numFmtId="0" fontId="76" fillId="0" borderId="1" xfId="0" applyFont="1" applyFill="1" applyBorder="1" applyAlignment="1">
      <alignment horizontal="right"/>
    </xf>
    <xf numFmtId="0" fontId="67" fillId="0" borderId="1" xfId="0" applyFont="1" applyBorder="1" applyAlignment="1">
      <alignment horizontal="right"/>
    </xf>
    <xf numFmtId="0" fontId="76" fillId="0" borderId="1" xfId="0" applyFont="1" applyBorder="1" applyAlignment="1">
      <alignment horizontal="right"/>
    </xf>
    <xf numFmtId="0" fontId="84" fillId="0" borderId="0" xfId="0" applyFont="1" applyBorder="1" applyAlignment="1"/>
    <xf numFmtId="2" fontId="25" fillId="0" borderId="0" xfId="0" applyNumberFormat="1" applyFont="1" applyBorder="1" applyAlignment="1"/>
    <xf numFmtId="0" fontId="25" fillId="0" borderId="1" xfId="0" applyFont="1" applyBorder="1" applyAlignment="1">
      <alignment vertical="top" wrapText="1"/>
    </xf>
    <xf numFmtId="0" fontId="25" fillId="0" borderId="1" xfId="0" applyFont="1" applyBorder="1" applyAlignment="1">
      <alignment vertical="top"/>
    </xf>
    <xf numFmtId="0" fontId="21" fillId="0" borderId="1" xfId="0" applyFont="1" applyBorder="1" applyAlignment="1">
      <alignment horizontal="right" vertical="top" wrapText="1"/>
    </xf>
    <xf numFmtId="0" fontId="35" fillId="0" borderId="0" xfId="0" applyFont="1" applyAlignment="1">
      <alignment horizontal="right"/>
    </xf>
    <xf numFmtId="4" fontId="71" fillId="2" borderId="1" xfId="0" applyNumberFormat="1" applyFont="1" applyFill="1" applyBorder="1" applyAlignment="1">
      <alignment horizontal="right"/>
    </xf>
    <xf numFmtId="0" fontId="0" fillId="0" borderId="29" xfId="0" applyBorder="1" applyAlignment="1">
      <alignment vertical="top" wrapText="1"/>
    </xf>
    <xf numFmtId="0" fontId="0" fillId="2" borderId="1" xfId="0" applyFill="1" applyBorder="1" applyAlignment="1">
      <alignment horizontal="right"/>
    </xf>
    <xf numFmtId="4" fontId="56" fillId="2" borderId="1" xfId="0" applyNumberFormat="1" applyFont="1" applyFill="1" applyBorder="1" applyAlignment="1">
      <alignment horizontal="right"/>
    </xf>
    <xf numFmtId="0" fontId="9" fillId="9" borderId="1" xfId="0" applyFont="1" applyFill="1" applyBorder="1" applyAlignment="1">
      <alignment horizontal="right"/>
    </xf>
    <xf numFmtId="0" fontId="9" fillId="9" borderId="1" xfId="0" applyFont="1" applyFill="1" applyBorder="1" applyAlignment="1">
      <alignment horizontal="left"/>
    </xf>
    <xf numFmtId="0" fontId="51" fillId="2" borderId="1" xfId="0" applyFont="1" applyFill="1" applyBorder="1" applyAlignment="1">
      <alignment horizontal="center"/>
    </xf>
    <xf numFmtId="2" fontId="17" fillId="2" borderId="1" xfId="0" applyNumberFormat="1" applyFont="1" applyFill="1" applyBorder="1"/>
    <xf numFmtId="0" fontId="0" fillId="0" borderId="2" xfId="0" applyBorder="1"/>
    <xf numFmtId="0" fontId="4" fillId="2" borderId="2" xfId="0" applyFont="1" applyFill="1" applyBorder="1" applyAlignment="1">
      <alignment horizontal="left"/>
    </xf>
    <xf numFmtId="0" fontId="0" fillId="0" borderId="2" xfId="0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25" fillId="0" borderId="2" xfId="0" applyNumberFormat="1" applyFont="1" applyBorder="1" applyAlignment="1">
      <alignment horizontal="right"/>
    </xf>
    <xf numFmtId="4" fontId="56" fillId="0" borderId="2" xfId="0" applyNumberFormat="1" applyFont="1" applyBorder="1" applyAlignment="1">
      <alignment horizontal="right"/>
    </xf>
    <xf numFmtId="0" fontId="25" fillId="6" borderId="1" xfId="0" applyFont="1" applyFill="1" applyBorder="1"/>
    <xf numFmtId="0" fontId="24" fillId="6" borderId="1" xfId="0" applyFont="1" applyFill="1" applyBorder="1" applyAlignment="1">
      <alignment horizontal="right"/>
    </xf>
    <xf numFmtId="0" fontId="53" fillId="6" borderId="1" xfId="0" applyFont="1" applyFill="1" applyBorder="1" applyAlignment="1">
      <alignment horizontal="right"/>
    </xf>
    <xf numFmtId="0" fontId="87" fillId="6" borderId="1" xfId="0" applyFont="1" applyFill="1" applyBorder="1" applyAlignment="1">
      <alignment horizontal="right"/>
    </xf>
    <xf numFmtId="2" fontId="88" fillId="6" borderId="1" xfId="0" applyNumberFormat="1" applyFont="1" applyFill="1" applyBorder="1" applyAlignment="1">
      <alignment horizontal="right"/>
    </xf>
    <xf numFmtId="0" fontId="88" fillId="6" borderId="1" xfId="0" applyFont="1" applyFill="1" applyBorder="1" applyAlignment="1">
      <alignment horizontal="right"/>
    </xf>
    <xf numFmtId="0" fontId="0" fillId="6" borderId="1" xfId="0" applyFill="1" applyBorder="1"/>
    <xf numFmtId="2" fontId="35" fillId="6" borderId="1" xfId="0" applyNumberFormat="1" applyFont="1" applyFill="1" applyBorder="1" applyAlignment="1">
      <alignment horizontal="right"/>
    </xf>
    <xf numFmtId="0" fontId="14" fillId="6" borderId="1" xfId="0" applyFon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2" fontId="58" fillId="2" borderId="1" xfId="0" applyNumberFormat="1" applyFont="1" applyFill="1" applyBorder="1" applyAlignment="1">
      <alignment horizontal="right"/>
    </xf>
    <xf numFmtId="2" fontId="57" fillId="2" borderId="1" xfId="0" applyNumberFormat="1" applyFont="1" applyFill="1" applyBorder="1" applyAlignment="1">
      <alignment horizontal="right"/>
    </xf>
    <xf numFmtId="0" fontId="35" fillId="0" borderId="0" xfId="0" applyFont="1" applyAlignment="1"/>
    <xf numFmtId="0" fontId="0" fillId="11" borderId="1" xfId="0" applyFont="1" applyFill="1" applyBorder="1" applyAlignment="1">
      <alignment horizontal="center"/>
    </xf>
    <xf numFmtId="0" fontId="51" fillId="11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left" wrapText="1"/>
    </xf>
    <xf numFmtId="0" fontId="9" fillId="11" borderId="1" xfId="0" applyFont="1" applyFill="1" applyBorder="1" applyAlignment="1">
      <alignment horizontal="right"/>
    </xf>
    <xf numFmtId="2" fontId="9" fillId="11" borderId="1" xfId="0" applyNumberFormat="1" applyFont="1" applyFill="1" applyBorder="1" applyAlignment="1">
      <alignment horizontal="right"/>
    </xf>
    <xf numFmtId="0" fontId="0" fillId="11" borderId="1" xfId="0" applyFont="1" applyFill="1" applyBorder="1" applyAlignment="1">
      <alignment horizontal="right"/>
    </xf>
    <xf numFmtId="4" fontId="9" fillId="11" borderId="1" xfId="0" applyNumberFormat="1" applyFont="1" applyFill="1" applyBorder="1" applyAlignment="1">
      <alignment horizontal="right"/>
    </xf>
    <xf numFmtId="4" fontId="9" fillId="11" borderId="1" xfId="0" applyNumberFormat="1" applyFont="1" applyFill="1" applyBorder="1" applyAlignment="1">
      <alignment horizontal="right" vertical="center" wrapText="1"/>
    </xf>
    <xf numFmtId="4" fontId="44" fillId="11" borderId="1" xfId="0" applyNumberFormat="1" applyFont="1" applyFill="1" applyBorder="1" applyAlignment="1">
      <alignment horizontal="right"/>
    </xf>
    <xf numFmtId="4" fontId="44" fillId="11" borderId="1" xfId="0" applyNumberFormat="1" applyFont="1" applyFill="1" applyBorder="1" applyAlignment="1"/>
    <xf numFmtId="4" fontId="44" fillId="11" borderId="1" xfId="0" applyNumberFormat="1" applyFont="1" applyFill="1" applyBorder="1"/>
    <xf numFmtId="2" fontId="67" fillId="0" borderId="1" xfId="0" applyNumberFormat="1" applyFont="1" applyBorder="1" applyAlignment="1">
      <alignment horizontal="right"/>
    </xf>
    <xf numFmtId="4" fontId="25" fillId="2" borderId="1" xfId="0" applyNumberFormat="1" applyFont="1" applyFill="1" applyBorder="1" applyAlignment="1">
      <alignment horizontal="right"/>
    </xf>
    <xf numFmtId="4" fontId="71" fillId="0" borderId="1" xfId="0" applyNumberFormat="1" applyFont="1" applyBorder="1"/>
    <xf numFmtId="0" fontId="27" fillId="0" borderId="0" xfId="0" applyFont="1" applyAlignment="1">
      <alignment horizontal="center" wrapText="1"/>
    </xf>
    <xf numFmtId="4" fontId="34" fillId="2" borderId="1" xfId="0" applyNumberFormat="1" applyFont="1" applyFill="1" applyBorder="1" applyAlignment="1"/>
    <xf numFmtId="4" fontId="76" fillId="2" borderId="1" xfId="0" applyNumberFormat="1" applyFont="1" applyFill="1" applyBorder="1" applyAlignment="1"/>
    <xf numFmtId="0" fontId="34" fillId="3" borderId="1" xfId="0" applyFont="1" applyFill="1" applyBorder="1" applyAlignment="1">
      <alignment horizontal="left"/>
    </xf>
    <xf numFmtId="4" fontId="79" fillId="0" borderId="0" xfId="0" applyNumberFormat="1" applyFont="1" applyAlignment="1">
      <alignment horizontal="right"/>
    </xf>
    <xf numFmtId="0" fontId="10" fillId="7" borderId="1" xfId="0" applyFont="1" applyFill="1" applyBorder="1" applyAlignment="1">
      <alignment horizontal="center"/>
    </xf>
    <xf numFmtId="14" fontId="47" fillId="7" borderId="1" xfId="0" applyNumberFormat="1" applyFont="1" applyFill="1" applyBorder="1" applyAlignment="1">
      <alignment horizontal="center"/>
    </xf>
    <xf numFmtId="0" fontId="34" fillId="7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0" fontId="47" fillId="2" borderId="2" xfId="0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 vertical="center"/>
    </xf>
    <xf numFmtId="2" fontId="66" fillId="2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/>
    </xf>
    <xf numFmtId="4" fontId="58" fillId="0" borderId="0" xfId="0" applyNumberFormat="1" applyFont="1" applyAlignment="1">
      <alignment horizontal="right"/>
    </xf>
    <xf numFmtId="0" fontId="82" fillId="6" borderId="0" xfId="0" applyFont="1" applyFill="1" applyBorder="1" applyAlignment="1">
      <alignment horizontal="left"/>
    </xf>
    <xf numFmtId="0" fontId="46" fillId="6" borderId="0" xfId="0" applyFont="1" applyFill="1" applyAlignment="1">
      <alignment horizontal="right"/>
    </xf>
    <xf numFmtId="0" fontId="46" fillId="6" borderId="0" xfId="0" applyFont="1" applyFill="1" applyAlignment="1"/>
    <xf numFmtId="2" fontId="58" fillId="6" borderId="0" xfId="0" applyNumberFormat="1" applyFont="1" applyFill="1" applyAlignment="1"/>
    <xf numFmtId="0" fontId="82" fillId="6" borderId="0" xfId="0" applyFont="1" applyFill="1" applyAlignment="1">
      <alignment horizontal="left"/>
    </xf>
    <xf numFmtId="0" fontId="72" fillId="6" borderId="0" xfId="0" applyFont="1" applyFill="1" applyAlignment="1"/>
    <xf numFmtId="2" fontId="25" fillId="0" borderId="0" xfId="0" applyNumberFormat="1" applyFont="1" applyAlignment="1">
      <alignment horizontal="right"/>
    </xf>
    <xf numFmtId="4" fontId="67" fillId="0" borderId="1" xfId="0" applyNumberFormat="1" applyFont="1" applyFill="1" applyBorder="1" applyAlignment="1">
      <alignment horizontal="right" wrapText="1"/>
    </xf>
    <xf numFmtId="4" fontId="67" fillId="0" borderId="1" xfId="0" applyNumberFormat="1" applyFont="1" applyFill="1" applyBorder="1" applyAlignment="1">
      <alignment horizontal="right" vertical="top" wrapText="1"/>
    </xf>
    <xf numFmtId="4" fontId="67" fillId="0" borderId="3" xfId="0" applyNumberFormat="1" applyFont="1" applyFill="1" applyBorder="1" applyAlignment="1">
      <alignment horizontal="right" wrapText="1"/>
    </xf>
    <xf numFmtId="2" fontId="0" fillId="0" borderId="0" xfId="0" applyNumberFormat="1" applyAlignment="1"/>
    <xf numFmtId="2" fontId="25" fillId="0" borderId="1" xfId="0" applyNumberFormat="1" applyFont="1" applyBorder="1" applyAlignment="1">
      <alignment horizontal="right" vertical="top" wrapText="1"/>
    </xf>
    <xf numFmtId="4" fontId="67" fillId="0" borderId="1" xfId="0" applyNumberFormat="1" applyFont="1" applyFill="1" applyBorder="1" applyAlignment="1">
      <alignment horizontal="right" vertical="center"/>
    </xf>
    <xf numFmtId="1" fontId="8" fillId="3" borderId="12" xfId="0" applyNumberFormat="1" applyFont="1" applyFill="1" applyBorder="1" applyAlignment="1">
      <alignment horizontal="right" vertical="top" wrapText="1"/>
    </xf>
    <xf numFmtId="1" fontId="8" fillId="3" borderId="17" xfId="0" applyNumberFormat="1" applyFont="1" applyFill="1" applyBorder="1" applyAlignment="1">
      <alignment horizontal="right" vertical="top" wrapText="1"/>
    </xf>
    <xf numFmtId="0" fontId="30" fillId="3" borderId="1" xfId="0" applyFont="1" applyFill="1" applyBorder="1" applyAlignment="1">
      <alignment horizontal="right"/>
    </xf>
    <xf numFmtId="4" fontId="2" fillId="2" borderId="1" xfId="0" applyNumberFormat="1" applyFont="1" applyFill="1" applyBorder="1" applyAlignment="1"/>
    <xf numFmtId="0" fontId="2" fillId="0" borderId="0" xfId="0" applyFont="1" applyAlignment="1">
      <alignment horizontal="right"/>
    </xf>
    <xf numFmtId="4" fontId="4" fillId="2" borderId="1" xfId="0" applyNumberFormat="1" applyFont="1" applyFill="1" applyBorder="1" applyAlignment="1"/>
    <xf numFmtId="4" fontId="47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10" borderId="12" xfId="0" applyFont="1" applyFill="1" applyBorder="1" applyAlignment="1">
      <alignment horizontal="right" vertical="top" wrapText="1"/>
    </xf>
    <xf numFmtId="0" fontId="8" fillId="10" borderId="17" xfId="0" applyFont="1" applyFill="1" applyBorder="1" applyAlignment="1">
      <alignment horizontal="right" vertical="top" wrapText="1"/>
    </xf>
    <xf numFmtId="0" fontId="34" fillId="10" borderId="8" xfId="0" applyFont="1" applyFill="1" applyBorder="1" applyAlignment="1">
      <alignment horizontal="right" wrapText="1"/>
    </xf>
    <xf numFmtId="2" fontId="34" fillId="10" borderId="8" xfId="0" applyNumberFormat="1" applyFont="1" applyFill="1" applyBorder="1" applyAlignment="1">
      <alignment horizontal="right"/>
    </xf>
    <xf numFmtId="2" fontId="34" fillId="10" borderId="2" xfId="0" applyNumberFormat="1" applyFont="1" applyFill="1" applyBorder="1" applyAlignment="1">
      <alignment horizontal="right"/>
    </xf>
    <xf numFmtId="2" fontId="30" fillId="10" borderId="1" xfId="0" applyNumberFormat="1" applyFont="1" applyFill="1" applyBorder="1" applyAlignment="1">
      <alignment horizontal="right"/>
    </xf>
    <xf numFmtId="4" fontId="67" fillId="6" borderId="1" xfId="0" applyNumberFormat="1" applyFont="1" applyFill="1" applyBorder="1" applyAlignment="1">
      <alignment horizontal="right"/>
    </xf>
    <xf numFmtId="2" fontId="76" fillId="6" borderId="1" xfId="0" applyNumberFormat="1" applyFont="1" applyFill="1" applyBorder="1" applyAlignment="1">
      <alignment horizontal="right"/>
    </xf>
    <xf numFmtId="2" fontId="25" fillId="0" borderId="0" xfId="0" applyNumberFormat="1" applyFont="1" applyBorder="1"/>
    <xf numFmtId="4" fontId="67" fillId="2" borderId="3" xfId="0" applyNumberFormat="1" applyFont="1" applyFill="1" applyBorder="1" applyAlignment="1">
      <alignment horizontal="right" vertical="top" wrapText="1"/>
    </xf>
    <xf numFmtId="4" fontId="25" fillId="2" borderId="3" xfId="0" quotePrefix="1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center" vertical="top" wrapText="1"/>
    </xf>
    <xf numFmtId="0" fontId="8" fillId="10" borderId="4" xfId="0" applyFont="1" applyFill="1" applyBorder="1" applyAlignment="1">
      <alignment horizontal="center" vertical="top" wrapText="1"/>
    </xf>
    <xf numFmtId="4" fontId="34" fillId="10" borderId="1" xfId="0" applyNumberFormat="1" applyFont="1" applyFill="1" applyBorder="1" applyAlignment="1">
      <alignment horizontal="center" vertical="top" wrapText="1"/>
    </xf>
    <xf numFmtId="0" fontId="34" fillId="10" borderId="8" xfId="0" applyFont="1" applyFill="1" applyBorder="1" applyAlignment="1">
      <alignment horizontal="center" vertical="top" wrapText="1"/>
    </xf>
    <xf numFmtId="2" fontId="34" fillId="10" borderId="8" xfId="0" applyNumberFormat="1" applyFont="1" applyFill="1" applyBorder="1" applyAlignment="1">
      <alignment horizontal="center"/>
    </xf>
    <xf numFmtId="2" fontId="34" fillId="10" borderId="12" xfId="0" applyNumberFormat="1" applyFont="1" applyFill="1" applyBorder="1" applyAlignment="1">
      <alignment horizontal="center"/>
    </xf>
    <xf numFmtId="2" fontId="9" fillId="10" borderId="8" xfId="0" applyNumberFormat="1" applyFont="1" applyFill="1" applyBorder="1" applyAlignment="1">
      <alignment horizontal="center"/>
    </xf>
    <xf numFmtId="2" fontId="9" fillId="10" borderId="12" xfId="0" applyNumberFormat="1" applyFont="1" applyFill="1" applyBorder="1" applyAlignment="1">
      <alignment horizontal="center"/>
    </xf>
    <xf numFmtId="2" fontId="43" fillId="10" borderId="1" xfId="0" applyNumberFormat="1" applyFont="1" applyFill="1" applyBorder="1" applyAlignment="1">
      <alignment horizontal="center"/>
    </xf>
    <xf numFmtId="4" fontId="0" fillId="2" borderId="8" xfId="0" applyNumberFormat="1" applyFont="1" applyFill="1" applyBorder="1" applyAlignment="1">
      <alignment horizontal="right" wrapText="1"/>
    </xf>
    <xf numFmtId="4" fontId="0" fillId="2" borderId="6" xfId="0" applyNumberFormat="1" applyFont="1" applyFill="1" applyBorder="1" applyAlignment="1">
      <alignment horizontal="right" wrapText="1"/>
    </xf>
    <xf numFmtId="4" fontId="28" fillId="2" borderId="8" xfId="0" applyNumberFormat="1" applyFont="1" applyFill="1" applyBorder="1" applyAlignment="1">
      <alignment horizontal="right" wrapText="1"/>
    </xf>
    <xf numFmtId="4" fontId="28" fillId="2" borderId="6" xfId="0" applyNumberFormat="1" applyFont="1" applyFill="1" applyBorder="1" applyAlignment="1">
      <alignment horizontal="right" wrapText="1"/>
    </xf>
    <xf numFmtId="4" fontId="28" fillId="2" borderId="12" xfId="0" applyNumberFormat="1" applyFont="1" applyFill="1" applyBorder="1" applyAlignment="1">
      <alignment horizontal="right" wrapText="1"/>
    </xf>
    <xf numFmtId="4" fontId="28" fillId="2" borderId="2" xfId="0" applyNumberFormat="1" applyFont="1" applyFill="1" applyBorder="1" applyAlignment="1">
      <alignment horizontal="right" wrapText="1"/>
    </xf>
    <xf numFmtId="4" fontId="28" fillId="2" borderId="13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2" fontId="76" fillId="0" borderId="1" xfId="0" applyNumberFormat="1" applyFont="1" applyBorder="1" applyAlignment="1">
      <alignment horizontal="center"/>
    </xf>
    <xf numFmtId="2" fontId="55" fillId="0" borderId="0" xfId="0" applyNumberFormat="1" applyFont="1" applyBorder="1" applyAlignment="1"/>
    <xf numFmtId="4" fontId="33" fillId="0" borderId="0" xfId="0" applyNumberFormat="1" applyFont="1" applyAlignment="1"/>
    <xf numFmtId="0" fontId="0" fillId="0" borderId="1" xfId="0" applyFont="1" applyBorder="1" applyAlignment="1"/>
    <xf numFmtId="0" fontId="33" fillId="0" borderId="1" xfId="0" applyFont="1" applyBorder="1" applyAlignment="1"/>
    <xf numFmtId="0" fontId="23" fillId="0" borderId="1" xfId="0" applyFont="1" applyBorder="1" applyAlignment="1">
      <alignment horizontal="center" vertical="top" wrapText="1"/>
    </xf>
    <xf numFmtId="0" fontId="8" fillId="10" borderId="12" xfId="0" applyFont="1" applyFill="1" applyBorder="1" applyAlignment="1">
      <alignment horizontal="center" vertical="top" wrapText="1"/>
    </xf>
    <xf numFmtId="2" fontId="9" fillId="10" borderId="8" xfId="0" applyNumberFormat="1" applyFont="1" applyFill="1" applyBorder="1" applyAlignment="1">
      <alignment horizontal="right"/>
    </xf>
    <xf numFmtId="2" fontId="30" fillId="10" borderId="8" xfId="0" applyNumberFormat="1" applyFont="1" applyFill="1" applyBorder="1" applyAlignment="1">
      <alignment horizontal="right"/>
    </xf>
    <xf numFmtId="4" fontId="4" fillId="2" borderId="8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right"/>
    </xf>
    <xf numFmtId="2" fontId="4" fillId="2" borderId="1" xfId="0" applyNumberFormat="1" applyFont="1" applyFill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4" fontId="9" fillId="2" borderId="2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25" fillId="2" borderId="1" xfId="0" applyFont="1" applyFill="1" applyBorder="1" applyAlignment="1">
      <alignment horizontal="center"/>
    </xf>
    <xf numFmtId="2" fontId="25" fillId="2" borderId="1" xfId="0" applyNumberFormat="1" applyFont="1" applyFill="1" applyBorder="1" applyAlignment="1">
      <alignment horizontal="center"/>
    </xf>
    <xf numFmtId="4" fontId="67" fillId="2" borderId="1" xfId="0" applyNumberFormat="1" applyFont="1" applyFill="1" applyBorder="1" applyAlignment="1">
      <alignment horizontal="center"/>
    </xf>
    <xf numFmtId="0" fontId="33" fillId="0" borderId="1" xfId="0" applyFont="1" applyBorder="1"/>
    <xf numFmtId="0" fontId="8" fillId="6" borderId="12" xfId="0" applyFont="1" applyFill="1" applyBorder="1" applyAlignment="1">
      <alignment horizontal="right" vertical="top"/>
    </xf>
    <xf numFmtId="0" fontId="8" fillId="6" borderId="17" xfId="0" applyFont="1" applyFill="1" applyBorder="1" applyAlignment="1">
      <alignment horizontal="right" vertical="top"/>
    </xf>
    <xf numFmtId="0" fontId="28" fillId="6" borderId="1" xfId="0" applyFont="1" applyFill="1" applyBorder="1" applyAlignment="1">
      <alignment horizontal="right" wrapText="1"/>
    </xf>
    <xf numFmtId="4" fontId="28" fillId="0" borderId="1" xfId="0" applyNumberFormat="1" applyFont="1" applyBorder="1" applyAlignment="1"/>
    <xf numFmtId="4" fontId="67" fillId="0" borderId="1" xfId="0" applyNumberFormat="1" applyFont="1" applyBorder="1" applyAlignment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" fontId="25" fillId="6" borderId="1" xfId="0" applyNumberFormat="1" applyFont="1" applyFill="1" applyBorder="1" applyAlignment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" fontId="76" fillId="2" borderId="8" xfId="0" applyNumberFormat="1" applyFont="1" applyFill="1" applyBorder="1" applyAlignment="1">
      <alignment horizontal="right"/>
    </xf>
    <xf numFmtId="0" fontId="23" fillId="3" borderId="2" xfId="0" applyFont="1" applyFill="1" applyBorder="1" applyAlignment="1">
      <alignment horizontal="center" vertical="top" wrapText="1"/>
    </xf>
    <xf numFmtId="0" fontId="23" fillId="3" borderId="3" xfId="0" applyFont="1" applyFill="1" applyBorder="1" applyAlignment="1">
      <alignment horizontal="center" vertical="top" wrapText="1"/>
    </xf>
    <xf numFmtId="0" fontId="21" fillId="3" borderId="3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2" fontId="34" fillId="0" borderId="1" xfId="0" applyNumberFormat="1" applyFont="1" applyBorder="1" applyAlignment="1"/>
    <xf numFmtId="0" fontId="71" fillId="0" borderId="37" xfId="0" applyFont="1" applyBorder="1" applyAlignment="1"/>
    <xf numFmtId="0" fontId="70" fillId="0" borderId="0" xfId="0" applyFont="1" applyAlignment="1"/>
    <xf numFmtId="4" fontId="34" fillId="3" borderId="1" xfId="0" applyNumberFormat="1" applyFont="1" applyFill="1" applyBorder="1" applyAlignment="1"/>
    <xf numFmtId="4" fontId="76" fillId="3" borderId="1" xfId="0" applyNumberFormat="1" applyFont="1" applyFill="1" applyBorder="1" applyAlignment="1"/>
    <xf numFmtId="2" fontId="34" fillId="3" borderId="1" xfId="0" applyNumberFormat="1" applyFont="1" applyFill="1" applyBorder="1" applyAlignment="1"/>
    <xf numFmtId="0" fontId="76" fillId="3" borderId="1" xfId="0" applyFont="1" applyFill="1" applyBorder="1" applyAlignment="1"/>
    <xf numFmtId="4" fontId="76" fillId="0" borderId="1" xfId="0" applyNumberFormat="1" applyFont="1" applyFill="1" applyBorder="1" applyAlignment="1">
      <alignment horizontal="right" vertical="center" wrapText="1"/>
    </xf>
    <xf numFmtId="0" fontId="61" fillId="0" borderId="0" xfId="0" applyFont="1" applyAlignment="1">
      <alignment horizontal="right"/>
    </xf>
    <xf numFmtId="4" fontId="2" fillId="3" borderId="1" xfId="0" applyNumberFormat="1" applyFont="1" applyFill="1" applyBorder="1" applyAlignment="1"/>
    <xf numFmtId="4" fontId="90" fillId="3" borderId="1" xfId="0" applyNumberFormat="1" applyFont="1" applyFill="1" applyBorder="1" applyAlignment="1"/>
    <xf numFmtId="2" fontId="76" fillId="0" borderId="1" xfId="0" applyNumberFormat="1" applyFont="1" applyFill="1" applyBorder="1" applyAlignment="1">
      <alignment horizontal="right"/>
    </xf>
    <xf numFmtId="4" fontId="2" fillId="12" borderId="1" xfId="0" applyNumberFormat="1" applyFont="1" applyFill="1" applyBorder="1" applyAlignment="1">
      <alignment horizontal="right" vertical="top" wrapText="1"/>
    </xf>
    <xf numFmtId="4" fontId="67" fillId="12" borderId="3" xfId="0" applyNumberFormat="1" applyFont="1" applyFill="1" applyBorder="1" applyAlignment="1">
      <alignment horizontal="right" wrapText="1"/>
    </xf>
    <xf numFmtId="2" fontId="0" fillId="12" borderId="1" xfId="0" applyNumberFormat="1" applyFill="1" applyBorder="1" applyAlignment="1">
      <alignment horizontal="right" vertical="top" wrapText="1"/>
    </xf>
    <xf numFmtId="4" fontId="9" fillId="12" borderId="1" xfId="0" applyNumberFormat="1" applyFont="1" applyFill="1" applyBorder="1" applyAlignment="1">
      <alignment horizontal="right" vertical="top" wrapText="1"/>
    </xf>
    <xf numFmtId="4" fontId="67" fillId="12" borderId="1" xfId="0" applyNumberFormat="1" applyFont="1" applyFill="1" applyBorder="1" applyAlignment="1">
      <alignment horizontal="right" wrapText="1"/>
    </xf>
    <xf numFmtId="4" fontId="34" fillId="2" borderId="1" xfId="0" applyNumberFormat="1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4" fillId="2" borderId="6" xfId="0" applyNumberFormat="1" applyFont="1" applyFill="1" applyBorder="1" applyAlignment="1">
      <alignment horizontal="right"/>
    </xf>
    <xf numFmtId="0" fontId="91" fillId="0" borderId="0" xfId="0" applyFont="1" applyAlignment="1"/>
    <xf numFmtId="4" fontId="92" fillId="0" borderId="0" xfId="0" applyNumberFormat="1" applyFont="1" applyBorder="1" applyAlignment="1">
      <alignment vertical="center" wrapText="1"/>
    </xf>
    <xf numFmtId="0" fontId="49" fillId="0" borderId="0" xfId="0" applyFont="1" applyAlignment="1">
      <alignment horizontal="right"/>
    </xf>
    <xf numFmtId="0" fontId="93" fillId="0" borderId="0" xfId="0" applyFont="1" applyAlignment="1"/>
    <xf numFmtId="0" fontId="52" fillId="0" borderId="0" xfId="0" applyFont="1"/>
    <xf numFmtId="4" fontId="76" fillId="0" borderId="0" xfId="0" applyNumberFormat="1" applyFont="1" applyBorder="1" applyAlignment="1"/>
    <xf numFmtId="0" fontId="94" fillId="0" borderId="0" xfId="0" applyFont="1" applyAlignment="1"/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3" fillId="3" borderId="2" xfId="0" applyFont="1" applyFill="1" applyBorder="1" applyAlignment="1">
      <alignment horizontal="center" vertical="top" wrapText="1"/>
    </xf>
    <xf numFmtId="0" fontId="23" fillId="3" borderId="3" xfId="0" applyFont="1" applyFill="1" applyBorder="1" applyAlignment="1">
      <alignment horizontal="center" vertical="top" wrapText="1"/>
    </xf>
    <xf numFmtId="0" fontId="23" fillId="3" borderId="12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3" fillId="2" borderId="2" xfId="0" applyFont="1" applyFill="1" applyBorder="1" applyAlignment="1">
      <alignment horizontal="left" vertical="top" wrapText="1"/>
    </xf>
    <xf numFmtId="0" fontId="23" fillId="2" borderId="3" xfId="0" applyFont="1" applyFill="1" applyBorder="1" applyAlignment="1">
      <alignment horizontal="left" vertical="top" wrapText="1"/>
    </xf>
    <xf numFmtId="0" fontId="8" fillId="0" borderId="10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49" fillId="0" borderId="0" xfId="0" applyFont="1" applyBorder="1" applyAlignment="1">
      <alignment horizontal="right"/>
    </xf>
    <xf numFmtId="0" fontId="23" fillId="3" borderId="2" xfId="0" applyFont="1" applyFill="1" applyBorder="1" applyAlignment="1">
      <alignment vertical="top" wrapText="1"/>
    </xf>
    <xf numFmtId="0" fontId="42" fillId="3" borderId="2" xfId="0" applyFont="1" applyFill="1" applyBorder="1" applyAlignment="1">
      <alignment vertical="top" wrapText="1"/>
    </xf>
    <xf numFmtId="0" fontId="42" fillId="3" borderId="2" xfId="0" applyNumberFormat="1" applyFont="1" applyFill="1" applyBorder="1" applyAlignment="1">
      <alignment vertical="top" wrapText="1"/>
    </xf>
    <xf numFmtId="0" fontId="74" fillId="3" borderId="2" xfId="0" applyFont="1" applyFill="1" applyBorder="1" applyAlignment="1">
      <alignment vertical="top" wrapText="1"/>
    </xf>
    <xf numFmtId="0" fontId="23" fillId="3" borderId="3" xfId="0" applyFont="1" applyFill="1" applyBorder="1" applyAlignment="1">
      <alignment vertical="top" wrapText="1"/>
    </xf>
    <xf numFmtId="0" fontId="21" fillId="3" borderId="3" xfId="0" applyFont="1" applyFill="1" applyBorder="1" applyAlignment="1">
      <alignment vertical="top" wrapText="1"/>
    </xf>
    <xf numFmtId="0" fontId="42" fillId="3" borderId="3" xfId="0" applyFont="1" applyFill="1" applyBorder="1" applyAlignment="1">
      <alignment vertical="top" wrapText="1"/>
    </xf>
    <xf numFmtId="0" fontId="42" fillId="3" borderId="3" xfId="0" applyNumberFormat="1" applyFont="1" applyFill="1" applyBorder="1" applyAlignment="1">
      <alignment vertical="top" wrapText="1"/>
    </xf>
    <xf numFmtId="0" fontId="74" fillId="3" borderId="3" xfId="0" applyFont="1" applyFill="1" applyBorder="1" applyAlignment="1">
      <alignment vertical="top" wrapText="1"/>
    </xf>
    <xf numFmtId="4" fontId="34" fillId="3" borderId="3" xfId="0" applyNumberFormat="1" applyFont="1" applyFill="1" applyBorder="1" applyAlignment="1">
      <alignment horizontal="right"/>
    </xf>
    <xf numFmtId="4" fontId="34" fillId="3" borderId="1" xfId="0" applyNumberFormat="1" applyFont="1" applyFill="1" applyBorder="1" applyAlignment="1">
      <alignment horizontal="right"/>
    </xf>
    <xf numFmtId="4" fontId="44" fillId="3" borderId="1" xfId="0" applyNumberFormat="1" applyFont="1" applyFill="1" applyBorder="1" applyAlignment="1">
      <alignment horizontal="right"/>
    </xf>
    <xf numFmtId="4" fontId="34" fillId="3" borderId="13" xfId="0" applyNumberFormat="1" applyFont="1" applyFill="1" applyBorder="1" applyAlignment="1">
      <alignment horizontal="right"/>
    </xf>
    <xf numFmtId="4" fontId="34" fillId="3" borderId="2" xfId="0" applyNumberFormat="1" applyFont="1" applyFill="1" applyBorder="1" applyAlignment="1">
      <alignment horizontal="right"/>
    </xf>
    <xf numFmtId="4" fontId="67" fillId="3" borderId="1" xfId="0" applyNumberFormat="1" applyFont="1" applyFill="1" applyBorder="1" applyAlignment="1">
      <alignment horizontal="right"/>
    </xf>
    <xf numFmtId="4" fontId="30" fillId="3" borderId="1" xfId="0" applyNumberFormat="1" applyFont="1" applyFill="1" applyBorder="1" applyAlignment="1">
      <alignment horizontal="right" vertical="top"/>
    </xf>
    <xf numFmtId="4" fontId="42" fillId="3" borderId="1" xfId="0" applyNumberFormat="1" applyFont="1" applyFill="1" applyBorder="1" applyAlignment="1">
      <alignment horizontal="right"/>
    </xf>
    <xf numFmtId="4" fontId="16" fillId="3" borderId="1" xfId="0" applyNumberFormat="1" applyFont="1" applyFill="1" applyBorder="1" applyAlignment="1">
      <alignment horizontal="right"/>
    </xf>
    <xf numFmtId="4" fontId="25" fillId="3" borderId="1" xfId="0" applyNumberFormat="1" applyFont="1" applyFill="1" applyBorder="1" applyAlignment="1">
      <alignment horizontal="right"/>
    </xf>
    <xf numFmtId="4" fontId="30" fillId="3" borderId="1" xfId="0" applyNumberFormat="1" applyFont="1" applyFill="1" applyBorder="1" applyAlignment="1">
      <alignment horizontal="center" vertical="top"/>
    </xf>
    <xf numFmtId="4" fontId="23" fillId="3" borderId="1" xfId="0" applyNumberFormat="1" applyFont="1" applyFill="1" applyBorder="1" applyAlignment="1">
      <alignment horizontal="center"/>
    </xf>
    <xf numFmtId="4" fontId="21" fillId="3" borderId="1" xfId="0" applyNumberFormat="1" applyFont="1" applyFill="1" applyBorder="1" applyAlignment="1">
      <alignment horizontal="center" vertical="top"/>
    </xf>
    <xf numFmtId="4" fontId="30" fillId="0" borderId="0" xfId="0" applyNumberFormat="1" applyFont="1" applyFill="1" applyBorder="1" applyAlignment="1">
      <alignment vertical="top"/>
    </xf>
    <xf numFmtId="4" fontId="0" fillId="0" borderId="37" xfId="0" applyNumberFormat="1" applyBorder="1" applyAlignment="1">
      <alignment vertical="top"/>
    </xf>
    <xf numFmtId="4" fontId="67" fillId="0" borderId="3" xfId="0" applyNumberFormat="1" applyFont="1" applyFill="1" applyBorder="1" applyAlignment="1">
      <alignment horizontal="right"/>
    </xf>
    <xf numFmtId="0" fontId="93" fillId="0" borderId="0" xfId="0" applyFont="1" applyAlignment="1">
      <alignment horizontal="right"/>
    </xf>
    <xf numFmtId="0" fontId="49" fillId="0" borderId="0" xfId="0" applyFont="1"/>
    <xf numFmtId="4" fontId="78" fillId="0" borderId="1" xfId="0" applyNumberFormat="1" applyFont="1" applyBorder="1" applyAlignment="1">
      <alignment horizontal="left" vertical="center"/>
    </xf>
    <xf numFmtId="14" fontId="78" fillId="0" borderId="2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left" vertical="top"/>
    </xf>
    <xf numFmtId="4" fontId="9" fillId="0" borderId="1" xfId="0" applyNumberFormat="1" applyFont="1" applyFill="1" applyBorder="1" applyAlignment="1">
      <alignment horizontal="left" vertical="top"/>
    </xf>
    <xf numFmtId="4" fontId="44" fillId="0" borderId="1" xfId="0" applyNumberFormat="1" applyFont="1" applyBorder="1" applyAlignment="1">
      <alignment horizontal="left" vertical="top"/>
    </xf>
    <xf numFmtId="4" fontId="44" fillId="0" borderId="1" xfId="0" applyNumberFormat="1" applyFont="1" applyBorder="1" applyAlignment="1">
      <alignment horizontal="left" vertical="center"/>
    </xf>
    <xf numFmtId="0" fontId="25" fillId="0" borderId="12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/>
    </xf>
    <xf numFmtId="2" fontId="2" fillId="2" borderId="6" xfId="0" applyNumberFormat="1" applyFont="1" applyFill="1" applyBorder="1" applyAlignment="1">
      <alignment horizontal="right"/>
    </xf>
    <xf numFmtId="0" fontId="21" fillId="13" borderId="4" xfId="0" applyFont="1" applyFill="1" applyBorder="1" applyAlignment="1">
      <alignment horizontal="center" vertical="top" wrapText="1"/>
    </xf>
    <xf numFmtId="0" fontId="21" fillId="13" borderId="1" xfId="0" applyFont="1" applyFill="1" applyBorder="1" applyAlignment="1">
      <alignment horizontal="center" vertical="top" wrapText="1"/>
    </xf>
    <xf numFmtId="4" fontId="2" fillId="13" borderId="6" xfId="0" applyNumberFormat="1" applyFont="1" applyFill="1" applyBorder="1" applyAlignment="1">
      <alignment horizontal="right"/>
    </xf>
    <xf numFmtId="4" fontId="9" fillId="13" borderId="6" xfId="0" applyNumberFormat="1" applyFont="1" applyFill="1" applyBorder="1" applyAlignment="1">
      <alignment horizontal="right"/>
    </xf>
    <xf numFmtId="4" fontId="4" fillId="13" borderId="1" xfId="0" applyNumberFormat="1" applyFont="1" applyFill="1" applyBorder="1" applyAlignment="1">
      <alignment horizontal="right"/>
    </xf>
    <xf numFmtId="4" fontId="34" fillId="13" borderId="1" xfId="0" applyNumberFormat="1" applyFont="1" applyFill="1" applyBorder="1" applyAlignment="1">
      <alignment horizontal="right" vertical="center" wrapText="1"/>
    </xf>
    <xf numFmtId="4" fontId="34" fillId="13" borderId="1" xfId="0" applyNumberFormat="1" applyFont="1" applyFill="1" applyBorder="1" applyAlignment="1">
      <alignment vertical="center" wrapText="1"/>
    </xf>
    <xf numFmtId="4" fontId="76" fillId="13" borderId="1" xfId="0" applyNumberFormat="1" applyFont="1" applyFill="1" applyBorder="1" applyAlignment="1">
      <alignment horizontal="right" vertical="center" wrapText="1"/>
    </xf>
    <xf numFmtId="2" fontId="2" fillId="13" borderId="6" xfId="0" applyNumberFormat="1" applyFont="1" applyFill="1" applyBorder="1" applyAlignment="1">
      <alignment horizontal="right"/>
    </xf>
    <xf numFmtId="2" fontId="4" fillId="13" borderId="1" xfId="0" applyNumberFormat="1" applyFont="1" applyFill="1" applyBorder="1" applyAlignment="1">
      <alignment horizontal="right"/>
    </xf>
    <xf numFmtId="0" fontId="0" fillId="0" borderId="2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top" wrapText="1"/>
    </xf>
    <xf numFmtId="0" fontId="23" fillId="2" borderId="3" xfId="0" applyFont="1" applyFill="1" applyBorder="1" applyAlignment="1">
      <alignment horizontal="center" vertical="top" wrapText="1"/>
    </xf>
    <xf numFmtId="0" fontId="21" fillId="0" borderId="2" xfId="0" applyNumberFormat="1" applyFont="1" applyBorder="1" applyAlignment="1">
      <alignment horizontal="center" vertical="top" wrapText="1"/>
    </xf>
    <xf numFmtId="0" fontId="21" fillId="0" borderId="3" xfId="0" applyNumberFormat="1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0" fontId="23" fillId="0" borderId="3" xfId="0" applyFont="1" applyFill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23" fillId="6" borderId="2" xfId="0" applyFont="1" applyFill="1" applyBorder="1" applyAlignment="1">
      <alignment horizontal="center" vertical="top" wrapText="1"/>
    </xf>
    <xf numFmtId="0" fontId="23" fillId="6" borderId="3" xfId="0" applyFont="1" applyFill="1" applyBorder="1" applyAlignment="1">
      <alignment horizontal="center" vertical="top" wrapText="1"/>
    </xf>
    <xf numFmtId="0" fontId="23" fillId="6" borderId="12" xfId="0" applyFont="1" applyFill="1" applyBorder="1" applyAlignment="1">
      <alignment horizontal="center" vertical="top" wrapText="1"/>
    </xf>
    <xf numFmtId="0" fontId="23" fillId="6" borderId="6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23" fillId="3" borderId="2" xfId="0" applyFont="1" applyFill="1" applyBorder="1" applyAlignment="1">
      <alignment horizontal="center" vertical="top" wrapText="1"/>
    </xf>
    <xf numFmtId="0" fontId="23" fillId="3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3" fillId="2" borderId="12" xfId="0" applyFont="1" applyFill="1" applyBorder="1" applyAlignment="1">
      <alignment horizontal="center" vertical="top" wrapText="1"/>
    </xf>
    <xf numFmtId="0" fontId="23" fillId="2" borderId="6" xfId="0" applyFont="1" applyFill="1" applyBorder="1" applyAlignment="1">
      <alignment horizontal="center" vertical="top" wrapText="1"/>
    </xf>
    <xf numFmtId="0" fontId="8" fillId="13" borderId="2" xfId="0" applyFont="1" applyFill="1" applyBorder="1" applyAlignment="1">
      <alignment horizontal="left" vertical="center" wrapText="1"/>
    </xf>
    <xf numFmtId="0" fontId="8" fillId="13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2" xfId="0" applyNumberFormat="1" applyFont="1" applyBorder="1" applyAlignment="1">
      <alignment horizontal="left" vertical="top" wrapText="1"/>
    </xf>
    <xf numFmtId="0" fontId="21" fillId="0" borderId="3" xfId="0" applyNumberFormat="1" applyFont="1" applyBorder="1" applyAlignment="1">
      <alignment horizontal="left" vertical="top" wrapText="1"/>
    </xf>
    <xf numFmtId="0" fontId="21" fillId="2" borderId="2" xfId="0" applyNumberFormat="1" applyFont="1" applyFill="1" applyBorder="1" applyAlignment="1">
      <alignment horizontal="left" vertical="top" wrapText="1"/>
    </xf>
    <xf numFmtId="0" fontId="21" fillId="2" borderId="3" xfId="0" applyNumberFormat="1" applyFont="1" applyFill="1" applyBorder="1" applyAlignment="1">
      <alignment horizontal="left" vertical="top" wrapText="1"/>
    </xf>
    <xf numFmtId="0" fontId="23" fillId="2" borderId="2" xfId="0" applyFont="1" applyFill="1" applyBorder="1" applyAlignment="1">
      <alignment horizontal="left" vertical="top" wrapText="1"/>
    </xf>
    <xf numFmtId="0" fontId="23" fillId="2" borderId="3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23" fillId="3" borderId="1" xfId="0" applyFont="1" applyFill="1" applyBorder="1" applyAlignment="1">
      <alignment horizontal="center" vertical="top" wrapText="1"/>
    </xf>
    <xf numFmtId="0" fontId="23" fillId="3" borderId="12" xfId="0" applyFont="1" applyFill="1" applyBorder="1" applyAlignment="1">
      <alignment horizontal="center" vertical="top" wrapText="1"/>
    </xf>
    <xf numFmtId="0" fontId="23" fillId="3" borderId="6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8" fillId="3" borderId="2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top" wrapText="1"/>
    </xf>
    <xf numFmtId="0" fontId="23" fillId="13" borderId="2" xfId="0" applyFont="1" applyFill="1" applyBorder="1" applyAlignment="1">
      <alignment horizontal="left" vertical="top" wrapText="1"/>
    </xf>
    <xf numFmtId="0" fontId="23" fillId="13" borderId="3" xfId="0" applyFont="1" applyFill="1" applyBorder="1" applyAlignment="1">
      <alignment horizontal="left" vertical="top" wrapText="1"/>
    </xf>
    <xf numFmtId="0" fontId="8" fillId="13" borderId="8" xfId="0" applyFont="1" applyFill="1" applyBorder="1" applyAlignment="1">
      <alignment horizontal="center" vertical="top" wrapText="1"/>
    </xf>
    <xf numFmtId="0" fontId="8" fillId="13" borderId="4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left" vertical="top" wrapText="1"/>
    </xf>
    <xf numFmtId="0" fontId="21" fillId="2" borderId="3" xfId="0" applyFont="1" applyFill="1" applyBorder="1" applyAlignment="1">
      <alignment horizontal="left" vertical="top" wrapText="1"/>
    </xf>
    <xf numFmtId="0" fontId="23" fillId="6" borderId="2" xfId="0" applyFont="1" applyFill="1" applyBorder="1" applyAlignment="1">
      <alignment horizontal="left" vertical="top" wrapText="1"/>
    </xf>
    <xf numFmtId="0" fontId="23" fillId="6" borderId="3" xfId="0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25" fillId="0" borderId="2" xfId="0" applyFont="1" applyBorder="1" applyAlignment="1">
      <alignment horizontal="right" vertical="center" wrapText="1"/>
    </xf>
    <xf numFmtId="0" fontId="25" fillId="0" borderId="3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top" wrapText="1"/>
    </xf>
    <xf numFmtId="0" fontId="23" fillId="0" borderId="3" xfId="0" applyFont="1" applyBorder="1" applyAlignment="1">
      <alignment horizontal="right" vertical="top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3" fillId="0" borderId="10" xfId="0" applyFont="1" applyBorder="1" applyAlignment="1">
      <alignment horizontal="right" vertical="top" wrapText="1"/>
    </xf>
    <xf numFmtId="0" fontId="21" fillId="0" borderId="3" xfId="0" applyFont="1" applyBorder="1" applyAlignment="1">
      <alignment horizontal="right" vertical="top" wrapText="1"/>
    </xf>
    <xf numFmtId="0" fontId="21" fillId="0" borderId="2" xfId="0" applyFont="1" applyBorder="1" applyAlignment="1">
      <alignment horizontal="right" vertical="top" wrapText="1"/>
    </xf>
    <xf numFmtId="0" fontId="21" fillId="0" borderId="2" xfId="0" applyNumberFormat="1" applyFont="1" applyBorder="1" applyAlignment="1">
      <alignment horizontal="right" vertical="center" wrapText="1"/>
    </xf>
    <xf numFmtId="0" fontId="21" fillId="0" borderId="3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0" fontId="23" fillId="2" borderId="2" xfId="0" applyFont="1" applyFill="1" applyBorder="1" applyAlignment="1">
      <alignment horizontal="right" vertical="center" wrapText="1"/>
    </xf>
    <xf numFmtId="0" fontId="23" fillId="2" borderId="3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right"/>
    </xf>
    <xf numFmtId="0" fontId="21" fillId="2" borderId="3" xfId="0" applyFont="1" applyFill="1" applyBorder="1" applyAlignment="1">
      <alignment horizontal="right" vertical="center" wrapText="1"/>
    </xf>
    <xf numFmtId="0" fontId="23" fillId="0" borderId="1" xfId="0" applyFont="1" applyBorder="1" applyAlignment="1">
      <alignment horizontal="right" vertical="top" wrapText="1"/>
    </xf>
    <xf numFmtId="0" fontId="23" fillId="2" borderId="1" xfId="0" applyFont="1" applyFill="1" applyBorder="1" applyAlignment="1">
      <alignment horizontal="right" vertical="top"/>
    </xf>
    <xf numFmtId="0" fontId="2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0" borderId="12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/>
    </xf>
    <xf numFmtId="0" fontId="23" fillId="0" borderId="1" xfId="0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right" vertical="top" wrapText="1"/>
    </xf>
    <xf numFmtId="0" fontId="23" fillId="2" borderId="3" xfId="0" applyFont="1" applyFill="1" applyBorder="1" applyAlignment="1">
      <alignment horizontal="right" vertical="top" wrapText="1"/>
    </xf>
    <xf numFmtId="0" fontId="23" fillId="2" borderId="10" xfId="0" applyFont="1" applyFill="1" applyBorder="1" applyAlignment="1">
      <alignment horizontal="right" vertical="top" wrapText="1"/>
    </xf>
    <xf numFmtId="0" fontId="21" fillId="2" borderId="3" xfId="0" applyFont="1" applyFill="1" applyBorder="1" applyAlignment="1">
      <alignment horizontal="right" vertical="top" wrapText="1"/>
    </xf>
    <xf numFmtId="0" fontId="23" fillId="0" borderId="8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45" fillId="0" borderId="2" xfId="0" applyNumberFormat="1" applyFont="1" applyBorder="1" applyAlignment="1">
      <alignment horizontal="center" vertical="top" wrapText="1"/>
    </xf>
    <xf numFmtId="0" fontId="45" fillId="0" borderId="3" xfId="0" applyNumberFormat="1" applyFont="1" applyBorder="1" applyAlignment="1">
      <alignment horizontal="center" vertical="top" wrapText="1"/>
    </xf>
    <xf numFmtId="0" fontId="37" fillId="0" borderId="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top" wrapText="1"/>
    </xf>
    <xf numFmtId="0" fontId="38" fillId="0" borderId="3" xfId="0" applyFont="1" applyBorder="1" applyAlignment="1">
      <alignment horizontal="center" vertical="top" wrapText="1"/>
    </xf>
    <xf numFmtId="0" fontId="37" fillId="0" borderId="2" xfId="0" applyFont="1" applyBorder="1" applyAlignment="1">
      <alignment vertical="top" wrapText="1"/>
    </xf>
    <xf numFmtId="0" fontId="37" fillId="0" borderId="3" xfId="0" applyFont="1" applyBorder="1" applyAlignment="1">
      <alignment vertical="top" wrapText="1"/>
    </xf>
    <xf numFmtId="0" fontId="45" fillId="0" borderId="2" xfId="0" applyFont="1" applyBorder="1" applyAlignment="1">
      <alignment horizontal="center" vertical="top" wrapText="1"/>
    </xf>
    <xf numFmtId="0" fontId="45" fillId="0" borderId="3" xfId="0" applyFont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top" wrapText="1"/>
    </xf>
    <xf numFmtId="0" fontId="37" fillId="0" borderId="3" xfId="0" applyFont="1" applyFill="1" applyBorder="1" applyAlignment="1">
      <alignment horizontal="center" vertical="top" wrapText="1"/>
    </xf>
    <xf numFmtId="0" fontId="37" fillId="0" borderId="12" xfId="0" applyFont="1" applyFill="1" applyBorder="1" applyAlignment="1">
      <alignment horizontal="center" vertical="top" wrapText="1"/>
    </xf>
    <xf numFmtId="0" fontId="37" fillId="0" borderId="6" xfId="0" applyFont="1" applyFill="1" applyBorder="1" applyAlignment="1">
      <alignment horizontal="center" vertical="top" wrapText="1"/>
    </xf>
    <xf numFmtId="0" fontId="37" fillId="0" borderId="1" xfId="0" applyFont="1" applyBorder="1" applyAlignment="1">
      <alignment horizontal="center" vertical="top" wrapText="1"/>
    </xf>
    <xf numFmtId="0" fontId="37" fillId="0" borderId="3" xfId="0" applyFont="1" applyBorder="1" applyAlignment="1">
      <alignment horizontal="center" vertical="top" wrapText="1"/>
    </xf>
    <xf numFmtId="0" fontId="37" fillId="0" borderId="1" xfId="0" applyFont="1" applyFill="1" applyBorder="1" applyAlignment="1">
      <alignment horizontal="center" vertical="top" wrapText="1"/>
    </xf>
    <xf numFmtId="0" fontId="35" fillId="0" borderId="8" xfId="0" applyFont="1" applyBorder="1" applyAlignment="1">
      <alignment horizontal="center" vertical="top" wrapText="1"/>
    </xf>
    <xf numFmtId="0" fontId="35" fillId="0" borderId="4" xfId="0" applyFont="1" applyBorder="1" applyAlignment="1">
      <alignment horizontal="center" vertical="top" wrapText="1"/>
    </xf>
    <xf numFmtId="0" fontId="35" fillId="0" borderId="2" xfId="0" applyFont="1" applyBorder="1" applyAlignment="1">
      <alignment horizontal="center" vertical="top" wrapText="1"/>
    </xf>
    <xf numFmtId="0" fontId="35" fillId="0" borderId="3" xfId="0" applyFont="1" applyBorder="1" applyAlignment="1">
      <alignment horizontal="center" vertical="top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 wrapText="1"/>
    </xf>
    <xf numFmtId="0" fontId="8" fillId="2" borderId="8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horizontal="right" vertical="top" wrapText="1"/>
    </xf>
    <xf numFmtId="0" fontId="23" fillId="2" borderId="2" xfId="0" applyFont="1" applyFill="1" applyBorder="1" applyAlignment="1">
      <alignment vertical="top" wrapText="1"/>
    </xf>
    <xf numFmtId="0" fontId="23" fillId="2" borderId="3" xfId="0" applyFont="1" applyFill="1" applyBorder="1" applyAlignment="1">
      <alignment vertical="top" wrapText="1"/>
    </xf>
    <xf numFmtId="0" fontId="23" fillId="2" borderId="10" xfId="0" applyFont="1" applyFill="1" applyBorder="1" applyAlignment="1">
      <alignment vertical="top" wrapText="1"/>
    </xf>
    <xf numFmtId="0" fontId="21" fillId="2" borderId="3" xfId="0" applyFont="1" applyFill="1" applyBorder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23" fillId="0" borderId="8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0" fontId="21" fillId="0" borderId="2" xfId="0" applyNumberFormat="1" applyFont="1" applyBorder="1" applyAlignment="1">
      <alignment vertical="top" wrapText="1"/>
    </xf>
    <xf numFmtId="0" fontId="21" fillId="0" borderId="3" xfId="0" applyNumberFormat="1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0" fontId="23" fillId="0" borderId="17" xfId="0" applyFont="1" applyBorder="1" applyAlignment="1">
      <alignment vertical="top" wrapText="1"/>
    </xf>
    <xf numFmtId="0" fontId="37" fillId="0" borderId="8" xfId="0" applyFont="1" applyBorder="1" applyAlignment="1">
      <alignment horizontal="center" vertical="top" wrapText="1"/>
    </xf>
    <xf numFmtId="0" fontId="37" fillId="0" borderId="4" xfId="0" applyFont="1" applyBorder="1" applyAlignment="1">
      <alignment horizontal="center" vertical="top" wrapText="1"/>
    </xf>
    <xf numFmtId="0" fontId="35" fillId="2" borderId="8" xfId="0" applyFont="1" applyFill="1" applyBorder="1" applyAlignment="1">
      <alignment horizontal="center" vertical="top" wrapText="1"/>
    </xf>
    <xf numFmtId="0" fontId="35" fillId="2" borderId="4" xfId="0" applyFont="1" applyFill="1" applyBorder="1" applyAlignment="1">
      <alignment horizontal="center" vertical="top" wrapText="1"/>
    </xf>
    <xf numFmtId="0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8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vertical="top" wrapText="1"/>
    </xf>
    <xf numFmtId="0" fontId="23" fillId="0" borderId="0" xfId="0" applyFont="1" applyBorder="1" applyAlignment="1">
      <alignment horizontal="right" vertical="top" wrapText="1"/>
    </xf>
    <xf numFmtId="0" fontId="21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top" wrapText="1"/>
    </xf>
    <xf numFmtId="0" fontId="21" fillId="0" borderId="0" xfId="0" applyNumberFormat="1" applyFont="1" applyBorder="1" applyAlignment="1">
      <alignment horizontal="right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23" fillId="2" borderId="8" xfId="0" applyFont="1" applyFill="1" applyBorder="1" applyAlignment="1">
      <alignment horizontal="center" vertical="top" wrapText="1"/>
    </xf>
    <xf numFmtId="0" fontId="23" fillId="10" borderId="12" xfId="0" applyFont="1" applyFill="1" applyBorder="1" applyAlignment="1">
      <alignment horizontal="center" vertical="top" wrapText="1"/>
    </xf>
    <xf numFmtId="0" fontId="23" fillId="10" borderId="6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23" fillId="2" borderId="8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23" fillId="2" borderId="10" xfId="0" applyFont="1" applyFill="1" applyBorder="1" applyAlignment="1">
      <alignment horizontal="left" vertical="top" wrapText="1"/>
    </xf>
    <xf numFmtId="0" fontId="25" fillId="0" borderId="2" xfId="0" applyFont="1" applyBorder="1" applyAlignment="1">
      <alignment horizontal="right" vertical="top" wrapText="1"/>
    </xf>
    <xf numFmtId="0" fontId="25" fillId="0" borderId="3" xfId="0" applyFont="1" applyBorder="1" applyAlignment="1">
      <alignment horizontal="right" vertical="top" wrapText="1"/>
    </xf>
    <xf numFmtId="0" fontId="43" fillId="0" borderId="2" xfId="0" applyFont="1" applyBorder="1" applyAlignment="1">
      <alignment horizontal="right" vertical="top" wrapText="1"/>
    </xf>
    <xf numFmtId="0" fontId="43" fillId="0" borderId="3" xfId="0" applyFont="1" applyBorder="1" applyAlignment="1">
      <alignment horizontal="right" vertical="top" wrapText="1"/>
    </xf>
    <xf numFmtId="0" fontId="42" fillId="0" borderId="2" xfId="0" applyFont="1" applyBorder="1" applyAlignment="1">
      <alignment horizontal="right" vertical="top" wrapText="1"/>
    </xf>
    <xf numFmtId="0" fontId="42" fillId="0" borderId="3" xfId="0" applyFont="1" applyBorder="1" applyAlignment="1">
      <alignment horizontal="right" vertical="top" wrapText="1"/>
    </xf>
    <xf numFmtId="0" fontId="42" fillId="0" borderId="2" xfId="0" applyNumberFormat="1" applyFont="1" applyBorder="1" applyAlignment="1">
      <alignment horizontal="right" vertical="top" wrapText="1"/>
    </xf>
    <xf numFmtId="0" fontId="42" fillId="0" borderId="3" xfId="0" applyNumberFormat="1" applyFont="1" applyBorder="1" applyAlignment="1">
      <alignment horizontal="right" vertical="top" wrapText="1"/>
    </xf>
    <xf numFmtId="0" fontId="8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23" fillId="0" borderId="12" xfId="0" applyFont="1" applyFill="1" applyBorder="1" applyAlignment="1">
      <alignment horizontal="center" vertical="top" wrapText="1"/>
    </xf>
    <xf numFmtId="0" fontId="23" fillId="0" borderId="6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center" wrapText="1"/>
    </xf>
    <xf numFmtId="0" fontId="43" fillId="0" borderId="1" xfId="0" applyFont="1" applyBorder="1" applyAlignment="1">
      <alignment horizontal="right" vertical="top" wrapText="1"/>
    </xf>
    <xf numFmtId="0" fontId="43" fillId="0" borderId="8" xfId="0" applyFont="1" applyBorder="1" applyAlignment="1">
      <alignment horizontal="right" vertical="center" wrapText="1"/>
    </xf>
    <xf numFmtId="0" fontId="43" fillId="0" borderId="4" xfId="0" applyFont="1" applyBorder="1" applyAlignment="1">
      <alignment horizontal="right" vertical="center" wrapText="1"/>
    </xf>
    <xf numFmtId="0" fontId="80" fillId="0" borderId="0" xfId="0" applyFont="1" applyAlignment="1">
      <alignment horizontal="right"/>
    </xf>
    <xf numFmtId="0" fontId="81" fillId="0" borderId="0" xfId="0" applyFont="1" applyAlignment="1">
      <alignment horizontal="right"/>
    </xf>
    <xf numFmtId="0" fontId="43" fillId="0" borderId="2" xfId="0" applyFont="1" applyFill="1" applyBorder="1" applyAlignment="1">
      <alignment horizontal="right" vertical="top" wrapText="1"/>
    </xf>
    <xf numFmtId="0" fontId="43" fillId="0" borderId="3" xfId="0" applyFont="1" applyFill="1" applyBorder="1" applyAlignment="1">
      <alignment horizontal="right" vertical="top" wrapText="1"/>
    </xf>
    <xf numFmtId="0" fontId="43" fillId="0" borderId="10" xfId="0" applyFont="1" applyBorder="1" applyAlignment="1">
      <alignment horizontal="right" vertical="top" wrapText="1"/>
    </xf>
    <xf numFmtId="0" fontId="73" fillId="0" borderId="0" xfId="0" applyFont="1" applyAlignment="1">
      <alignment horizontal="right"/>
    </xf>
    <xf numFmtId="0" fontId="74" fillId="0" borderId="0" xfId="0" applyFont="1" applyAlignment="1">
      <alignment horizontal="right"/>
    </xf>
    <xf numFmtId="0" fontId="1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3" fillId="2" borderId="2" xfId="0" applyFont="1" applyFill="1" applyBorder="1" applyAlignment="1">
      <alignment horizontal="right" vertical="top" wrapText="1"/>
    </xf>
    <xf numFmtId="0" fontId="43" fillId="2" borderId="3" xfId="0" applyFont="1" applyFill="1" applyBorder="1" applyAlignment="1">
      <alignment horizontal="right" vertical="top" wrapText="1"/>
    </xf>
    <xf numFmtId="0" fontId="75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23" fillId="10" borderId="2" xfId="0" applyFont="1" applyFill="1" applyBorder="1" applyAlignment="1">
      <alignment horizontal="center" vertical="top" wrapText="1"/>
    </xf>
    <xf numFmtId="0" fontId="23" fillId="10" borderId="3" xfId="0" applyFont="1" applyFill="1" applyBorder="1" applyAlignment="1">
      <alignment horizontal="center" vertical="top" wrapText="1"/>
    </xf>
    <xf numFmtId="0" fontId="43" fillId="2" borderId="8" xfId="0" applyFont="1" applyFill="1" applyBorder="1" applyAlignment="1">
      <alignment horizontal="center" vertical="top" wrapText="1"/>
    </xf>
    <xf numFmtId="0" fontId="43" fillId="2" borderId="4" xfId="0" applyFont="1" applyFill="1" applyBorder="1" applyAlignment="1">
      <alignment horizontal="center" vertical="top" wrapText="1"/>
    </xf>
    <xf numFmtId="0" fontId="43" fillId="3" borderId="8" xfId="0" applyFont="1" applyFill="1" applyBorder="1" applyAlignment="1">
      <alignment horizontal="center" vertical="top" wrapText="1"/>
    </xf>
    <xf numFmtId="0" fontId="43" fillId="3" borderId="4" xfId="0" applyFont="1" applyFill="1" applyBorder="1" applyAlignment="1">
      <alignment horizontal="center" vertical="top" wrapText="1"/>
    </xf>
    <xf numFmtId="0" fontId="23" fillId="10" borderId="2" xfId="0" applyFont="1" applyFill="1" applyBorder="1" applyAlignment="1">
      <alignment horizontal="left" vertical="top" wrapText="1"/>
    </xf>
    <xf numFmtId="0" fontId="23" fillId="10" borderId="3" xfId="0" applyFont="1" applyFill="1" applyBorder="1" applyAlignment="1">
      <alignment horizontal="left" vertical="top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21" fillId="0" borderId="2" xfId="0" applyNumberFormat="1" applyFont="1" applyBorder="1" applyAlignment="1">
      <alignment horizontal="right" vertical="top" wrapText="1"/>
    </xf>
    <xf numFmtId="0" fontId="21" fillId="0" borderId="3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 wrapText="1"/>
    </xf>
    <xf numFmtId="0" fontId="23" fillId="0" borderId="2" xfId="0" applyFont="1" applyFill="1" applyBorder="1" applyAlignment="1">
      <alignment horizontal="right" vertical="top" wrapText="1"/>
    </xf>
    <xf numFmtId="0" fontId="23" fillId="0" borderId="3" xfId="0" applyFont="1" applyFill="1" applyBorder="1" applyAlignment="1">
      <alignment horizontal="right" vertical="top" wrapText="1"/>
    </xf>
    <xf numFmtId="1" fontId="8" fillId="0" borderId="2" xfId="0" applyNumberFormat="1" applyFont="1" applyBorder="1" applyAlignment="1">
      <alignment horizontal="right" vertical="top" wrapText="1"/>
    </xf>
    <xf numFmtId="1" fontId="8" fillId="0" borderId="3" xfId="0" applyNumberFormat="1" applyFont="1" applyBorder="1" applyAlignment="1">
      <alignment horizontal="right" vertical="top" wrapText="1"/>
    </xf>
    <xf numFmtId="0" fontId="23" fillId="3" borderId="12" xfId="0" applyFont="1" applyFill="1" applyBorder="1" applyAlignment="1">
      <alignment horizontal="right" vertical="top" wrapText="1"/>
    </xf>
    <xf numFmtId="0" fontId="23" fillId="3" borderId="6" xfId="0" applyFont="1" applyFill="1" applyBorder="1" applyAlignment="1">
      <alignment horizontal="right" vertical="top" wrapText="1"/>
    </xf>
    <xf numFmtId="0" fontId="23" fillId="3" borderId="2" xfId="0" applyFont="1" applyFill="1" applyBorder="1" applyAlignment="1">
      <alignment horizontal="right" vertical="top" wrapText="1"/>
    </xf>
    <xf numFmtId="0" fontId="23" fillId="3" borderId="3" xfId="0" applyFont="1" applyFill="1" applyBorder="1" applyAlignment="1">
      <alignment horizontal="right" vertical="top" wrapText="1"/>
    </xf>
    <xf numFmtId="0" fontId="23" fillId="2" borderId="12" xfId="0" applyFont="1" applyFill="1" applyBorder="1" applyAlignment="1">
      <alignment horizontal="right" vertical="top" wrapText="1"/>
    </xf>
    <xf numFmtId="0" fontId="23" fillId="2" borderId="6" xfId="0" applyFont="1" applyFill="1" applyBorder="1" applyAlignment="1">
      <alignment horizontal="right" vertical="top" wrapText="1"/>
    </xf>
    <xf numFmtId="0" fontId="19" fillId="0" borderId="0" xfId="0" applyFont="1" applyBorder="1" applyAlignment="1">
      <alignment horizontal="center" vertical="top" wrapText="1"/>
    </xf>
    <xf numFmtId="1" fontId="8" fillId="0" borderId="2" xfId="0" applyNumberFormat="1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0" fontId="23" fillId="9" borderId="2" xfId="0" applyFont="1" applyFill="1" applyBorder="1" applyAlignment="1">
      <alignment horizontal="right" vertical="top" wrapText="1"/>
    </xf>
    <xf numFmtId="0" fontId="23" fillId="9" borderId="3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23" fillId="12" borderId="2" xfId="0" applyFont="1" applyFill="1" applyBorder="1" applyAlignment="1">
      <alignment horizontal="left" vertical="top" wrapText="1"/>
    </xf>
    <xf numFmtId="0" fontId="23" fillId="12" borderId="3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42" fillId="0" borderId="2" xfId="0" applyFont="1" applyBorder="1" applyAlignment="1">
      <alignment horizontal="center" vertical="top" wrapText="1"/>
    </xf>
    <xf numFmtId="0" fontId="42" fillId="0" borderId="3" xfId="0" applyFont="1" applyBorder="1" applyAlignment="1">
      <alignment horizontal="center" vertical="top" wrapText="1"/>
    </xf>
    <xf numFmtId="0" fontId="42" fillId="0" borderId="2" xfId="0" applyNumberFormat="1" applyFont="1" applyBorder="1" applyAlignment="1">
      <alignment horizontal="center" vertical="top" wrapText="1"/>
    </xf>
    <xf numFmtId="0" fontId="42" fillId="0" borderId="3" xfId="0" applyNumberFormat="1" applyFont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74" fillId="0" borderId="2" xfId="0" applyFont="1" applyBorder="1" applyAlignment="1">
      <alignment horizontal="center" vertical="top" wrapText="1"/>
    </xf>
    <xf numFmtId="0" fontId="74" fillId="0" borderId="3" xfId="0" applyFont="1" applyBorder="1" applyAlignment="1">
      <alignment horizontal="center" vertical="top" wrapText="1"/>
    </xf>
    <xf numFmtId="0" fontId="23" fillId="7" borderId="1" xfId="0" applyFont="1" applyFill="1" applyBorder="1" applyAlignment="1">
      <alignment horizontal="center" vertical="top" wrapText="1"/>
    </xf>
    <xf numFmtId="0" fontId="23" fillId="7" borderId="2" xfId="0" applyFont="1" applyFill="1" applyBorder="1" applyAlignment="1">
      <alignment horizontal="center" vertical="top" wrapText="1"/>
    </xf>
    <xf numFmtId="0" fontId="23" fillId="7" borderId="3" xfId="0" applyFont="1" applyFill="1" applyBorder="1" applyAlignment="1">
      <alignment horizontal="center" vertical="top" wrapText="1"/>
    </xf>
    <xf numFmtId="0" fontId="23" fillId="7" borderId="2" xfId="0" applyFont="1" applyFill="1" applyBorder="1" applyAlignment="1">
      <alignment horizontal="left" vertical="top" wrapText="1"/>
    </xf>
    <xf numFmtId="0" fontId="23" fillId="7" borderId="3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2" fontId="23" fillId="0" borderId="2" xfId="0" applyNumberFormat="1" applyFont="1" applyBorder="1" applyAlignment="1">
      <alignment horizontal="center" vertical="top" wrapText="1"/>
    </xf>
    <xf numFmtId="2" fontId="23" fillId="0" borderId="3" xfId="0" applyNumberFormat="1" applyFont="1" applyBorder="1" applyAlignment="1">
      <alignment horizontal="center" vertical="top" wrapText="1"/>
    </xf>
    <xf numFmtId="2" fontId="23" fillId="0" borderId="2" xfId="0" applyNumberFormat="1" applyFont="1" applyBorder="1" applyAlignment="1">
      <alignment horizontal="right" vertical="top" wrapText="1"/>
    </xf>
    <xf numFmtId="2" fontId="23" fillId="0" borderId="3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21" fillId="0" borderId="1" xfId="0" applyFont="1" applyBorder="1" applyAlignment="1">
      <alignment horizontal="right" vertical="top" wrapText="1"/>
    </xf>
    <xf numFmtId="0" fontId="23" fillId="0" borderId="1" xfId="0" applyFont="1" applyFill="1" applyBorder="1" applyAlignment="1">
      <alignment horizontal="right" vertical="top" wrapText="1"/>
    </xf>
    <xf numFmtId="0" fontId="23" fillId="0" borderId="1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21" fillId="0" borderId="1" xfId="0" applyNumberFormat="1" applyFont="1" applyBorder="1" applyAlignment="1">
      <alignment horizontal="center" vertical="top" wrapText="1"/>
    </xf>
    <xf numFmtId="0" fontId="48" fillId="0" borderId="1" xfId="0" applyFont="1" applyBorder="1" applyAlignment="1">
      <alignment horizontal="center" vertical="top" wrapText="1"/>
    </xf>
    <xf numFmtId="0" fontId="48" fillId="0" borderId="2" xfId="0" applyFont="1" applyBorder="1" applyAlignment="1">
      <alignment horizontal="center" vertical="top" wrapText="1"/>
    </xf>
    <xf numFmtId="0" fontId="48" fillId="0" borderId="3" xfId="0" applyFont="1" applyBorder="1" applyAlignment="1">
      <alignment horizontal="center" vertical="top" wrapText="1"/>
    </xf>
    <xf numFmtId="0" fontId="8" fillId="6" borderId="8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23" fillId="0" borderId="37" xfId="0" applyFont="1" applyBorder="1" applyAlignment="1">
      <alignment horizontal="center" vertical="top" wrapText="1"/>
    </xf>
    <xf numFmtId="0" fontId="25" fillId="0" borderId="12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42" fillId="0" borderId="12" xfId="0" applyNumberFormat="1" applyFont="1" applyBorder="1" applyAlignment="1">
      <alignment horizontal="center" vertical="top" wrapText="1"/>
    </xf>
    <xf numFmtId="0" fontId="42" fillId="0" borderId="6" xfId="0" applyNumberFormat="1" applyFont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opLeftCell="A25" zoomScaleNormal="100" workbookViewId="0">
      <selection activeCell="I60" sqref="I60"/>
    </sheetView>
  </sheetViews>
  <sheetFormatPr defaultRowHeight="15" x14ac:dyDescent="0.25"/>
  <cols>
    <col min="3" max="3" width="18.28515625" customWidth="1"/>
    <col min="4" max="4" width="0.140625" hidden="1" customWidth="1"/>
    <col min="8" max="8" width="35.7109375" customWidth="1"/>
    <col min="9" max="9" width="112" customWidth="1"/>
    <col min="10" max="10" width="93.140625" customWidth="1"/>
  </cols>
  <sheetData>
    <row r="1" spans="1:9" ht="18.75" x14ac:dyDescent="0.3">
      <c r="A1" s="94"/>
      <c r="B1" s="94" t="s">
        <v>208</v>
      </c>
      <c r="C1" s="94"/>
    </row>
    <row r="2" spans="1:9" ht="18.75" x14ac:dyDescent="0.3">
      <c r="A2" s="94" t="s">
        <v>209</v>
      </c>
      <c r="B2" s="94"/>
      <c r="C2" s="94"/>
      <c r="E2" s="94" t="s">
        <v>207</v>
      </c>
      <c r="F2" s="92"/>
      <c r="G2" s="93"/>
    </row>
    <row r="4" spans="1:9" ht="15.75" thickBot="1" x14ac:dyDescent="0.3">
      <c r="I4" s="9"/>
    </row>
    <row r="5" spans="1:9" ht="15.75" thickBot="1" x14ac:dyDescent="0.3">
      <c r="A5" s="100" t="s">
        <v>187</v>
      </c>
      <c r="B5" s="101"/>
      <c r="C5" s="104"/>
      <c r="D5" s="102"/>
      <c r="E5" s="100" t="s">
        <v>194</v>
      </c>
      <c r="F5" s="102"/>
      <c r="G5" s="102"/>
      <c r="H5" s="103"/>
      <c r="I5" s="9"/>
    </row>
    <row r="6" spans="1:9" ht="17.100000000000001" customHeight="1" x14ac:dyDescent="0.25">
      <c r="A6" s="95" t="s">
        <v>188</v>
      </c>
      <c r="B6" s="9"/>
      <c r="C6" s="96"/>
      <c r="D6" s="9"/>
      <c r="E6" s="95" t="s">
        <v>195</v>
      </c>
      <c r="F6" s="9"/>
      <c r="G6" s="9"/>
      <c r="H6" s="96"/>
      <c r="I6" s="9"/>
    </row>
    <row r="7" spans="1:9" ht="17.100000000000001" customHeight="1" x14ac:dyDescent="0.25">
      <c r="A7" s="105" t="s">
        <v>189</v>
      </c>
      <c r="B7" s="106"/>
      <c r="C7" s="107"/>
      <c r="D7" s="106"/>
      <c r="E7" s="105" t="s">
        <v>189</v>
      </c>
      <c r="F7" s="106"/>
      <c r="G7" s="106"/>
      <c r="H7" s="107"/>
      <c r="I7" s="9"/>
    </row>
    <row r="8" spans="1:9" ht="17.100000000000001" customHeight="1" x14ac:dyDescent="0.25">
      <c r="A8" s="95" t="s">
        <v>190</v>
      </c>
      <c r="B8" s="9"/>
      <c r="C8" s="96"/>
      <c r="D8" s="9"/>
      <c r="E8" s="95" t="s">
        <v>196</v>
      </c>
      <c r="F8" s="9"/>
      <c r="G8" s="9"/>
      <c r="H8" s="96"/>
      <c r="I8" s="9"/>
    </row>
    <row r="9" spans="1:9" ht="17.100000000000001" customHeight="1" x14ac:dyDescent="0.25">
      <c r="A9" s="105" t="s">
        <v>191</v>
      </c>
      <c r="B9" s="106"/>
      <c r="C9" s="107"/>
      <c r="D9" s="106"/>
      <c r="E9" s="105" t="s">
        <v>198</v>
      </c>
      <c r="F9" s="106"/>
      <c r="G9" s="106"/>
      <c r="H9" s="107"/>
      <c r="I9" s="9"/>
    </row>
    <row r="10" spans="1:9" ht="17.100000000000001" customHeight="1" x14ac:dyDescent="0.25">
      <c r="A10" s="95" t="s">
        <v>192</v>
      </c>
      <c r="B10" s="9"/>
      <c r="C10" s="96"/>
      <c r="D10" s="9"/>
      <c r="E10" s="95" t="s">
        <v>197</v>
      </c>
      <c r="F10" s="9"/>
      <c r="G10" s="9"/>
      <c r="H10" s="96"/>
      <c r="I10" s="9"/>
    </row>
    <row r="11" spans="1:9" ht="17.100000000000001" customHeight="1" x14ac:dyDescent="0.25">
      <c r="A11" s="105" t="s">
        <v>193</v>
      </c>
      <c r="B11" s="106"/>
      <c r="C11" s="107"/>
      <c r="D11" s="106"/>
      <c r="E11" s="105" t="s">
        <v>201</v>
      </c>
      <c r="F11" s="106"/>
      <c r="G11" s="106"/>
      <c r="H11" s="107"/>
      <c r="I11" s="9"/>
    </row>
    <row r="12" spans="1:9" ht="17.100000000000001" customHeight="1" x14ac:dyDescent="0.25">
      <c r="A12" s="95"/>
      <c r="B12" s="108"/>
      <c r="C12" s="96"/>
      <c r="D12" s="9"/>
      <c r="E12" s="95" t="s">
        <v>199</v>
      </c>
      <c r="F12" s="9"/>
      <c r="G12" s="9"/>
      <c r="H12" s="96"/>
      <c r="I12" s="9"/>
    </row>
    <row r="13" spans="1:9" ht="17.100000000000001" customHeight="1" x14ac:dyDescent="0.25">
      <c r="A13" s="105"/>
      <c r="B13" s="106"/>
      <c r="C13" s="107"/>
      <c r="D13" s="106"/>
      <c r="E13" s="105" t="s">
        <v>200</v>
      </c>
      <c r="F13" s="106"/>
      <c r="G13" s="106"/>
      <c r="H13" s="107"/>
      <c r="I13" s="9"/>
    </row>
    <row r="14" spans="1:9" ht="17.100000000000001" customHeight="1" x14ac:dyDescent="0.25">
      <c r="A14" s="95"/>
      <c r="B14" s="9"/>
      <c r="C14" s="96"/>
      <c r="D14" s="9"/>
      <c r="E14" s="95" t="s">
        <v>202</v>
      </c>
      <c r="F14" s="9"/>
      <c r="G14" s="9"/>
      <c r="H14" s="96"/>
      <c r="I14" s="9"/>
    </row>
    <row r="15" spans="1:9" ht="17.100000000000001" customHeight="1" x14ac:dyDescent="0.25">
      <c r="A15" s="105"/>
      <c r="B15" s="106"/>
      <c r="C15" s="107"/>
      <c r="D15" s="106"/>
      <c r="E15" s="105" t="s">
        <v>203</v>
      </c>
      <c r="F15" s="106"/>
      <c r="G15" s="106"/>
      <c r="H15" s="107"/>
      <c r="I15" s="9"/>
    </row>
    <row r="16" spans="1:9" ht="17.100000000000001" customHeight="1" x14ac:dyDescent="0.25">
      <c r="A16" s="95"/>
      <c r="B16" s="9"/>
      <c r="C16" s="96"/>
      <c r="D16" s="9"/>
      <c r="E16" s="95" t="s">
        <v>204</v>
      </c>
      <c r="F16" s="9"/>
      <c r="G16" s="9"/>
      <c r="H16" s="96"/>
      <c r="I16" s="9"/>
    </row>
    <row r="17" spans="1:9" ht="17.100000000000001" customHeight="1" x14ac:dyDescent="0.25">
      <c r="A17" s="105"/>
      <c r="B17" s="106"/>
      <c r="C17" s="107"/>
      <c r="D17" s="106"/>
      <c r="E17" s="105" t="s">
        <v>205</v>
      </c>
      <c r="F17" s="106"/>
      <c r="G17" s="106"/>
      <c r="H17" s="107"/>
      <c r="I17" s="9"/>
    </row>
    <row r="18" spans="1:9" ht="17.100000000000001" customHeight="1" x14ac:dyDescent="0.25">
      <c r="A18" s="105"/>
      <c r="B18" s="106"/>
      <c r="C18" s="107"/>
      <c r="D18" s="106"/>
      <c r="E18" s="105" t="s">
        <v>206</v>
      </c>
      <c r="F18" s="106"/>
      <c r="G18" s="106"/>
      <c r="H18" s="107"/>
      <c r="I18" s="9"/>
    </row>
    <row r="19" spans="1:9" ht="17.100000000000001" customHeight="1" thickBot="1" x14ac:dyDescent="0.3">
      <c r="A19" s="97"/>
      <c r="B19" s="98"/>
      <c r="C19" s="99"/>
      <c r="D19" s="98"/>
      <c r="E19" s="97"/>
      <c r="F19" s="98"/>
      <c r="G19" s="98"/>
      <c r="H19" s="99"/>
      <c r="I19" s="9"/>
    </row>
    <row r="20" spans="1:9" x14ac:dyDescent="0.25">
      <c r="I20" s="9"/>
    </row>
    <row r="21" spans="1:9" x14ac:dyDescent="0.25">
      <c r="I21" s="9"/>
    </row>
    <row r="22" spans="1:9" x14ac:dyDescent="0.25">
      <c r="I22" s="9"/>
    </row>
    <row r="23" spans="1:9" x14ac:dyDescent="0.25">
      <c r="I23" s="9"/>
    </row>
    <row r="24" spans="1:9" x14ac:dyDescent="0.25">
      <c r="I24" s="9"/>
    </row>
    <row r="25" spans="1:9" x14ac:dyDescent="0.25">
      <c r="I25" s="9"/>
    </row>
    <row r="26" spans="1:9" x14ac:dyDescent="0.25">
      <c r="I26" s="9"/>
    </row>
    <row r="27" spans="1:9" x14ac:dyDescent="0.25">
      <c r="I27" s="9"/>
    </row>
    <row r="28" spans="1:9" x14ac:dyDescent="0.25">
      <c r="I28" s="9"/>
    </row>
    <row r="29" spans="1:9" x14ac:dyDescent="0.25">
      <c r="I29" s="9"/>
    </row>
    <row r="30" spans="1:9" ht="15.75" thickBot="1" x14ac:dyDescent="0.3">
      <c r="I30" s="9"/>
    </row>
    <row r="31" spans="1:9" ht="15.75" thickBot="1" x14ac:dyDescent="0.3">
      <c r="A31" s="100" t="s">
        <v>187</v>
      </c>
      <c r="B31" s="101"/>
      <c r="C31" s="104"/>
      <c r="D31" s="102"/>
      <c r="E31" s="100" t="s">
        <v>194</v>
      </c>
      <c r="F31" s="102"/>
      <c r="G31" s="102"/>
      <c r="H31" s="103"/>
      <c r="I31" s="9"/>
    </row>
    <row r="32" spans="1:9" x14ac:dyDescent="0.25">
      <c r="A32" s="136" t="s">
        <v>188</v>
      </c>
      <c r="B32" s="137"/>
      <c r="C32" s="138"/>
      <c r="D32" s="9"/>
      <c r="E32" s="142" t="s">
        <v>243</v>
      </c>
      <c r="F32" s="133"/>
      <c r="G32" s="133"/>
      <c r="H32" s="143"/>
      <c r="I32" s="133"/>
    </row>
    <row r="33" spans="1:22" x14ac:dyDescent="0.25">
      <c r="A33" s="105" t="s">
        <v>189</v>
      </c>
      <c r="B33" s="106"/>
      <c r="C33" s="107"/>
      <c r="D33" s="106"/>
      <c r="E33" s="105" t="s">
        <v>244</v>
      </c>
      <c r="F33" s="106"/>
      <c r="G33" s="106"/>
      <c r="H33" s="107"/>
      <c r="I33" s="9" t="s">
        <v>178</v>
      </c>
    </row>
    <row r="34" spans="1:22" ht="33.75" customHeight="1" x14ac:dyDescent="0.25">
      <c r="A34" s="95" t="s">
        <v>190</v>
      </c>
      <c r="B34" s="9"/>
      <c r="C34" s="96"/>
      <c r="D34" s="9"/>
      <c r="E34" s="1976" t="s">
        <v>245</v>
      </c>
      <c r="F34" s="1977"/>
      <c r="G34" s="1977"/>
      <c r="H34" s="1978"/>
      <c r="I34" s="133"/>
    </row>
    <row r="35" spans="1:22" x14ac:dyDescent="0.25">
      <c r="A35" s="105" t="s">
        <v>191</v>
      </c>
      <c r="B35" s="106"/>
      <c r="C35" s="107"/>
      <c r="D35" s="106"/>
      <c r="E35" s="105" t="s">
        <v>246</v>
      </c>
      <c r="F35" s="106"/>
      <c r="G35" s="106"/>
      <c r="H35" s="107"/>
      <c r="I35" s="9"/>
    </row>
    <row r="36" spans="1:22" x14ac:dyDescent="0.25">
      <c r="A36" s="95" t="s">
        <v>192</v>
      </c>
      <c r="B36" s="9"/>
      <c r="C36" s="96"/>
      <c r="D36" s="9"/>
      <c r="E36" s="95" t="s">
        <v>247</v>
      </c>
      <c r="F36" s="9"/>
      <c r="G36" s="9"/>
      <c r="H36" s="96"/>
      <c r="I36" s="9"/>
    </row>
    <row r="37" spans="1:22" ht="29.25" customHeight="1" x14ac:dyDescent="0.25">
      <c r="A37" s="105" t="s">
        <v>193</v>
      </c>
      <c r="B37" s="106"/>
      <c r="C37" s="107"/>
      <c r="D37" s="106"/>
      <c r="E37" s="1979" t="s">
        <v>248</v>
      </c>
      <c r="F37" s="1980"/>
      <c r="G37" s="1980"/>
      <c r="H37" s="1981"/>
      <c r="I37" s="9"/>
    </row>
    <row r="38" spans="1:22" ht="31.5" customHeight="1" x14ac:dyDescent="0.25">
      <c r="A38" s="105"/>
      <c r="B38" s="135"/>
      <c r="C38" s="107"/>
      <c r="D38" s="9"/>
      <c r="E38" s="1976" t="s">
        <v>249</v>
      </c>
      <c r="F38" s="1977"/>
      <c r="G38" s="1977"/>
      <c r="H38" s="1978"/>
      <c r="I38" s="9"/>
    </row>
    <row r="39" spans="1:22" ht="62.25" customHeight="1" x14ac:dyDescent="0.25">
      <c r="A39" s="95"/>
      <c r="B39" s="9"/>
      <c r="C39" s="96"/>
      <c r="D39" s="106"/>
      <c r="E39" s="1979" t="s">
        <v>285</v>
      </c>
      <c r="F39" s="1980"/>
      <c r="G39" s="1980"/>
      <c r="H39" s="1981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</row>
    <row r="40" spans="1:22" ht="31.5" customHeight="1" x14ac:dyDescent="0.25">
      <c r="A40" s="105"/>
      <c r="B40" s="106"/>
      <c r="C40" s="107"/>
      <c r="D40" s="9"/>
      <c r="E40" s="1976" t="s">
        <v>250</v>
      </c>
      <c r="F40" s="1977"/>
      <c r="G40" s="1977"/>
      <c r="H40" s="1978"/>
      <c r="I40" s="129"/>
    </row>
    <row r="41" spans="1:22" ht="31.5" customHeight="1" x14ac:dyDescent="0.25">
      <c r="A41" s="95"/>
      <c r="B41" s="9"/>
      <c r="C41" s="96"/>
      <c r="D41" s="106"/>
      <c r="E41" s="1979" t="s">
        <v>251</v>
      </c>
      <c r="F41" s="1980"/>
      <c r="G41" s="1980"/>
      <c r="H41" s="1981"/>
      <c r="I41" s="9"/>
    </row>
    <row r="42" spans="1:22" ht="30.75" customHeight="1" x14ac:dyDescent="0.25">
      <c r="A42" s="105"/>
      <c r="B42" s="106"/>
      <c r="C42" s="107"/>
      <c r="D42" s="9"/>
      <c r="E42" s="1979" t="s">
        <v>252</v>
      </c>
      <c r="F42" s="1980"/>
      <c r="G42" s="1980"/>
      <c r="H42" s="1981"/>
      <c r="I42" s="9"/>
      <c r="J42" t="s">
        <v>253</v>
      </c>
    </row>
    <row r="43" spans="1:22" x14ac:dyDescent="0.25">
      <c r="A43" s="95"/>
      <c r="B43" s="9"/>
      <c r="C43" s="96"/>
      <c r="D43" s="106"/>
      <c r="E43" s="1979" t="s">
        <v>254</v>
      </c>
      <c r="F43" s="1980"/>
      <c r="G43" s="1980"/>
      <c r="H43" s="1981"/>
      <c r="I43" s="9"/>
    </row>
    <row r="44" spans="1:22" x14ac:dyDescent="0.25">
      <c r="A44" s="105"/>
      <c r="B44" s="106"/>
      <c r="C44" s="107"/>
      <c r="D44" s="106"/>
      <c r="E44" s="105" t="s">
        <v>255</v>
      </c>
      <c r="F44" s="106"/>
      <c r="G44" s="106"/>
      <c r="H44" s="107"/>
      <c r="I44" s="9"/>
    </row>
    <row r="45" spans="1:22" ht="37.5" customHeight="1" thickBot="1" x14ac:dyDescent="0.3">
      <c r="A45" s="95"/>
      <c r="B45" s="9"/>
      <c r="C45" s="96"/>
      <c r="D45" s="98"/>
      <c r="E45" s="1979" t="s">
        <v>256</v>
      </c>
      <c r="F45" s="1980"/>
      <c r="G45" s="1980"/>
      <c r="H45" s="1981"/>
      <c r="I45" s="133">
        <v>0</v>
      </c>
    </row>
    <row r="46" spans="1:22" ht="33" customHeight="1" x14ac:dyDescent="0.25">
      <c r="A46" s="105"/>
      <c r="B46" s="106"/>
      <c r="C46" s="107"/>
      <c r="E46" s="1979" t="s">
        <v>257</v>
      </c>
      <c r="F46" s="1980"/>
      <c r="G46" s="1980"/>
      <c r="H46" s="1981"/>
      <c r="I46" s="133">
        <v>0</v>
      </c>
    </row>
    <row r="47" spans="1:22" ht="51.75" customHeight="1" x14ac:dyDescent="0.25">
      <c r="A47" s="95"/>
      <c r="B47" s="9"/>
      <c r="C47" s="96"/>
      <c r="E47" s="1979" t="s">
        <v>258</v>
      </c>
      <c r="F47" s="1980"/>
      <c r="G47" s="1980"/>
      <c r="H47" s="1981"/>
      <c r="I47" s="133"/>
    </row>
    <row r="48" spans="1:22" x14ac:dyDescent="0.25">
      <c r="A48" s="105"/>
      <c r="B48" s="106"/>
      <c r="C48" s="107"/>
      <c r="E48" s="1979" t="s">
        <v>259</v>
      </c>
      <c r="F48" s="1980"/>
      <c r="G48" s="1980"/>
      <c r="H48" s="1981"/>
      <c r="I48" s="133"/>
    </row>
    <row r="49" spans="1:9" x14ac:dyDescent="0.25">
      <c r="A49" s="95"/>
      <c r="B49" s="9"/>
      <c r="C49" s="96"/>
      <c r="E49" s="1979" t="s">
        <v>260</v>
      </c>
      <c r="F49" s="1980"/>
      <c r="G49" s="1980"/>
      <c r="H49" s="1981"/>
      <c r="I49" s="133"/>
    </row>
    <row r="50" spans="1:9" x14ac:dyDescent="0.25">
      <c r="A50" s="105"/>
      <c r="B50" s="106"/>
      <c r="C50" s="107"/>
      <c r="E50" s="1979" t="s">
        <v>261</v>
      </c>
      <c r="F50" s="1980"/>
      <c r="G50" s="1980"/>
      <c r="H50" s="1981"/>
      <c r="I50" s="133"/>
    </row>
    <row r="51" spans="1:9" ht="32.25" customHeight="1" x14ac:dyDescent="0.25">
      <c r="A51" s="95"/>
      <c r="B51" s="9"/>
      <c r="C51" s="96"/>
      <c r="E51" s="1979" t="s">
        <v>262</v>
      </c>
      <c r="F51" s="1980"/>
      <c r="G51" s="1980"/>
      <c r="H51" s="1981"/>
      <c r="I51" s="133"/>
    </row>
    <row r="52" spans="1:9" ht="46.5" customHeight="1" thickBot="1" x14ac:dyDescent="0.3">
      <c r="A52" s="139"/>
      <c r="B52" s="140"/>
      <c r="C52" s="141"/>
      <c r="E52" s="1982" t="s">
        <v>263</v>
      </c>
      <c r="F52" s="1983"/>
      <c r="G52" s="1983"/>
      <c r="H52" s="1984"/>
      <c r="I52" s="133"/>
    </row>
    <row r="53" spans="1:9" ht="1.5" hidden="1" customHeight="1" x14ac:dyDescent="0.25">
      <c r="E53" s="134"/>
      <c r="F53" s="133"/>
      <c r="G53" s="133"/>
      <c r="H53" s="133"/>
      <c r="I53" s="133"/>
    </row>
    <row r="54" spans="1:9" x14ac:dyDescent="0.25">
      <c r="C54" s="9"/>
      <c r="D54" s="9"/>
      <c r="E54" s="9"/>
      <c r="F54" s="9"/>
      <c r="G54" s="9"/>
      <c r="H54" s="9"/>
      <c r="I54" s="9"/>
    </row>
    <row r="55" spans="1:9" x14ac:dyDescent="0.25">
      <c r="C55" s="9"/>
      <c r="D55" s="9"/>
      <c r="E55" s="9"/>
      <c r="F55" s="9"/>
      <c r="G55" s="9"/>
      <c r="H55" s="9"/>
      <c r="I55" s="9"/>
    </row>
    <row r="56" spans="1:9" x14ac:dyDescent="0.25">
      <c r="C56" s="9"/>
      <c r="D56" s="9"/>
      <c r="E56" s="9"/>
      <c r="F56" s="9"/>
      <c r="G56" s="9"/>
      <c r="H56" s="9"/>
      <c r="I56" s="9"/>
    </row>
    <row r="57" spans="1:9" x14ac:dyDescent="0.25">
      <c r="C57" s="9"/>
      <c r="D57" s="9"/>
      <c r="E57" s="9"/>
      <c r="F57" s="9"/>
      <c r="G57" s="9"/>
      <c r="H57" s="9"/>
      <c r="I57" s="9"/>
    </row>
    <row r="58" spans="1:9" x14ac:dyDescent="0.25">
      <c r="C58" s="9"/>
      <c r="D58" s="9"/>
      <c r="E58" s="9"/>
      <c r="F58" s="9"/>
      <c r="G58" s="9"/>
      <c r="H58" s="9"/>
      <c r="I58" s="9"/>
    </row>
    <row r="59" spans="1:9" x14ac:dyDescent="0.25">
      <c r="C59" s="9"/>
      <c r="D59" s="9"/>
      <c r="E59" s="9"/>
      <c r="F59" s="9"/>
      <c r="G59" s="9"/>
      <c r="H59" s="9"/>
      <c r="I59" s="9"/>
    </row>
    <row r="60" spans="1:9" x14ac:dyDescent="0.25">
      <c r="C60" s="9"/>
      <c r="D60" s="9"/>
      <c r="E60" s="9"/>
      <c r="F60" s="9"/>
      <c r="G60" s="9"/>
      <c r="H60" s="9"/>
      <c r="I60" s="9"/>
    </row>
    <row r="61" spans="1:9" x14ac:dyDescent="0.25">
      <c r="C61" s="9"/>
      <c r="D61" s="9"/>
      <c r="E61" s="9"/>
      <c r="F61" s="9"/>
      <c r="G61" s="9"/>
      <c r="H61" s="9"/>
      <c r="I61" s="9"/>
    </row>
    <row r="62" spans="1:9" x14ac:dyDescent="0.25">
      <c r="C62" s="9"/>
      <c r="D62" s="9"/>
      <c r="E62" s="9"/>
      <c r="F62" s="9"/>
      <c r="G62" s="9"/>
      <c r="H62" s="9"/>
      <c r="I62" s="9"/>
    </row>
    <row r="63" spans="1:9" x14ac:dyDescent="0.25">
      <c r="C63" s="9"/>
      <c r="D63" s="9"/>
      <c r="E63" s="9"/>
      <c r="F63" s="9"/>
      <c r="G63" s="9"/>
      <c r="H63" s="9"/>
      <c r="I63" s="9"/>
    </row>
    <row r="64" spans="1:9" x14ac:dyDescent="0.25">
      <c r="C64" s="9"/>
      <c r="D64" s="9"/>
      <c r="E64" s="9"/>
      <c r="F64" s="9"/>
      <c r="G64" s="9"/>
      <c r="H64" s="9"/>
      <c r="I64" s="9"/>
    </row>
    <row r="65" spans="3:9" x14ac:dyDescent="0.25">
      <c r="C65" s="9"/>
      <c r="D65" s="9"/>
      <c r="E65" s="9"/>
      <c r="F65" s="9"/>
      <c r="G65" s="9"/>
      <c r="H65" s="9"/>
      <c r="I65" s="9"/>
    </row>
    <row r="66" spans="3:9" x14ac:dyDescent="0.25">
      <c r="C66" s="9"/>
      <c r="D66" s="9"/>
      <c r="E66" s="9"/>
      <c r="F66" s="9"/>
      <c r="G66" s="9"/>
      <c r="H66" s="9"/>
      <c r="I66" s="9"/>
    </row>
    <row r="67" spans="3:9" x14ac:dyDescent="0.25">
      <c r="C67" s="9"/>
      <c r="D67" s="9"/>
      <c r="E67" s="9"/>
      <c r="F67" s="9"/>
      <c r="G67" s="9"/>
      <c r="H67" s="9"/>
      <c r="I67" s="9"/>
    </row>
    <row r="68" spans="3:9" x14ac:dyDescent="0.25">
      <c r="C68" s="9"/>
      <c r="D68" s="9"/>
      <c r="E68" s="9"/>
      <c r="F68" s="9"/>
      <c r="G68" s="9"/>
      <c r="H68" s="9"/>
      <c r="I68" s="9"/>
    </row>
    <row r="69" spans="3:9" x14ac:dyDescent="0.25">
      <c r="C69" s="9"/>
      <c r="D69" s="9"/>
      <c r="E69" s="9"/>
      <c r="F69" s="9"/>
      <c r="G69" s="9"/>
      <c r="H69" s="9"/>
      <c r="I69" s="9"/>
    </row>
    <row r="70" spans="3:9" x14ac:dyDescent="0.25">
      <c r="C70" s="9"/>
      <c r="D70" s="9"/>
      <c r="E70" s="9"/>
      <c r="F70" s="9"/>
      <c r="G70" s="9"/>
      <c r="H70" s="9"/>
      <c r="I70" s="9"/>
    </row>
    <row r="71" spans="3:9" x14ac:dyDescent="0.25">
      <c r="I71" s="9"/>
    </row>
    <row r="72" spans="3:9" x14ac:dyDescent="0.25">
      <c r="I72" s="9"/>
    </row>
    <row r="75" spans="3:9" x14ac:dyDescent="0.25">
      <c r="C75" s="9"/>
    </row>
    <row r="76" spans="3:9" x14ac:dyDescent="0.25">
      <c r="C76" s="9"/>
    </row>
  </sheetData>
  <mergeCells count="16">
    <mergeCell ref="E34:H34"/>
    <mergeCell ref="E37:H37"/>
    <mergeCell ref="E38:H38"/>
    <mergeCell ref="E51:H51"/>
    <mergeCell ref="E52:H52"/>
    <mergeCell ref="E50:H50"/>
    <mergeCell ref="E49:H49"/>
    <mergeCell ref="E48:H48"/>
    <mergeCell ref="E43:H43"/>
    <mergeCell ref="E39:H39"/>
    <mergeCell ref="E40:H40"/>
    <mergeCell ref="E41:H41"/>
    <mergeCell ref="E42:H42"/>
    <mergeCell ref="E45:H45"/>
    <mergeCell ref="E46:H46"/>
    <mergeCell ref="E47:H47"/>
  </mergeCells>
  <pageMargins left="0.51181102362204722" right="0.11811023622047245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100"/>
  <sheetViews>
    <sheetView topLeftCell="A25" workbookViewId="0">
      <selection activeCell="W43" sqref="W43:AP44"/>
    </sheetView>
  </sheetViews>
  <sheetFormatPr defaultColWidth="10.28515625" defaultRowHeight="15" x14ac:dyDescent="0.25"/>
  <cols>
    <col min="1" max="1" width="3.85546875" customWidth="1"/>
    <col min="2" max="2" width="8.28515625" hidden="1" customWidth="1"/>
    <col min="3" max="3" width="20" customWidth="1"/>
    <col min="4" max="4" width="10.28515625" hidden="1" customWidth="1"/>
    <col min="5" max="5" width="7.140625" hidden="1" customWidth="1"/>
    <col min="6" max="8" width="10.28515625" hidden="1" customWidth="1"/>
    <col min="9" max="9" width="12.28515625" hidden="1" customWidth="1"/>
    <col min="10" max="10" width="11.28515625" hidden="1" customWidth="1"/>
    <col min="11" max="11" width="11.42578125" hidden="1" customWidth="1"/>
    <col min="12" max="12" width="10.28515625" hidden="1" customWidth="1"/>
    <col min="13" max="13" width="11.85546875" hidden="1" customWidth="1"/>
    <col min="14" max="14" width="10.28515625" hidden="1" customWidth="1"/>
    <col min="15" max="15" width="11.85546875" hidden="1" customWidth="1"/>
    <col min="16" max="16" width="10.28515625" hidden="1" customWidth="1"/>
    <col min="17" max="17" width="12.5703125" hidden="1" customWidth="1"/>
    <col min="18" max="18" width="11.85546875" hidden="1" customWidth="1"/>
    <col min="19" max="19" width="12.42578125" customWidth="1"/>
    <col min="20" max="20" width="12.5703125" customWidth="1"/>
    <col min="21" max="21" width="11" hidden="1" customWidth="1"/>
    <col min="22" max="22" width="12.28515625" hidden="1" customWidth="1"/>
    <col min="23" max="23" width="13.140625" customWidth="1"/>
    <col min="24" max="24" width="11.85546875" customWidth="1"/>
    <col min="25" max="26" width="10.28515625" customWidth="1"/>
    <col min="27" max="27" width="11.28515625" customWidth="1"/>
    <col min="28" max="28" width="12.28515625" customWidth="1"/>
    <col min="29" max="29" width="12" customWidth="1"/>
    <col min="30" max="30" width="11.7109375" customWidth="1"/>
    <col min="31" max="31" width="10" customWidth="1"/>
    <col min="32" max="32" width="12.7109375" customWidth="1"/>
    <col min="33" max="33" width="10.28515625" customWidth="1"/>
    <col min="34" max="35" width="12.28515625" customWidth="1"/>
    <col min="36" max="36" width="10.28515625" hidden="1" customWidth="1"/>
    <col min="37" max="37" width="13" customWidth="1"/>
    <col min="38" max="38" width="12.140625" customWidth="1"/>
    <col min="39" max="39" width="10.28515625" customWidth="1"/>
    <col min="40" max="40" width="11" customWidth="1"/>
    <col min="41" max="44" width="10.28515625" customWidth="1"/>
    <col min="45" max="45" width="11.140625" customWidth="1"/>
    <col min="46" max="46" width="11.7109375" customWidth="1"/>
    <col min="47" max="51" width="10.28515625" customWidth="1"/>
  </cols>
  <sheetData>
    <row r="1" spans="1:71" x14ac:dyDescent="0.25">
      <c r="AI1" s="34"/>
      <c r="AJ1" s="34"/>
    </row>
    <row r="2" spans="1:71" ht="18.75" x14ac:dyDescent="0.3">
      <c r="D2" s="2095" t="s">
        <v>322</v>
      </c>
      <c r="E2" s="2095"/>
      <c r="F2" s="2095"/>
      <c r="G2" s="2095"/>
      <c r="H2" s="2095"/>
      <c r="I2" s="2095"/>
      <c r="J2" s="2095"/>
      <c r="K2" s="2095"/>
      <c r="L2" s="2095"/>
      <c r="M2" s="2095"/>
      <c r="N2" s="2095"/>
      <c r="O2" s="2095"/>
      <c r="P2" s="2095"/>
      <c r="Q2" s="2095"/>
      <c r="R2" s="2095"/>
      <c r="S2" s="2095"/>
      <c r="T2" s="2095"/>
      <c r="U2" s="2095"/>
      <c r="V2" s="2095"/>
      <c r="W2" s="2095"/>
      <c r="X2" s="2095"/>
      <c r="Y2" s="2095"/>
      <c r="Z2" s="2095"/>
      <c r="AA2" s="2095"/>
      <c r="AB2" s="2095"/>
      <c r="AC2" s="2095"/>
      <c r="AD2" s="24"/>
      <c r="AE2" s="24"/>
      <c r="AF2" s="24"/>
      <c r="AG2" s="24"/>
      <c r="AH2" s="24"/>
      <c r="AI2" s="34"/>
      <c r="AJ2" s="34"/>
    </row>
    <row r="3" spans="1:71" ht="15.75" x14ac:dyDescent="0.25">
      <c r="D3" s="2096" t="s">
        <v>786</v>
      </c>
      <c r="E3" s="2096"/>
      <c r="F3" s="2096"/>
      <c r="G3" s="2096"/>
      <c r="H3" s="2096"/>
      <c r="I3" s="2096"/>
      <c r="J3" s="2096"/>
      <c r="K3" s="2096"/>
      <c r="L3" s="2096"/>
      <c r="M3" s="2096"/>
      <c r="N3" s="2096"/>
      <c r="O3" s="2096"/>
      <c r="P3" s="2096"/>
      <c r="Q3" s="2096"/>
      <c r="R3" s="2096"/>
      <c r="S3" s="2096"/>
      <c r="T3" s="2096"/>
      <c r="U3" s="2096"/>
      <c r="V3" s="2096"/>
      <c r="W3" s="2096"/>
      <c r="X3" s="2096"/>
      <c r="Y3" s="2096"/>
      <c r="Z3" s="2096"/>
      <c r="AA3" s="2096"/>
      <c r="AB3" s="2096"/>
      <c r="AC3" s="2096"/>
      <c r="AD3" s="25"/>
      <c r="AE3" s="25"/>
      <c r="AF3" s="478"/>
      <c r="AG3" s="478"/>
      <c r="AH3" s="478"/>
      <c r="AI3" s="34"/>
      <c r="AJ3" s="34"/>
    </row>
    <row r="4" spans="1:71" x14ac:dyDescent="0.25">
      <c r="AF4" s="479"/>
      <c r="AG4" s="479"/>
      <c r="AH4" s="479"/>
      <c r="AI4" s="34"/>
      <c r="AJ4" s="34"/>
    </row>
    <row r="5" spans="1:71" ht="40.5" customHeight="1" x14ac:dyDescent="0.25">
      <c r="A5" s="2083" t="s">
        <v>0</v>
      </c>
      <c r="B5" s="2014"/>
      <c r="C5" s="2083" t="s">
        <v>184</v>
      </c>
      <c r="D5" s="2083" t="s">
        <v>54</v>
      </c>
      <c r="E5" s="2014" t="s">
        <v>55</v>
      </c>
      <c r="F5" s="2083" t="s">
        <v>56</v>
      </c>
      <c r="G5" s="2083" t="s">
        <v>57</v>
      </c>
      <c r="H5" s="2014" t="s">
        <v>6</v>
      </c>
      <c r="I5" s="2136" t="s">
        <v>290</v>
      </c>
      <c r="J5" s="2137"/>
      <c r="K5" s="1989" t="s">
        <v>656</v>
      </c>
      <c r="L5" s="1990"/>
      <c r="M5" s="1989" t="s">
        <v>657</v>
      </c>
      <c r="N5" s="1990"/>
      <c r="O5" s="1989" t="s">
        <v>658</v>
      </c>
      <c r="P5" s="1990"/>
      <c r="Q5" s="1989" t="s">
        <v>310</v>
      </c>
      <c r="R5" s="1990"/>
      <c r="S5" s="1989" t="s">
        <v>777</v>
      </c>
      <c r="T5" s="1990"/>
      <c r="U5" s="2017" t="s">
        <v>719</v>
      </c>
      <c r="V5" s="2017"/>
      <c r="W5" s="2041" t="s">
        <v>181</v>
      </c>
      <c r="X5" s="2147" t="s">
        <v>332</v>
      </c>
      <c r="Y5" s="2041" t="s">
        <v>377</v>
      </c>
      <c r="Z5" s="2132" t="s">
        <v>337</v>
      </c>
      <c r="AA5" s="2132" t="s">
        <v>695</v>
      </c>
      <c r="AB5" s="2132" t="s">
        <v>568</v>
      </c>
      <c r="AC5" s="2132" t="s">
        <v>570</v>
      </c>
      <c r="AD5" s="2132" t="s">
        <v>10</v>
      </c>
      <c r="AE5" s="2146" t="s">
        <v>837</v>
      </c>
      <c r="AF5" s="2146" t="s">
        <v>503</v>
      </c>
      <c r="AG5" s="2147" t="s">
        <v>369</v>
      </c>
      <c r="AH5" s="2147" t="s">
        <v>316</v>
      </c>
      <c r="AI5" s="2132" t="s">
        <v>836</v>
      </c>
      <c r="AJ5" s="2132"/>
      <c r="AK5" s="2069" t="s">
        <v>688</v>
      </c>
      <c r="AL5" s="2041" t="s">
        <v>727</v>
      </c>
      <c r="AM5" s="2041" t="s">
        <v>690</v>
      </c>
      <c r="AN5" s="2041" t="s">
        <v>839</v>
      </c>
      <c r="AO5" s="2041"/>
      <c r="AP5" s="2069" t="s">
        <v>692</v>
      </c>
      <c r="AQ5" s="2041" t="s">
        <v>693</v>
      </c>
      <c r="AR5" s="2041" t="s">
        <v>656</v>
      </c>
      <c r="AS5" s="2041" t="s">
        <v>694</v>
      </c>
      <c r="AT5" s="2041" t="s">
        <v>735</v>
      </c>
      <c r="AU5" s="2134" t="s">
        <v>724</v>
      </c>
      <c r="AV5" s="2043" t="s">
        <v>182</v>
      </c>
      <c r="AW5" s="2043" t="s">
        <v>736</v>
      </c>
      <c r="AX5" s="2043" t="s">
        <v>725</v>
      </c>
      <c r="AY5" s="2045" t="s">
        <v>715</v>
      </c>
      <c r="AZ5" s="2045" t="s">
        <v>716</v>
      </c>
    </row>
    <row r="6" spans="1:71" ht="49.5" customHeight="1" x14ac:dyDescent="0.25">
      <c r="A6" s="2083"/>
      <c r="B6" s="2015"/>
      <c r="C6" s="2083"/>
      <c r="D6" s="2083"/>
      <c r="E6" s="2015"/>
      <c r="F6" s="2083"/>
      <c r="G6" s="2083"/>
      <c r="H6" s="2015"/>
      <c r="I6" s="1003" t="s">
        <v>15</v>
      </c>
      <c r="J6" s="888" t="s">
        <v>286</v>
      </c>
      <c r="K6" s="150" t="s">
        <v>15</v>
      </c>
      <c r="L6" s="1618" t="s">
        <v>16</v>
      </c>
      <c r="M6" s="150" t="s">
        <v>15</v>
      </c>
      <c r="N6" s="1618" t="s">
        <v>16</v>
      </c>
      <c r="O6" s="150" t="s">
        <v>15</v>
      </c>
      <c r="P6" s="1618" t="s">
        <v>16</v>
      </c>
      <c r="Q6" s="150" t="s">
        <v>15</v>
      </c>
      <c r="R6" s="1618" t="s">
        <v>16</v>
      </c>
      <c r="S6" s="150" t="s">
        <v>15</v>
      </c>
      <c r="T6" s="1618" t="s">
        <v>16</v>
      </c>
      <c r="U6" s="150" t="s">
        <v>15</v>
      </c>
      <c r="V6" s="1618" t="s">
        <v>16</v>
      </c>
      <c r="W6" s="2042"/>
      <c r="X6" s="2147"/>
      <c r="Y6" s="2042"/>
      <c r="Z6" s="2133"/>
      <c r="AA6" s="2133"/>
      <c r="AB6" s="2133"/>
      <c r="AC6" s="2044"/>
      <c r="AD6" s="2133"/>
      <c r="AE6" s="2146"/>
      <c r="AF6" s="2146"/>
      <c r="AG6" s="2148"/>
      <c r="AH6" s="2147"/>
      <c r="AI6" s="2133"/>
      <c r="AJ6" s="2133"/>
      <c r="AK6" s="2070"/>
      <c r="AL6" s="2042"/>
      <c r="AM6" s="2042"/>
      <c r="AN6" s="2042"/>
      <c r="AO6" s="2042"/>
      <c r="AP6" s="2070"/>
      <c r="AQ6" s="2042"/>
      <c r="AR6" s="2042"/>
      <c r="AS6" s="2042"/>
      <c r="AT6" s="2042"/>
      <c r="AU6" s="2135"/>
      <c r="AV6" s="2044"/>
      <c r="AW6" s="2044"/>
      <c r="AX6" s="2044"/>
      <c r="AY6" s="2046"/>
      <c r="AZ6" s="2046"/>
    </row>
    <row r="7" spans="1:71" x14ac:dyDescent="0.25">
      <c r="A7" s="32">
        <v>1</v>
      </c>
      <c r="B7" s="582"/>
      <c r="C7" s="42" t="s">
        <v>145</v>
      </c>
      <c r="D7" s="705">
        <v>1960</v>
      </c>
      <c r="E7" s="705">
        <v>2</v>
      </c>
      <c r="F7" s="866">
        <v>16</v>
      </c>
      <c r="G7" s="867">
        <v>35</v>
      </c>
      <c r="H7" s="866">
        <v>636.4</v>
      </c>
      <c r="I7" s="866"/>
      <c r="J7" s="866"/>
      <c r="K7" s="866">
        <v>611.58000000000004</v>
      </c>
      <c r="L7" s="866">
        <v>739.47</v>
      </c>
      <c r="M7" s="866">
        <v>0</v>
      </c>
      <c r="N7" s="866">
        <v>0</v>
      </c>
      <c r="O7" s="866">
        <v>6804.24</v>
      </c>
      <c r="P7" s="866">
        <v>7896.73</v>
      </c>
      <c r="Q7" s="866">
        <v>62690.76</v>
      </c>
      <c r="R7" s="866">
        <v>53993.15</v>
      </c>
      <c r="S7" s="625">
        <v>741.44</v>
      </c>
      <c r="T7" s="625">
        <v>571.07000000000005</v>
      </c>
      <c r="U7" s="625">
        <f>I7+K7+M7+O7+Q7+S7</f>
        <v>70848.02</v>
      </c>
      <c r="V7" s="625">
        <f>J7+L7+N7+P7+R7+T7</f>
        <v>63200.42</v>
      </c>
      <c r="W7" s="625">
        <f>AK7+AP7+AQ7+AR7+AS7</f>
        <v>66954.715307189268</v>
      </c>
      <c r="X7" s="870">
        <v>249.42</v>
      </c>
      <c r="Y7" s="890">
        <f>114406.05/37786.48*H7</f>
        <v>1926.8270084961605</v>
      </c>
      <c r="Z7" s="871">
        <v>1022.7</v>
      </c>
      <c r="AA7" s="890">
        <f>19237.68/37653.88*H7</f>
        <v>325.14204517568976</v>
      </c>
      <c r="AB7" s="890">
        <f>1000/37653.88*H7</f>
        <v>16.901312693406364</v>
      </c>
      <c r="AC7" s="890">
        <f>924.65/37653.88*H7</f>
        <v>15.627798781958194</v>
      </c>
      <c r="AD7" s="871"/>
      <c r="AE7" s="871">
        <f>5900/37653.88*H7</f>
        <v>99.717744891097553</v>
      </c>
      <c r="AF7" s="871">
        <f>113077.78/37653.88*H7</f>
        <v>1911.1629184562123</v>
      </c>
      <c r="AG7" s="871">
        <f>368756.86/37653.88*H7</f>
        <v>6232.4749986986735</v>
      </c>
      <c r="AH7" s="871">
        <f>1188868.46/37653.88*H7</f>
        <v>20093.437593788476</v>
      </c>
      <c r="AI7" s="871">
        <f>1194657.38/37140.08*H7</f>
        <v>20470.606326965368</v>
      </c>
      <c r="AJ7" s="871"/>
      <c r="AK7" s="1328">
        <f>AJ7+AI7+AH7+AG7+AF7+AE7+AD7+AC7+AB7+AA7+Z7+Y7+X7</f>
        <v>52364.017747947037</v>
      </c>
      <c r="AL7" s="1480"/>
      <c r="AM7" s="1481"/>
      <c r="AN7" s="1481"/>
      <c r="AO7" s="1481"/>
      <c r="AP7" s="1491">
        <f>AO7+AN7+AM7+AL7</f>
        <v>0</v>
      </c>
      <c r="AQ7" s="1481"/>
      <c r="AR7" s="1481">
        <f>60295.04/37653.88*H7</f>
        <v>1019.0653249014445</v>
      </c>
      <c r="AS7" s="1481">
        <f>802992.79/37653.88*H7</f>
        <v>13571.63223434079</v>
      </c>
      <c r="AT7" s="1481">
        <f>U7-W7</f>
        <v>3893.304692810736</v>
      </c>
      <c r="AU7" s="1481">
        <f>V7/U7*100</f>
        <v>89.205626353425245</v>
      </c>
      <c r="AV7" s="1481">
        <f>W7/F7/9</f>
        <v>464.96330074436992</v>
      </c>
      <c r="AW7" s="1481">
        <f>U7-V7</f>
        <v>7647.6000000000058</v>
      </c>
      <c r="AX7" s="1481">
        <f>S7-T7</f>
        <v>170.37</v>
      </c>
      <c r="AY7" s="1481">
        <v>9.41</v>
      </c>
      <c r="AZ7" s="1481">
        <v>4</v>
      </c>
    </row>
    <row r="8" spans="1:71" x14ac:dyDescent="0.25">
      <c r="A8" s="32">
        <v>2</v>
      </c>
      <c r="B8" s="582"/>
      <c r="C8" s="42" t="s">
        <v>146</v>
      </c>
      <c r="D8" s="705">
        <v>1960</v>
      </c>
      <c r="E8" s="705">
        <v>2</v>
      </c>
      <c r="F8" s="866">
        <v>16</v>
      </c>
      <c r="G8" s="867">
        <v>27</v>
      </c>
      <c r="H8" s="866">
        <v>647.79999999999995</v>
      </c>
      <c r="I8" s="866"/>
      <c r="J8" s="866"/>
      <c r="K8" s="866">
        <v>621.84</v>
      </c>
      <c r="L8" s="866">
        <v>568.41</v>
      </c>
      <c r="M8" s="866">
        <v>0</v>
      </c>
      <c r="N8" s="866">
        <v>0</v>
      </c>
      <c r="O8" s="866">
        <v>6918.6</v>
      </c>
      <c r="P8" s="866">
        <v>6318.24</v>
      </c>
      <c r="Q8" s="866">
        <v>63783.51</v>
      </c>
      <c r="R8" s="866">
        <v>48026.74</v>
      </c>
      <c r="S8" s="625">
        <v>741.3</v>
      </c>
      <c r="T8" s="625">
        <v>553.63</v>
      </c>
      <c r="U8" s="625">
        <f t="shared" ref="U8:U33" si="0">I8+K8+M8+O8+Q8+S8</f>
        <v>72065.25</v>
      </c>
      <c r="V8" s="625">
        <f t="shared" ref="V8:V33" si="1">J8+L8+N8+P8+R8+T8</f>
        <v>55467.02</v>
      </c>
      <c r="W8" s="625">
        <f t="shared" ref="W8:W33" si="2">AK8+AP8+AQ8+AR8+AS8</f>
        <v>68239.964852289762</v>
      </c>
      <c r="X8" s="870">
        <v>373.62</v>
      </c>
      <c r="Y8" s="890">
        <f t="shared" ref="Y8:Y33" si="3">114406.05/37786.48*H8</f>
        <v>1961.3427657193788</v>
      </c>
      <c r="Z8" s="871">
        <v>1007.16</v>
      </c>
      <c r="AA8" s="890">
        <f t="shared" ref="AA8:AA33" si="4">19237.68/37653.88*H8</f>
        <v>330.96639985042714</v>
      </c>
      <c r="AB8" s="890">
        <f t="shared" ref="AB8:AB33" si="5">1000/37653.88*H8</f>
        <v>17.204070337505723</v>
      </c>
      <c r="AC8" s="890">
        <f t="shared" ref="AC8:AC33" si="6">924.65/37653.88*H8</f>
        <v>15.907743637574667</v>
      </c>
      <c r="AD8" s="871"/>
      <c r="AE8" s="871">
        <f t="shared" ref="AE8:AE33" si="7">5900/37653.88*H8</f>
        <v>101.50401499128377</v>
      </c>
      <c r="AF8" s="871">
        <f t="shared" ref="AF8:AF33" si="8">113077.78/37653.88*H8</f>
        <v>1945.3980807289979</v>
      </c>
      <c r="AG8" s="871">
        <f t="shared" ref="AG8:AG33" si="9">368756.86/37653.88*H8</f>
        <v>6344.1189568777509</v>
      </c>
      <c r="AH8" s="871">
        <f t="shared" ref="AH8:AH33" si="10">1188868.46/37653.88*H8</f>
        <v>20453.376607882106</v>
      </c>
      <c r="AI8" s="871">
        <f t="shared" ref="AI8:AI29" si="11">1194657.38/37140.08*H8</f>
        <v>20837.301663432063</v>
      </c>
      <c r="AJ8" s="871"/>
      <c r="AK8" s="1328">
        <f t="shared" ref="AK8:AK33" si="12">AJ8+AI8+AH8+AG8+AF8+AE8+AD8+AC8+AB8+AA8+Z8+Y8+X8</f>
        <v>53387.900303457085</v>
      </c>
      <c r="AL8" s="1480"/>
      <c r="AM8" s="1481"/>
      <c r="AN8" s="1481"/>
      <c r="AO8" s="1481"/>
      <c r="AP8" s="1491">
        <f t="shared" ref="AP8:AP33" si="13">AO8+AN8+AM8+AL8</f>
        <v>0</v>
      </c>
      <c r="AQ8" s="1481"/>
      <c r="AR8" s="1481">
        <f t="shared" ref="AR8:AR33" si="14">60295.04/37653.88*H8</f>
        <v>1037.3201091627211</v>
      </c>
      <c r="AS8" s="1481">
        <f t="shared" ref="AS8:AS33" si="15">802992.79/37653.88*H8</f>
        <v>13814.744439669961</v>
      </c>
      <c r="AT8" s="1481">
        <f t="shared" ref="AT8:AT33" si="16">U8-W8</f>
        <v>3825.2851477102377</v>
      </c>
      <c r="AU8" s="1481">
        <f t="shared" ref="AU8:AU34" si="17">V8/U8*100</f>
        <v>76.967775731021533</v>
      </c>
      <c r="AV8" s="1481">
        <f t="shared" ref="AV8:AV34" si="18">W8/F8/9</f>
        <v>473.8886448075678</v>
      </c>
      <c r="AW8" s="1481">
        <f t="shared" ref="AW8:AW34" si="19">U8-V8</f>
        <v>16598.230000000003</v>
      </c>
      <c r="AX8" s="1481">
        <f t="shared" ref="AX8:AX33" si="20">S8-T8</f>
        <v>187.66999999999996</v>
      </c>
      <c r="AY8" s="1481">
        <v>9.42</v>
      </c>
      <c r="AZ8" s="1481">
        <v>4</v>
      </c>
    </row>
    <row r="9" spans="1:71" x14ac:dyDescent="0.25">
      <c r="A9" s="32">
        <v>3</v>
      </c>
      <c r="B9" s="582"/>
      <c r="C9" s="42" t="s">
        <v>147</v>
      </c>
      <c r="D9" s="705">
        <v>1960</v>
      </c>
      <c r="E9" s="705">
        <v>2</v>
      </c>
      <c r="F9" s="866">
        <v>16</v>
      </c>
      <c r="G9" s="867">
        <v>27</v>
      </c>
      <c r="H9" s="866">
        <v>641</v>
      </c>
      <c r="I9" s="866"/>
      <c r="J9" s="866"/>
      <c r="K9" s="866">
        <v>615.17999999999995</v>
      </c>
      <c r="L9" s="866">
        <v>722.46</v>
      </c>
      <c r="M9" s="866">
        <v>0</v>
      </c>
      <c r="N9" s="866">
        <v>0</v>
      </c>
      <c r="O9" s="866">
        <v>6846</v>
      </c>
      <c r="P9" s="866">
        <v>8040.34</v>
      </c>
      <c r="Q9" s="866">
        <v>63074.52</v>
      </c>
      <c r="R9" s="866">
        <v>60380.66</v>
      </c>
      <c r="S9" s="625">
        <v>741</v>
      </c>
      <c r="T9" s="625">
        <v>710.12</v>
      </c>
      <c r="U9" s="625">
        <f t="shared" si="0"/>
        <v>71276.7</v>
      </c>
      <c r="V9" s="625">
        <f t="shared" si="1"/>
        <v>69853.58</v>
      </c>
      <c r="W9" s="625">
        <f t="shared" si="2"/>
        <v>68933.609509598245</v>
      </c>
      <c r="X9" s="870">
        <v>1769.09</v>
      </c>
      <c r="Y9" s="890">
        <f t="shared" si="3"/>
        <v>1940.7544193055294</v>
      </c>
      <c r="Z9" s="871">
        <v>1007.16</v>
      </c>
      <c r="AA9" s="890">
        <f t="shared" si="4"/>
        <v>327.49222337777678</v>
      </c>
      <c r="AB9" s="890">
        <f t="shared" si="5"/>
        <v>17.023478058569264</v>
      </c>
      <c r="AC9" s="890">
        <f t="shared" si="6"/>
        <v>15.74075898685607</v>
      </c>
      <c r="AD9" s="871"/>
      <c r="AE9" s="871">
        <f t="shared" si="7"/>
        <v>100.43852054555866</v>
      </c>
      <c r="AF9" s="871">
        <f t="shared" si="8"/>
        <v>1924.9771067417223</v>
      </c>
      <c r="AG9" s="871">
        <f t="shared" si="9"/>
        <v>6277.5243151568984</v>
      </c>
      <c r="AH9" s="871">
        <f t="shared" si="10"/>
        <v>20238.676143335029</v>
      </c>
      <c r="AI9" s="871">
        <f t="shared" si="11"/>
        <v>20618.571111855439</v>
      </c>
      <c r="AJ9" s="871"/>
      <c r="AK9" s="1328">
        <f t="shared" si="12"/>
        <v>54237.448077363377</v>
      </c>
      <c r="AL9" s="1480"/>
      <c r="AM9" s="1481"/>
      <c r="AN9" s="1481"/>
      <c r="AO9" s="1481"/>
      <c r="AP9" s="1491">
        <f t="shared" si="13"/>
        <v>0</v>
      </c>
      <c r="AQ9" s="1481"/>
      <c r="AR9" s="1481">
        <f t="shared" si="14"/>
        <v>1026.4312904805561</v>
      </c>
      <c r="AS9" s="1481">
        <f t="shared" si="15"/>
        <v>13669.730141754317</v>
      </c>
      <c r="AT9" s="1481">
        <f t="shared" si="16"/>
        <v>2343.0904904017516</v>
      </c>
      <c r="AU9" s="1481">
        <f t="shared" si="17"/>
        <v>98.003386801016319</v>
      </c>
      <c r="AV9" s="1481">
        <f t="shared" si="18"/>
        <v>478.70562159443227</v>
      </c>
      <c r="AW9" s="1481">
        <f t="shared" si="19"/>
        <v>1423.1199999999953</v>
      </c>
      <c r="AX9" s="1481">
        <f t="shared" si="20"/>
        <v>30.879999999999995</v>
      </c>
      <c r="AY9" s="1481">
        <v>9.41</v>
      </c>
      <c r="AZ9" s="1481">
        <v>4.92</v>
      </c>
    </row>
    <row r="10" spans="1:71" x14ac:dyDescent="0.25">
      <c r="A10" s="32">
        <v>4</v>
      </c>
      <c r="B10" s="582"/>
      <c r="C10" s="42" t="s">
        <v>148</v>
      </c>
      <c r="D10" s="705">
        <v>1960</v>
      </c>
      <c r="E10" s="705">
        <v>2</v>
      </c>
      <c r="F10" s="866">
        <v>16</v>
      </c>
      <c r="G10" s="867">
        <v>27</v>
      </c>
      <c r="H10" s="866">
        <v>634</v>
      </c>
      <c r="I10" s="866"/>
      <c r="J10" s="866"/>
      <c r="K10" s="866">
        <v>610.55999999999995</v>
      </c>
      <c r="L10" s="866">
        <v>725.76</v>
      </c>
      <c r="M10" s="866">
        <v>0</v>
      </c>
      <c r="N10" s="866">
        <v>0</v>
      </c>
      <c r="O10" s="866">
        <v>6792.66</v>
      </c>
      <c r="P10" s="866">
        <v>8000.71</v>
      </c>
      <c r="Q10" s="866">
        <v>62582.400000000001</v>
      </c>
      <c r="R10" s="866">
        <v>58453.25</v>
      </c>
      <c r="S10" s="625">
        <v>741.47</v>
      </c>
      <c r="T10" s="625">
        <v>657.71</v>
      </c>
      <c r="U10" s="625">
        <f t="shared" si="0"/>
        <v>70727.09</v>
      </c>
      <c r="V10" s="625">
        <f t="shared" si="1"/>
        <v>67837.430000000008</v>
      </c>
      <c r="W10" s="625">
        <f t="shared" si="2"/>
        <v>66959.162245062878</v>
      </c>
      <c r="X10" s="870">
        <v>517.11</v>
      </c>
      <c r="Y10" s="890">
        <f t="shared" si="3"/>
        <v>1919.5605332912723</v>
      </c>
      <c r="Z10" s="871">
        <v>1007.16</v>
      </c>
      <c r="AA10" s="890">
        <f t="shared" si="4"/>
        <v>323.91586524416613</v>
      </c>
      <c r="AB10" s="890">
        <f t="shared" si="5"/>
        <v>16.837574242017027</v>
      </c>
      <c r="AC10" s="890">
        <f t="shared" si="6"/>
        <v>15.568863022881043</v>
      </c>
      <c r="AD10" s="871"/>
      <c r="AE10" s="871">
        <f t="shared" si="7"/>
        <v>99.34168802790046</v>
      </c>
      <c r="AF10" s="871">
        <f t="shared" si="8"/>
        <v>1903.9555158724679</v>
      </c>
      <c r="AG10" s="871">
        <f t="shared" si="9"/>
        <v>6208.9710075030789</v>
      </c>
      <c r="AH10" s="871">
        <f t="shared" si="10"/>
        <v>20017.660959242447</v>
      </c>
      <c r="AI10" s="871">
        <f t="shared" si="11"/>
        <v>20393.407308761853</v>
      </c>
      <c r="AJ10" s="871"/>
      <c r="AK10" s="1328">
        <f t="shared" si="12"/>
        <v>52423.489315208099</v>
      </c>
      <c r="AL10" s="1480"/>
      <c r="AM10" s="1481"/>
      <c r="AN10" s="1481"/>
      <c r="AO10" s="1481"/>
      <c r="AP10" s="1491">
        <f t="shared" si="13"/>
        <v>0</v>
      </c>
      <c r="AQ10" s="1481"/>
      <c r="AR10" s="1481">
        <f t="shared" si="14"/>
        <v>1015.2222124253863</v>
      </c>
      <c r="AS10" s="1481">
        <f t="shared" si="15"/>
        <v>13520.450717429387</v>
      </c>
      <c r="AT10" s="1481">
        <f t="shared" si="16"/>
        <v>3767.9277549371182</v>
      </c>
      <c r="AU10" s="1481">
        <f t="shared" si="17"/>
        <v>95.914351912400193</v>
      </c>
      <c r="AV10" s="1481">
        <f t="shared" si="18"/>
        <v>464.99418225738111</v>
      </c>
      <c r="AW10" s="1481">
        <f t="shared" si="19"/>
        <v>2889.6599999999889</v>
      </c>
      <c r="AX10" s="1481">
        <f t="shared" si="20"/>
        <v>83.759999999999991</v>
      </c>
      <c r="AY10" s="1481">
        <v>9.41</v>
      </c>
      <c r="AZ10" s="1481">
        <v>4</v>
      </c>
    </row>
    <row r="11" spans="1:71" x14ac:dyDescent="0.25">
      <c r="A11" s="32">
        <v>5</v>
      </c>
      <c r="B11" s="582"/>
      <c r="C11" s="42" t="s">
        <v>149</v>
      </c>
      <c r="D11" s="705">
        <v>1960</v>
      </c>
      <c r="E11" s="705">
        <v>2</v>
      </c>
      <c r="F11" s="866">
        <v>16</v>
      </c>
      <c r="G11" s="867">
        <v>22</v>
      </c>
      <c r="H11" s="866">
        <v>632.20000000000005</v>
      </c>
      <c r="I11" s="866"/>
      <c r="J11" s="866"/>
      <c r="K11" s="866">
        <v>605.87</v>
      </c>
      <c r="L11" s="866">
        <v>743.95</v>
      </c>
      <c r="M11" s="866">
        <v>0</v>
      </c>
      <c r="N11" s="866">
        <v>0</v>
      </c>
      <c r="O11" s="866">
        <v>6740.98</v>
      </c>
      <c r="P11" s="866">
        <v>8260.82</v>
      </c>
      <c r="Q11" s="866">
        <v>62097.94</v>
      </c>
      <c r="R11" s="866">
        <v>58931.17</v>
      </c>
      <c r="S11" s="625">
        <v>741.26</v>
      </c>
      <c r="T11" s="625">
        <v>694.71</v>
      </c>
      <c r="U11" s="625">
        <f t="shared" si="0"/>
        <v>70186.05</v>
      </c>
      <c r="V11" s="625">
        <f t="shared" si="1"/>
        <v>68630.650000000009</v>
      </c>
      <c r="W11" s="625">
        <f t="shared" si="2"/>
        <v>67091.36494846805</v>
      </c>
      <c r="X11" s="870">
        <v>835.09</v>
      </c>
      <c r="Y11" s="890">
        <f t="shared" si="3"/>
        <v>1914.1106768876064</v>
      </c>
      <c r="Z11" s="871">
        <v>1007.16</v>
      </c>
      <c r="AA11" s="890">
        <f t="shared" si="4"/>
        <v>322.99623029552339</v>
      </c>
      <c r="AB11" s="890">
        <f t="shared" si="5"/>
        <v>16.789770403475025</v>
      </c>
      <c r="AC11" s="890">
        <f t="shared" si="6"/>
        <v>15.52466120357318</v>
      </c>
      <c r="AD11" s="871"/>
      <c r="AE11" s="871">
        <f t="shared" si="7"/>
        <v>99.059645380502644</v>
      </c>
      <c r="AF11" s="871">
        <f t="shared" si="8"/>
        <v>1898.5499639346599</v>
      </c>
      <c r="AG11" s="871">
        <f t="shared" si="9"/>
        <v>6191.3430141063827</v>
      </c>
      <c r="AH11" s="871">
        <f t="shared" si="10"/>
        <v>19960.828483332927</v>
      </c>
      <c r="AI11" s="871">
        <f t="shared" si="11"/>
        <v>20335.508045109218</v>
      </c>
      <c r="AJ11" s="871"/>
      <c r="AK11" s="1328">
        <f t="shared" si="12"/>
        <v>52596.960490653866</v>
      </c>
      <c r="AL11" s="1480"/>
      <c r="AM11" s="1481"/>
      <c r="AN11" s="1481"/>
      <c r="AO11" s="1481"/>
      <c r="AP11" s="1491">
        <f t="shared" si="13"/>
        <v>0</v>
      </c>
      <c r="AQ11" s="1481"/>
      <c r="AR11" s="1481">
        <f t="shared" si="14"/>
        <v>1012.3398780683426</v>
      </c>
      <c r="AS11" s="1481">
        <f t="shared" si="15"/>
        <v>13482.064579745835</v>
      </c>
      <c r="AT11" s="1481">
        <f t="shared" si="16"/>
        <v>3094.6850515319529</v>
      </c>
      <c r="AU11" s="1481">
        <f t="shared" si="17"/>
        <v>97.783890103517734</v>
      </c>
      <c r="AV11" s="1481">
        <f t="shared" si="18"/>
        <v>465.91225658658368</v>
      </c>
      <c r="AW11" s="1481">
        <f t="shared" si="19"/>
        <v>1555.3999999999942</v>
      </c>
      <c r="AX11" s="1481">
        <f t="shared" si="20"/>
        <v>46.549999999999955</v>
      </c>
      <c r="AY11" s="1481">
        <v>9.41</v>
      </c>
      <c r="AZ11" s="1481">
        <v>4</v>
      </c>
    </row>
    <row r="12" spans="1:71" x14ac:dyDescent="0.25">
      <c r="A12" s="32">
        <v>6</v>
      </c>
      <c r="B12" s="582" t="s">
        <v>304</v>
      </c>
      <c r="C12" s="1749" t="s">
        <v>150</v>
      </c>
      <c r="D12" s="690">
        <v>1966</v>
      </c>
      <c r="E12" s="690">
        <v>3</v>
      </c>
      <c r="F12" s="706">
        <v>36</v>
      </c>
      <c r="G12" s="869">
        <v>65</v>
      </c>
      <c r="H12" s="706">
        <v>1460.92</v>
      </c>
      <c r="I12" s="706">
        <v>32255.14</v>
      </c>
      <c r="J12" s="706">
        <v>37096.53</v>
      </c>
      <c r="K12" s="706">
        <v>1425.86</v>
      </c>
      <c r="L12" s="706">
        <v>1639.86</v>
      </c>
      <c r="M12" s="706">
        <v>0</v>
      </c>
      <c r="N12" s="706">
        <v>0</v>
      </c>
      <c r="O12" s="706">
        <v>15859.94</v>
      </c>
      <c r="P12" s="706">
        <v>18126.97</v>
      </c>
      <c r="Q12" s="706">
        <v>191001.04</v>
      </c>
      <c r="R12" s="706">
        <v>169195.75</v>
      </c>
      <c r="S12" s="871">
        <v>5837.89</v>
      </c>
      <c r="T12" s="871">
        <v>5072.09</v>
      </c>
      <c r="U12" s="871">
        <f t="shared" si="0"/>
        <v>246379.87000000002</v>
      </c>
      <c r="V12" s="871">
        <f t="shared" si="1"/>
        <v>231131.19999999998</v>
      </c>
      <c r="W12" s="625">
        <f t="shared" si="2"/>
        <v>208424.86501261318</v>
      </c>
      <c r="X12" s="870">
        <v>4775.91</v>
      </c>
      <c r="Y12" s="890">
        <f t="shared" si="3"/>
        <v>4423.2245651354669</v>
      </c>
      <c r="Z12" s="871">
        <v>2249.2399999999998</v>
      </c>
      <c r="AA12" s="890">
        <f t="shared" si="4"/>
        <v>746.39616065064217</v>
      </c>
      <c r="AB12" s="890">
        <f t="shared" si="5"/>
        <v>38.79865766821375</v>
      </c>
      <c r="AC12" s="890">
        <f t="shared" si="6"/>
        <v>35.875178812913838</v>
      </c>
      <c r="AD12" s="871">
        <v>1826.66</v>
      </c>
      <c r="AE12" s="871">
        <f t="shared" si="7"/>
        <v>228.91208024246112</v>
      </c>
      <c r="AF12" s="871">
        <f t="shared" si="8"/>
        <v>4387.2660761015868</v>
      </c>
      <c r="AG12" s="871">
        <f t="shared" si="9"/>
        <v>14307.271173945423</v>
      </c>
      <c r="AH12" s="871">
        <f t="shared" si="10"/>
        <v>46126.500392076465</v>
      </c>
      <c r="AI12" s="871">
        <f t="shared" si="11"/>
        <v>46992.329030782916</v>
      </c>
      <c r="AJ12" s="871"/>
      <c r="AK12" s="1328">
        <f t="shared" si="12"/>
        <v>126138.38331541611</v>
      </c>
      <c r="AL12" s="1480">
        <f>6417.54/27394.27*H12</f>
        <v>342.24356176674905</v>
      </c>
      <c r="AM12" s="1481">
        <v>634.76</v>
      </c>
      <c r="AN12" s="1481">
        <f>896598.66/27394.27*H12</f>
        <v>47815.069150125193</v>
      </c>
      <c r="AO12" s="1481"/>
      <c r="AP12" s="1491">
        <f t="shared" si="13"/>
        <v>48792.072711891946</v>
      </c>
      <c r="AQ12" s="1481"/>
      <c r="AR12" s="1481">
        <f t="shared" si="14"/>
        <v>2339.3666160512544</v>
      </c>
      <c r="AS12" s="1481">
        <f t="shared" si="15"/>
        <v>31155.04236925385</v>
      </c>
      <c r="AT12" s="1481">
        <f t="shared" si="16"/>
        <v>37955.004987386841</v>
      </c>
      <c r="AU12" s="1481">
        <f t="shared" si="17"/>
        <v>93.810910769617649</v>
      </c>
      <c r="AV12" s="1481">
        <f t="shared" si="18"/>
        <v>643.28662040929999</v>
      </c>
      <c r="AW12" s="1481">
        <f t="shared" si="19"/>
        <v>15248.670000000042</v>
      </c>
      <c r="AX12" s="1481">
        <f t="shared" si="20"/>
        <v>765.80000000000018</v>
      </c>
      <c r="AY12" s="1481">
        <v>13.85</v>
      </c>
      <c r="AZ12" s="1481">
        <v>4</v>
      </c>
    </row>
    <row r="13" spans="1:71" x14ac:dyDescent="0.25">
      <c r="A13" s="32">
        <v>7</v>
      </c>
      <c r="B13" s="582" t="s">
        <v>304</v>
      </c>
      <c r="C13" s="1749" t="s">
        <v>151</v>
      </c>
      <c r="D13" s="690">
        <v>1966</v>
      </c>
      <c r="E13" s="690">
        <v>3</v>
      </c>
      <c r="F13" s="706">
        <v>36</v>
      </c>
      <c r="G13" s="869">
        <v>68</v>
      </c>
      <c r="H13" s="706">
        <v>1486.39</v>
      </c>
      <c r="I13" s="706">
        <v>32431.08</v>
      </c>
      <c r="J13" s="706">
        <v>37780.14</v>
      </c>
      <c r="K13" s="706">
        <v>1425.54</v>
      </c>
      <c r="L13" s="706">
        <v>1660.67</v>
      </c>
      <c r="M13" s="706">
        <v>0</v>
      </c>
      <c r="N13" s="706">
        <v>0</v>
      </c>
      <c r="O13" s="706">
        <v>15858.96</v>
      </c>
      <c r="P13" s="706">
        <v>18399.57</v>
      </c>
      <c r="Q13" s="706">
        <v>191065.98</v>
      </c>
      <c r="R13" s="706">
        <v>169293.58</v>
      </c>
      <c r="S13" s="871">
        <v>6034.49</v>
      </c>
      <c r="T13" s="871">
        <v>5528.75</v>
      </c>
      <c r="U13" s="871">
        <f t="shared" si="0"/>
        <v>246816.05</v>
      </c>
      <c r="V13" s="871">
        <f t="shared" si="1"/>
        <v>232662.71</v>
      </c>
      <c r="W13" s="625">
        <f t="shared" si="2"/>
        <v>209354.54892136328</v>
      </c>
      <c r="X13" s="870">
        <v>2735.04</v>
      </c>
      <c r="Y13" s="890">
        <f t="shared" si="3"/>
        <v>4500.340033247342</v>
      </c>
      <c r="Z13" s="871">
        <v>2089.4299999999998</v>
      </c>
      <c r="AA13" s="890">
        <f t="shared" si="4"/>
        <v>759.408995173937</v>
      </c>
      <c r="AB13" s="890">
        <f t="shared" si="5"/>
        <v>39.475081983583109</v>
      </c>
      <c r="AC13" s="890">
        <f t="shared" si="6"/>
        <v>36.500634556120119</v>
      </c>
      <c r="AD13" s="871">
        <v>1826.66</v>
      </c>
      <c r="AE13" s="871">
        <f t="shared" si="7"/>
        <v>232.90298370314034</v>
      </c>
      <c r="AF13" s="871">
        <f t="shared" si="8"/>
        <v>4463.7546360215738</v>
      </c>
      <c r="AG13" s="871">
        <f t="shared" si="9"/>
        <v>14556.707280508677</v>
      </c>
      <c r="AH13" s="871">
        <f t="shared" si="10"/>
        <v>46930.679926196186</v>
      </c>
      <c r="AI13" s="871">
        <f t="shared" si="11"/>
        <v>47811.603611467719</v>
      </c>
      <c r="AJ13" s="871"/>
      <c r="AK13" s="1328">
        <f t="shared" si="12"/>
        <v>125982.50318285827</v>
      </c>
      <c r="AL13" s="1480">
        <f>6417.54/27394.27*H13</f>
        <v>348.21031115631115</v>
      </c>
      <c r="AM13" s="1481">
        <v>296.79000000000002</v>
      </c>
      <c r="AN13" s="1481">
        <f>896598.66/27394.27*H13</f>
        <v>48648.687562669133</v>
      </c>
      <c r="AO13" s="1481"/>
      <c r="AP13" s="1491">
        <f t="shared" si="13"/>
        <v>49293.687873825445</v>
      </c>
      <c r="AQ13" s="1481"/>
      <c r="AR13" s="1481">
        <f t="shared" si="14"/>
        <v>2380.1516472034227</v>
      </c>
      <c r="AS13" s="1481">
        <f t="shared" si="15"/>
        <v>31698.20621747613</v>
      </c>
      <c r="AT13" s="1481">
        <f t="shared" si="16"/>
        <v>37461.501078636706</v>
      </c>
      <c r="AU13" s="1481">
        <f t="shared" si="17"/>
        <v>94.265632239070356</v>
      </c>
      <c r="AV13" s="1481">
        <f t="shared" si="18"/>
        <v>646.15601518939286</v>
      </c>
      <c r="AW13" s="1481">
        <f t="shared" si="19"/>
        <v>14153.339999999997</v>
      </c>
      <c r="AX13" s="1481">
        <f t="shared" si="20"/>
        <v>505.73999999999978</v>
      </c>
      <c r="AY13" s="1481">
        <v>13.87</v>
      </c>
      <c r="AZ13" s="1481">
        <v>4</v>
      </c>
    </row>
    <row r="14" spans="1:71" x14ac:dyDescent="0.25">
      <c r="A14" s="32">
        <v>8</v>
      </c>
      <c r="B14" s="582"/>
      <c r="C14" s="45" t="s">
        <v>152</v>
      </c>
      <c r="D14" s="690">
        <v>1955</v>
      </c>
      <c r="E14" s="690">
        <v>2</v>
      </c>
      <c r="F14" s="706">
        <v>12</v>
      </c>
      <c r="G14" s="869">
        <v>33</v>
      </c>
      <c r="H14" s="706">
        <v>797.5</v>
      </c>
      <c r="I14" s="706"/>
      <c r="J14" s="706"/>
      <c r="K14" s="706">
        <v>763.74</v>
      </c>
      <c r="L14" s="706">
        <v>832.76</v>
      </c>
      <c r="M14" s="706">
        <v>0</v>
      </c>
      <c r="N14" s="706">
        <v>0</v>
      </c>
      <c r="O14" s="706">
        <v>8497.08</v>
      </c>
      <c r="P14" s="706">
        <v>9215.27</v>
      </c>
      <c r="Q14" s="706">
        <v>78096.06</v>
      </c>
      <c r="R14" s="706">
        <v>67818.75</v>
      </c>
      <c r="S14" s="871">
        <v>1038.6199999999999</v>
      </c>
      <c r="T14" s="871">
        <v>879.94</v>
      </c>
      <c r="U14" s="871">
        <f t="shared" si="0"/>
        <v>88395.5</v>
      </c>
      <c r="V14" s="871">
        <f t="shared" si="1"/>
        <v>78746.720000000001</v>
      </c>
      <c r="W14" s="625">
        <f t="shared" si="2"/>
        <v>84717.663352425283</v>
      </c>
      <c r="X14" s="870">
        <v>991.76</v>
      </c>
      <c r="Y14" s="890">
        <f t="shared" si="3"/>
        <v>2414.589156624274</v>
      </c>
      <c r="Z14" s="871">
        <v>1416.24</v>
      </c>
      <c r="AA14" s="890">
        <f t="shared" si="4"/>
        <v>407.44937307921526</v>
      </c>
      <c r="AB14" s="890">
        <f t="shared" si="5"/>
        <v>21.17975624291574</v>
      </c>
      <c r="AC14" s="890">
        <f t="shared" si="6"/>
        <v>19.583861610012036</v>
      </c>
      <c r="AD14" s="871"/>
      <c r="AE14" s="871">
        <f t="shared" si="7"/>
        <v>124.96056183320286</v>
      </c>
      <c r="AF14" s="871">
        <f t="shared" si="8"/>
        <v>2394.9598168900525</v>
      </c>
      <c r="AG14" s="871">
        <f t="shared" si="9"/>
        <v>7810.1804077030047</v>
      </c>
      <c r="AH14" s="871">
        <f t="shared" si="10"/>
        <v>25179.944187690617</v>
      </c>
      <c r="AI14" s="871">
        <f t="shared" si="11"/>
        <v>25652.590423876307</v>
      </c>
      <c r="AJ14" s="871"/>
      <c r="AK14" s="1328">
        <f t="shared" si="12"/>
        <v>66433.437545549605</v>
      </c>
      <c r="AL14" s="1480"/>
      <c r="AM14" s="1481"/>
      <c r="AN14" s="1481"/>
      <c r="AO14" s="1481"/>
      <c r="AP14" s="1491">
        <f t="shared" si="13"/>
        <v>0</v>
      </c>
      <c r="AQ14" s="1481"/>
      <c r="AR14" s="1481">
        <f t="shared" si="14"/>
        <v>1277.0342498568541</v>
      </c>
      <c r="AS14" s="1481">
        <f t="shared" si="15"/>
        <v>17007.191557018825</v>
      </c>
      <c r="AT14" s="1481">
        <f t="shared" si="16"/>
        <v>3677.8366475747171</v>
      </c>
      <c r="AU14" s="1481">
        <f t="shared" si="17"/>
        <v>89.084534846230852</v>
      </c>
      <c r="AV14" s="1481">
        <f t="shared" si="18"/>
        <v>784.42280881875263</v>
      </c>
      <c r="AW14" s="1481">
        <f t="shared" si="19"/>
        <v>9648.7799999999988</v>
      </c>
      <c r="AX14" s="1481">
        <f t="shared" si="20"/>
        <v>158.67999999999984</v>
      </c>
      <c r="AY14" s="1481">
        <v>9.39</v>
      </c>
      <c r="AZ14" s="1481">
        <v>3.22</v>
      </c>
    </row>
    <row r="15" spans="1:71" x14ac:dyDescent="0.25">
      <c r="A15" s="32">
        <v>9</v>
      </c>
      <c r="B15" s="582"/>
      <c r="C15" s="45" t="s">
        <v>153</v>
      </c>
      <c r="D15" s="690">
        <v>1955</v>
      </c>
      <c r="E15" s="690">
        <v>2</v>
      </c>
      <c r="F15" s="706">
        <v>12</v>
      </c>
      <c r="G15" s="869">
        <v>31</v>
      </c>
      <c r="H15" s="706">
        <v>804</v>
      </c>
      <c r="I15" s="706"/>
      <c r="J15" s="706"/>
      <c r="K15" s="706">
        <v>765.36</v>
      </c>
      <c r="L15" s="706">
        <v>946.98</v>
      </c>
      <c r="M15" s="706">
        <v>0</v>
      </c>
      <c r="N15" s="706">
        <v>0</v>
      </c>
      <c r="O15" s="706">
        <v>8515.14</v>
      </c>
      <c r="P15" s="706">
        <v>10523.03</v>
      </c>
      <c r="Q15" s="706">
        <v>78263.100000000006</v>
      </c>
      <c r="R15" s="706">
        <v>75901.490000000005</v>
      </c>
      <c r="S15" s="871">
        <v>1038.47</v>
      </c>
      <c r="T15" s="871">
        <v>980.01</v>
      </c>
      <c r="U15" s="871">
        <f t="shared" si="0"/>
        <v>88582.07</v>
      </c>
      <c r="V15" s="871">
        <f t="shared" si="1"/>
        <v>88351.51</v>
      </c>
      <c r="W15" s="625">
        <f t="shared" si="2"/>
        <v>85992.145812351009</v>
      </c>
      <c r="X15" s="870">
        <v>1595.38</v>
      </c>
      <c r="Y15" s="890">
        <f t="shared" si="3"/>
        <v>2434.2691936375127</v>
      </c>
      <c r="Z15" s="871">
        <v>1416.24</v>
      </c>
      <c r="AA15" s="890">
        <f t="shared" si="4"/>
        <v>410.77027706042514</v>
      </c>
      <c r="AB15" s="890">
        <f t="shared" si="5"/>
        <v>21.352381215428533</v>
      </c>
      <c r="AC15" s="890">
        <f t="shared" si="6"/>
        <v>19.743479290845993</v>
      </c>
      <c r="AD15" s="871"/>
      <c r="AE15" s="871">
        <f t="shared" si="7"/>
        <v>125.97904917102834</v>
      </c>
      <c r="AF15" s="871">
        <f t="shared" si="8"/>
        <v>2414.47986555436</v>
      </c>
      <c r="AG15" s="871">
        <f t="shared" si="9"/>
        <v>7873.8370505244093</v>
      </c>
      <c r="AH15" s="871">
        <f t="shared" si="10"/>
        <v>25385.172572919444</v>
      </c>
      <c r="AI15" s="871">
        <f t="shared" si="11"/>
        <v>25861.671098177492</v>
      </c>
      <c r="AJ15" s="871"/>
      <c r="AK15" s="1328">
        <f t="shared" si="12"/>
        <v>67558.89496755095</v>
      </c>
      <c r="AL15" s="1480"/>
      <c r="AM15" s="1481"/>
      <c r="AN15" s="1481"/>
      <c r="AO15" s="1481"/>
      <c r="AP15" s="1491">
        <f t="shared" si="13"/>
        <v>0</v>
      </c>
      <c r="AQ15" s="1481"/>
      <c r="AR15" s="1481">
        <f t="shared" si="14"/>
        <v>1287.4426794795118</v>
      </c>
      <c r="AS15" s="1481">
        <f t="shared" si="15"/>
        <v>17145.808165320548</v>
      </c>
      <c r="AT15" s="1481">
        <f t="shared" si="16"/>
        <v>2589.9241876489978</v>
      </c>
      <c r="AU15" s="1481">
        <f t="shared" si="17"/>
        <v>99.739721593771719</v>
      </c>
      <c r="AV15" s="1481">
        <f t="shared" si="18"/>
        <v>796.2235723365834</v>
      </c>
      <c r="AW15" s="1481">
        <f t="shared" si="19"/>
        <v>230.56000000001222</v>
      </c>
      <c r="AX15" s="1481">
        <f t="shared" si="20"/>
        <v>58.460000000000036</v>
      </c>
      <c r="AY15" s="1481">
        <v>9.39</v>
      </c>
      <c r="AZ15" s="1481">
        <v>3.22</v>
      </c>
    </row>
    <row r="16" spans="1:71" x14ac:dyDescent="0.25">
      <c r="A16" s="32">
        <v>10</v>
      </c>
      <c r="B16" s="582"/>
      <c r="C16" s="45" t="s">
        <v>154</v>
      </c>
      <c r="D16" s="690">
        <v>1955</v>
      </c>
      <c r="E16" s="690">
        <v>2</v>
      </c>
      <c r="F16" s="706">
        <v>6</v>
      </c>
      <c r="G16" s="869">
        <v>14</v>
      </c>
      <c r="H16" s="706">
        <v>328.7</v>
      </c>
      <c r="I16" s="706"/>
      <c r="J16" s="706"/>
      <c r="K16" s="706">
        <v>315.54000000000002</v>
      </c>
      <c r="L16" s="706">
        <v>363.51</v>
      </c>
      <c r="M16" s="706">
        <v>0</v>
      </c>
      <c r="N16" s="706">
        <v>0</v>
      </c>
      <c r="O16" s="706">
        <v>3510.54</v>
      </c>
      <c r="P16" s="706">
        <v>4077.9</v>
      </c>
      <c r="Q16" s="706">
        <v>33448.5</v>
      </c>
      <c r="R16" s="706">
        <v>35515.99</v>
      </c>
      <c r="S16" s="871">
        <v>519.29</v>
      </c>
      <c r="T16" s="871">
        <v>501.58</v>
      </c>
      <c r="U16" s="871">
        <f t="shared" si="0"/>
        <v>37793.870000000003</v>
      </c>
      <c r="V16" s="871">
        <f t="shared" si="1"/>
        <v>40458.979999999996</v>
      </c>
      <c r="W16" s="625">
        <f t="shared" si="2"/>
        <v>35883.888550397729</v>
      </c>
      <c r="X16" s="870">
        <v>660.25</v>
      </c>
      <c r="Y16" s="890">
        <f t="shared" si="3"/>
        <v>995.20433326946568</v>
      </c>
      <c r="Z16" s="871">
        <v>1298.6400000000001</v>
      </c>
      <c r="AA16" s="890">
        <f t="shared" si="4"/>
        <v>167.93555978826089</v>
      </c>
      <c r="AB16" s="890">
        <f t="shared" si="5"/>
        <v>8.7295120715315395</v>
      </c>
      <c r="AC16" s="890">
        <f t="shared" si="6"/>
        <v>8.0717433369416387</v>
      </c>
      <c r="AD16" s="871"/>
      <c r="AE16" s="871">
        <f t="shared" si="7"/>
        <v>51.50412122203609</v>
      </c>
      <c r="AF16" s="871">
        <f t="shared" si="8"/>
        <v>987.11384553198764</v>
      </c>
      <c r="AG16" s="871">
        <f t="shared" si="9"/>
        <v>3219.067460830066</v>
      </c>
      <c r="AH16" s="871">
        <f t="shared" si="10"/>
        <v>10378.24157303311</v>
      </c>
      <c r="AI16" s="871">
        <f t="shared" si="11"/>
        <v>10573.048868123062</v>
      </c>
      <c r="AJ16" s="871"/>
      <c r="AK16" s="1328">
        <f t="shared" si="12"/>
        <v>28347.807017206462</v>
      </c>
      <c r="AL16" s="1480"/>
      <c r="AM16" s="1480"/>
      <c r="AN16" s="1480"/>
      <c r="AO16" s="1480"/>
      <c r="AP16" s="1491">
        <f t="shared" si="13"/>
        <v>0</v>
      </c>
      <c r="AQ16" s="1480"/>
      <c r="AR16" s="1481">
        <f t="shared" si="14"/>
        <v>526.34627953347706</v>
      </c>
      <c r="AS16" s="1481">
        <f t="shared" si="15"/>
        <v>7009.7352536577901</v>
      </c>
      <c r="AT16" s="1481">
        <f t="shared" si="16"/>
        <v>1909.9814496022736</v>
      </c>
      <c r="AU16" s="1481">
        <f t="shared" si="17"/>
        <v>107.05169912475223</v>
      </c>
      <c r="AV16" s="1481">
        <f t="shared" si="18"/>
        <v>664.51645463699492</v>
      </c>
      <c r="AW16" s="1481">
        <f t="shared" si="19"/>
        <v>-2665.1099999999933</v>
      </c>
      <c r="AX16" s="1481">
        <f t="shared" si="20"/>
        <v>17.70999999999998</v>
      </c>
      <c r="AY16" s="1481">
        <v>9.94</v>
      </c>
      <c r="AZ16" s="1480">
        <v>3.18</v>
      </c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  <c r="BR16" s="250"/>
      <c r="BS16" s="250"/>
    </row>
    <row r="17" spans="1:71" x14ac:dyDescent="0.25">
      <c r="A17" s="32">
        <v>11</v>
      </c>
      <c r="B17" s="582" t="s">
        <v>304</v>
      </c>
      <c r="C17" s="1749" t="s">
        <v>155</v>
      </c>
      <c r="D17" s="690">
        <v>1979</v>
      </c>
      <c r="E17" s="690">
        <v>5</v>
      </c>
      <c r="F17" s="706">
        <v>81</v>
      </c>
      <c r="G17" s="869">
        <v>168</v>
      </c>
      <c r="H17" s="706">
        <v>3928.89</v>
      </c>
      <c r="I17" s="706">
        <v>64318.48</v>
      </c>
      <c r="J17" s="706">
        <v>76460.789999999994</v>
      </c>
      <c r="K17" s="706">
        <v>3783.54</v>
      </c>
      <c r="L17" s="706">
        <v>4497.88</v>
      </c>
      <c r="M17" s="706">
        <v>15843.64</v>
      </c>
      <c r="N17" s="706">
        <v>18834.689999999999</v>
      </c>
      <c r="O17" s="706">
        <v>42090.98</v>
      </c>
      <c r="P17" s="706">
        <v>49720.6</v>
      </c>
      <c r="Q17" s="706">
        <v>491864.66</v>
      </c>
      <c r="R17" s="706">
        <v>442158.09</v>
      </c>
      <c r="S17" s="871">
        <v>11561.79</v>
      </c>
      <c r="T17" s="871">
        <v>10291.370000000001</v>
      </c>
      <c r="U17" s="871">
        <f t="shared" si="0"/>
        <v>629463.09000000008</v>
      </c>
      <c r="V17" s="871">
        <f t="shared" si="1"/>
        <v>601963.42000000004</v>
      </c>
      <c r="W17" s="625">
        <f t="shared" si="2"/>
        <v>566347.19941582903</v>
      </c>
      <c r="X17" s="870">
        <v>4738.8599999999997</v>
      </c>
      <c r="Y17" s="890">
        <f t="shared" si="3"/>
        <v>11895.492403221999</v>
      </c>
      <c r="Z17" s="871">
        <v>6375.25</v>
      </c>
      <c r="AA17" s="890">
        <f t="shared" si="4"/>
        <v>2007.3025296516589</v>
      </c>
      <c r="AB17" s="890">
        <f t="shared" si="5"/>
        <v>104.34223511627488</v>
      </c>
      <c r="AC17" s="890">
        <f t="shared" si="6"/>
        <v>96.480047700263569</v>
      </c>
      <c r="AD17" s="871">
        <v>4213.4399999999996</v>
      </c>
      <c r="AE17" s="871">
        <f t="shared" si="7"/>
        <v>615.6191871860218</v>
      </c>
      <c r="AF17" s="871">
        <f t="shared" si="8"/>
        <v>11798.788307186403</v>
      </c>
      <c r="AG17" s="871">
        <f t="shared" si="9"/>
        <v>38476.914986859258</v>
      </c>
      <c r="AH17" s="871">
        <f t="shared" si="10"/>
        <v>124049.19237564362</v>
      </c>
      <c r="AI17" s="871">
        <f t="shared" si="11"/>
        <v>126377.68776233653</v>
      </c>
      <c r="AJ17" s="871"/>
      <c r="AK17" s="1328">
        <f t="shared" si="12"/>
        <v>330749.36983490206</v>
      </c>
      <c r="AL17" s="1480">
        <f>6417.54/27394.27*H17</f>
        <v>920.40447621345618</v>
      </c>
      <c r="AM17" s="1481">
        <v>804.59</v>
      </c>
      <c r="AN17" s="1481">
        <f>896598.66/27394.27*H17</f>
        <v>128590.30407772867</v>
      </c>
      <c r="AO17" s="1481"/>
      <c r="AP17" s="1491">
        <f t="shared" si="13"/>
        <v>130315.29855394212</v>
      </c>
      <c r="AQ17" s="1480">
        <f>65448.99/16911.5*H17</f>
        <v>15205.149296106198</v>
      </c>
      <c r="AR17" s="1481">
        <f t="shared" si="14"/>
        <v>6291.3192400251983</v>
      </c>
      <c r="AS17" s="1481">
        <f t="shared" si="15"/>
        <v>83786.062490853539</v>
      </c>
      <c r="AT17" s="1481">
        <f t="shared" si="16"/>
        <v>63115.890584171051</v>
      </c>
      <c r="AU17" s="1481">
        <f t="shared" si="17"/>
        <v>95.631249800524444</v>
      </c>
      <c r="AV17" s="1481">
        <f t="shared" si="18"/>
        <v>776.88230372541705</v>
      </c>
      <c r="AW17" s="1481">
        <f t="shared" si="19"/>
        <v>27499.670000000042</v>
      </c>
      <c r="AX17" s="1481">
        <f t="shared" si="20"/>
        <v>1270.42</v>
      </c>
      <c r="AY17" s="1481">
        <v>13.41</v>
      </c>
      <c r="AZ17" s="1480">
        <v>4</v>
      </c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</row>
    <row r="18" spans="1:71" s="370" customFormat="1" x14ac:dyDescent="0.25">
      <c r="A18" s="33">
        <v>12</v>
      </c>
      <c r="B18" s="1750"/>
      <c r="C18" s="45" t="s">
        <v>156</v>
      </c>
      <c r="D18" s="690">
        <v>1957</v>
      </c>
      <c r="E18" s="1748">
        <v>1</v>
      </c>
      <c r="F18" s="706">
        <v>4</v>
      </c>
      <c r="G18" s="869">
        <v>8</v>
      </c>
      <c r="H18" s="706">
        <v>118.1</v>
      </c>
      <c r="I18" s="706"/>
      <c r="J18" s="706"/>
      <c r="K18" s="706">
        <v>109.38</v>
      </c>
      <c r="L18" s="706">
        <v>88.14</v>
      </c>
      <c r="M18" s="706">
        <v>0</v>
      </c>
      <c r="N18" s="706">
        <v>0</v>
      </c>
      <c r="O18" s="706">
        <v>779.82</v>
      </c>
      <c r="P18" s="706">
        <v>630.73</v>
      </c>
      <c r="Q18" s="706">
        <v>7626.6</v>
      </c>
      <c r="R18" s="706">
        <v>5157.29</v>
      </c>
      <c r="S18" s="871">
        <v>0</v>
      </c>
      <c r="T18" s="871">
        <v>0</v>
      </c>
      <c r="U18" s="871">
        <f t="shared" si="0"/>
        <v>8515.8000000000011</v>
      </c>
      <c r="V18" s="871">
        <f t="shared" si="1"/>
        <v>5876.16</v>
      </c>
      <c r="W18" s="625">
        <f t="shared" si="2"/>
        <v>8390.2198280396642</v>
      </c>
      <c r="X18" s="870"/>
      <c r="Y18" s="890">
        <f t="shared" si="3"/>
        <v>357.57113404053513</v>
      </c>
      <c r="Z18" s="871">
        <v>0</v>
      </c>
      <c r="AA18" s="890">
        <f t="shared" si="4"/>
        <v>60.338270797059963</v>
      </c>
      <c r="AB18" s="890">
        <f t="shared" si="5"/>
        <v>3.1364629621170517</v>
      </c>
      <c r="AC18" s="890">
        <f t="shared" si="6"/>
        <v>2.9001304779215316</v>
      </c>
      <c r="AD18" s="871"/>
      <c r="AE18" s="871">
        <f t="shared" si="7"/>
        <v>18.505131476490604</v>
      </c>
      <c r="AF18" s="871">
        <f t="shared" si="8"/>
        <v>354.66426880842027</v>
      </c>
      <c r="AG18" s="871">
        <f t="shared" si="9"/>
        <v>1156.592233416583</v>
      </c>
      <c r="AH18" s="871">
        <f t="shared" si="10"/>
        <v>3728.8418916191372</v>
      </c>
      <c r="AI18" s="871"/>
      <c r="AJ18" s="871"/>
      <c r="AK18" s="1328">
        <f t="shared" si="12"/>
        <v>5682.5495235982635</v>
      </c>
      <c r="AL18" s="1480"/>
      <c r="AM18" s="1480"/>
      <c r="AN18" s="1480"/>
      <c r="AO18" s="1480"/>
      <c r="AP18" s="1491">
        <f t="shared" si="13"/>
        <v>0</v>
      </c>
      <c r="AQ18" s="1480"/>
      <c r="AR18" s="1481">
        <f t="shared" si="14"/>
        <v>189.11315975936611</v>
      </c>
      <c r="AS18" s="1481">
        <f t="shared" si="15"/>
        <v>2518.5571446820354</v>
      </c>
      <c r="AT18" s="1481">
        <f t="shared" si="16"/>
        <v>125.58017196033688</v>
      </c>
      <c r="AU18" s="1481">
        <f t="shared" si="17"/>
        <v>69.003029662509675</v>
      </c>
      <c r="AV18" s="1481">
        <f t="shared" si="18"/>
        <v>233.06166188999066</v>
      </c>
      <c r="AW18" s="1481">
        <f t="shared" si="19"/>
        <v>2639.6400000000012</v>
      </c>
      <c r="AX18" s="1481">
        <f t="shared" si="20"/>
        <v>0</v>
      </c>
      <c r="AY18" s="1481">
        <v>6.39</v>
      </c>
      <c r="AZ18" s="1480">
        <v>0</v>
      </c>
      <c r="BA18" s="250"/>
      <c r="BB18" s="250"/>
      <c r="BC18" s="250"/>
      <c r="BD18" s="250"/>
      <c r="BE18" s="250"/>
      <c r="BF18" s="250"/>
      <c r="BG18" s="250"/>
      <c r="BH18" s="250"/>
      <c r="BI18" s="250"/>
      <c r="BJ18" s="250"/>
      <c r="BK18" s="250"/>
      <c r="BL18" s="250"/>
      <c r="BM18" s="250"/>
      <c r="BN18" s="250"/>
      <c r="BO18" s="250"/>
      <c r="BP18" s="250"/>
      <c r="BQ18" s="250"/>
      <c r="BR18" s="250"/>
      <c r="BS18" s="250"/>
    </row>
    <row r="19" spans="1:71" x14ac:dyDescent="0.25">
      <c r="A19" s="32">
        <v>13</v>
      </c>
      <c r="B19" s="582"/>
      <c r="C19" s="45" t="s">
        <v>157</v>
      </c>
      <c r="D19" s="690">
        <v>1955</v>
      </c>
      <c r="E19" s="690">
        <v>2</v>
      </c>
      <c r="F19" s="706">
        <v>15</v>
      </c>
      <c r="G19" s="869">
        <v>33</v>
      </c>
      <c r="H19" s="706">
        <v>796.8</v>
      </c>
      <c r="I19" s="706"/>
      <c r="J19" s="706"/>
      <c r="K19" s="706">
        <v>768</v>
      </c>
      <c r="L19" s="706">
        <v>796.4</v>
      </c>
      <c r="M19" s="706">
        <v>0</v>
      </c>
      <c r="N19" s="706">
        <v>0</v>
      </c>
      <c r="O19" s="706">
        <v>8545.08</v>
      </c>
      <c r="P19" s="706">
        <v>8856.8700000000008</v>
      </c>
      <c r="Q19" s="706">
        <v>78441.72</v>
      </c>
      <c r="R19" s="706">
        <v>66457.86</v>
      </c>
      <c r="S19" s="871">
        <v>1130.1400000000001</v>
      </c>
      <c r="T19" s="871">
        <v>948.65</v>
      </c>
      <c r="U19" s="871">
        <f t="shared" si="0"/>
        <v>88884.94</v>
      </c>
      <c r="V19" s="871">
        <f t="shared" si="1"/>
        <v>77059.78</v>
      </c>
      <c r="W19" s="625">
        <f t="shared" si="2"/>
        <v>84797.946625971745</v>
      </c>
      <c r="X19" s="870">
        <v>1018.71</v>
      </c>
      <c r="Y19" s="890">
        <f t="shared" si="3"/>
        <v>2412.4697680228483</v>
      </c>
      <c r="Z19" s="871">
        <v>1541.82</v>
      </c>
      <c r="AA19" s="890">
        <f t="shared" si="4"/>
        <v>407.09173726585414</v>
      </c>
      <c r="AB19" s="890">
        <f t="shared" si="5"/>
        <v>21.161165861260514</v>
      </c>
      <c r="AC19" s="890">
        <f t="shared" si="6"/>
        <v>19.566672013614532</v>
      </c>
      <c r="AD19" s="871"/>
      <c r="AE19" s="871">
        <f t="shared" si="7"/>
        <v>124.85087858143703</v>
      </c>
      <c r="AF19" s="871">
        <f t="shared" si="8"/>
        <v>2392.8576578031266</v>
      </c>
      <c r="AG19" s="871">
        <f t="shared" si="9"/>
        <v>7803.3250769376227</v>
      </c>
      <c r="AH19" s="871">
        <f t="shared" si="10"/>
        <v>25157.842669281359</v>
      </c>
      <c r="AI19" s="871">
        <f t="shared" si="11"/>
        <v>25630.074043566947</v>
      </c>
      <c r="AJ19" s="871"/>
      <c r="AK19" s="1328">
        <f t="shared" si="12"/>
        <v>66529.769669334069</v>
      </c>
      <c r="AL19" s="1480"/>
      <c r="AM19" s="1480"/>
      <c r="AN19" s="1480"/>
      <c r="AO19" s="1480"/>
      <c r="AP19" s="1491">
        <f t="shared" si="13"/>
        <v>0</v>
      </c>
      <c r="AQ19" s="1480"/>
      <c r="AR19" s="1481">
        <f t="shared" si="14"/>
        <v>1275.9133420513372</v>
      </c>
      <c r="AS19" s="1481">
        <f t="shared" si="15"/>
        <v>16992.263614586333</v>
      </c>
      <c r="AT19" s="1481">
        <f t="shared" si="16"/>
        <v>4086.9933740282577</v>
      </c>
      <c r="AU19" s="1481">
        <f t="shared" si="17"/>
        <v>86.69610397441906</v>
      </c>
      <c r="AV19" s="1481">
        <f t="shared" si="18"/>
        <v>628.13293797016104</v>
      </c>
      <c r="AW19" s="1481">
        <f t="shared" si="19"/>
        <v>11825.160000000003</v>
      </c>
      <c r="AX19" s="1481">
        <f t="shared" si="20"/>
        <v>181.49000000000012</v>
      </c>
      <c r="AY19" s="1481">
        <v>9.3800000000000008</v>
      </c>
      <c r="AZ19" s="1480">
        <v>4.33</v>
      </c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0"/>
      <c r="BM19" s="250"/>
      <c r="BN19" s="250"/>
      <c r="BO19" s="250"/>
      <c r="BP19" s="250"/>
      <c r="BQ19" s="250"/>
      <c r="BR19" s="250"/>
      <c r="BS19" s="250"/>
    </row>
    <row r="20" spans="1:71" x14ac:dyDescent="0.25">
      <c r="A20" s="32">
        <v>14</v>
      </c>
      <c r="B20" s="582"/>
      <c r="C20" s="45" t="s">
        <v>158</v>
      </c>
      <c r="D20" s="690">
        <v>1955</v>
      </c>
      <c r="E20" s="690">
        <v>2</v>
      </c>
      <c r="F20" s="706">
        <v>12</v>
      </c>
      <c r="G20" s="869">
        <v>29</v>
      </c>
      <c r="H20" s="706">
        <v>842</v>
      </c>
      <c r="I20" s="706"/>
      <c r="J20" s="706"/>
      <c r="K20" s="706">
        <v>802.78</v>
      </c>
      <c r="L20" s="706">
        <v>-489.51</v>
      </c>
      <c r="M20" s="706">
        <v>0</v>
      </c>
      <c r="N20" s="706">
        <v>0</v>
      </c>
      <c r="O20" s="706">
        <v>8930.58</v>
      </c>
      <c r="P20" s="706">
        <v>8876.93</v>
      </c>
      <c r="Q20" s="706">
        <v>81874.759999999995</v>
      </c>
      <c r="R20" s="706">
        <v>79984.53</v>
      </c>
      <c r="S20" s="871">
        <v>1175.6099999999999</v>
      </c>
      <c r="T20" s="871">
        <v>1097.29</v>
      </c>
      <c r="U20" s="871">
        <f t="shared" si="0"/>
        <v>92783.73</v>
      </c>
      <c r="V20" s="871">
        <f t="shared" si="1"/>
        <v>89469.239999999991</v>
      </c>
      <c r="W20" s="625">
        <f t="shared" si="2"/>
        <v>89390.850962685989</v>
      </c>
      <c r="X20" s="870">
        <v>899.92</v>
      </c>
      <c r="Y20" s="890">
        <f t="shared" si="3"/>
        <v>2549.3217177149077</v>
      </c>
      <c r="Z20" s="871">
        <v>1588.44</v>
      </c>
      <c r="AA20" s="890">
        <f t="shared" si="4"/>
        <v>430.18479264288305</v>
      </c>
      <c r="AB20" s="890">
        <f t="shared" si="5"/>
        <v>22.361573362426398</v>
      </c>
      <c r="AC20" s="890">
        <f t="shared" si="6"/>
        <v>20.676628809567568</v>
      </c>
      <c r="AD20" s="871"/>
      <c r="AE20" s="871">
        <f t="shared" si="7"/>
        <v>131.93328283831576</v>
      </c>
      <c r="AF20" s="871">
        <f t="shared" si="8"/>
        <v>2528.5970731303123</v>
      </c>
      <c r="AG20" s="871">
        <f t="shared" si="9"/>
        <v>8245.9835777879998</v>
      </c>
      <c r="AH20" s="871">
        <f t="shared" si="10"/>
        <v>26584.96928656489</v>
      </c>
      <c r="AI20" s="871">
        <f t="shared" si="11"/>
        <v>27083.988886399813</v>
      </c>
      <c r="AJ20" s="871"/>
      <c r="AK20" s="1328">
        <f t="shared" si="12"/>
        <v>70086.376819251105</v>
      </c>
      <c r="AL20" s="1480"/>
      <c r="AM20" s="1480"/>
      <c r="AN20" s="1480"/>
      <c r="AO20" s="1480"/>
      <c r="AP20" s="1491">
        <f t="shared" si="13"/>
        <v>0</v>
      </c>
      <c r="AQ20" s="1480"/>
      <c r="AR20" s="1481">
        <f t="shared" si="14"/>
        <v>1348.291960350434</v>
      </c>
      <c r="AS20" s="1481">
        <f t="shared" si="15"/>
        <v>17956.182183084453</v>
      </c>
      <c r="AT20" s="1481">
        <f t="shared" si="16"/>
        <v>3392.8790373140073</v>
      </c>
      <c r="AU20" s="1481">
        <f t="shared" si="17"/>
        <v>96.42772499014643</v>
      </c>
      <c r="AV20" s="1481">
        <f t="shared" si="18"/>
        <v>827.69306446931466</v>
      </c>
      <c r="AW20" s="1481">
        <f t="shared" si="19"/>
        <v>3314.4900000000052</v>
      </c>
      <c r="AX20" s="1481">
        <f t="shared" si="20"/>
        <v>78.319999999999936</v>
      </c>
      <c r="AY20" s="1481">
        <v>9.3699999999999992</v>
      </c>
      <c r="AZ20" s="1480">
        <v>4.3499999999999996</v>
      </c>
      <c r="BA20" s="250"/>
      <c r="BB20" s="250"/>
      <c r="BC20" s="250"/>
      <c r="BD20" s="250"/>
      <c r="BE20" s="250"/>
      <c r="BF20" s="250"/>
      <c r="BG20" s="250"/>
      <c r="BH20" s="250"/>
      <c r="BI20" s="250"/>
      <c r="BJ20" s="250"/>
      <c r="BK20" s="250"/>
      <c r="BL20" s="250"/>
      <c r="BM20" s="250"/>
      <c r="BN20" s="250"/>
      <c r="BO20" s="250"/>
      <c r="BP20" s="250"/>
      <c r="BQ20" s="250"/>
      <c r="BR20" s="250"/>
      <c r="BS20" s="250"/>
    </row>
    <row r="21" spans="1:71" x14ac:dyDescent="0.25">
      <c r="A21" s="32">
        <v>15</v>
      </c>
      <c r="B21" s="582"/>
      <c r="C21" s="45" t="s">
        <v>159</v>
      </c>
      <c r="D21" s="690">
        <v>1955</v>
      </c>
      <c r="E21" s="690">
        <v>2</v>
      </c>
      <c r="F21" s="706">
        <v>12</v>
      </c>
      <c r="G21" s="869">
        <v>29</v>
      </c>
      <c r="H21" s="706">
        <v>794.83</v>
      </c>
      <c r="I21" s="706"/>
      <c r="J21" s="706"/>
      <c r="K21" s="706">
        <v>762.54</v>
      </c>
      <c r="L21" s="706">
        <v>907.78</v>
      </c>
      <c r="M21" s="706">
        <v>0</v>
      </c>
      <c r="N21" s="706">
        <v>0</v>
      </c>
      <c r="O21" s="706">
        <v>8483.34</v>
      </c>
      <c r="P21" s="706">
        <v>9940.58</v>
      </c>
      <c r="Q21" s="706">
        <v>77753.009999999995</v>
      </c>
      <c r="R21" s="706">
        <v>67209.279999999999</v>
      </c>
      <c r="S21" s="871">
        <v>1130.05</v>
      </c>
      <c r="T21" s="871">
        <v>921.92</v>
      </c>
      <c r="U21" s="871">
        <f t="shared" si="0"/>
        <v>88128.94</v>
      </c>
      <c r="V21" s="871">
        <f t="shared" si="1"/>
        <v>78979.56</v>
      </c>
      <c r="W21" s="625">
        <f t="shared" si="2"/>
        <v>84017.383695809636</v>
      </c>
      <c r="X21" s="870">
        <v>441.47</v>
      </c>
      <c r="Y21" s="890">
        <f t="shared" si="3"/>
        <v>2406.505202958836</v>
      </c>
      <c r="Z21" s="871">
        <v>1541.82</v>
      </c>
      <c r="AA21" s="890">
        <f t="shared" si="4"/>
        <v>406.08524790539519</v>
      </c>
      <c r="AB21" s="890">
        <f t="shared" si="5"/>
        <v>21.108847215745101</v>
      </c>
      <c r="AC21" s="890">
        <f t="shared" si="6"/>
        <v>19.518295578038707</v>
      </c>
      <c r="AD21" s="871"/>
      <c r="AE21" s="871">
        <f t="shared" si="7"/>
        <v>124.5421985728961</v>
      </c>
      <c r="AF21" s="871">
        <f t="shared" si="8"/>
        <v>2386.9415815156367</v>
      </c>
      <c r="AG21" s="871">
        <f t="shared" si="9"/>
        <v>7784.0322174979055</v>
      </c>
      <c r="AH21" s="871">
        <f t="shared" si="10"/>
        <v>25095.642681758163</v>
      </c>
      <c r="AI21" s="871">
        <f t="shared" si="11"/>
        <v>25566.706516124897</v>
      </c>
      <c r="AJ21" s="871"/>
      <c r="AK21" s="1328">
        <f t="shared" si="12"/>
        <v>65794.372789127505</v>
      </c>
      <c r="AL21" s="1480"/>
      <c r="AM21" s="1481"/>
      <c r="AN21" s="1481"/>
      <c r="AO21" s="1481"/>
      <c r="AP21" s="1491">
        <f t="shared" si="13"/>
        <v>0</v>
      </c>
      <c r="AQ21" s="1481"/>
      <c r="AR21" s="1481">
        <f t="shared" si="14"/>
        <v>1272.7587872272393</v>
      </c>
      <c r="AS21" s="1481">
        <f t="shared" si="15"/>
        <v>16950.25211945489</v>
      </c>
      <c r="AT21" s="1481">
        <f t="shared" si="16"/>
        <v>4111.5563041903661</v>
      </c>
      <c r="AU21" s="1481">
        <f t="shared" si="17"/>
        <v>89.618188985366203</v>
      </c>
      <c r="AV21" s="1481">
        <f t="shared" si="18"/>
        <v>777.93873792416332</v>
      </c>
      <c r="AW21" s="1481">
        <f t="shared" si="19"/>
        <v>9149.3800000000047</v>
      </c>
      <c r="AX21" s="1481">
        <f t="shared" si="20"/>
        <v>208.13</v>
      </c>
      <c r="AY21" s="1481">
        <v>9.3699999999999992</v>
      </c>
      <c r="AZ21" s="1481">
        <v>4</v>
      </c>
    </row>
    <row r="22" spans="1:71" x14ac:dyDescent="0.25">
      <c r="A22" s="32">
        <v>16</v>
      </c>
      <c r="B22" s="582"/>
      <c r="C22" s="45" t="s">
        <v>160</v>
      </c>
      <c r="D22" s="690">
        <v>1955</v>
      </c>
      <c r="E22" s="690">
        <v>2</v>
      </c>
      <c r="F22" s="706">
        <v>12</v>
      </c>
      <c r="G22" s="869">
        <v>31</v>
      </c>
      <c r="H22" s="706">
        <v>836.38</v>
      </c>
      <c r="I22" s="706"/>
      <c r="J22" s="706"/>
      <c r="K22" s="706">
        <v>805.14</v>
      </c>
      <c r="L22" s="706">
        <v>930.94</v>
      </c>
      <c r="M22" s="706">
        <v>0</v>
      </c>
      <c r="N22" s="706">
        <v>0</v>
      </c>
      <c r="O22" s="706">
        <v>8957.06</v>
      </c>
      <c r="P22" s="706">
        <v>10356.629999999999</v>
      </c>
      <c r="Q22" s="706">
        <v>81110.58</v>
      </c>
      <c r="R22" s="706">
        <v>74893.73</v>
      </c>
      <c r="S22" s="871">
        <v>1175.72</v>
      </c>
      <c r="T22" s="871">
        <v>1114.04</v>
      </c>
      <c r="U22" s="871">
        <f t="shared" si="0"/>
        <v>92048.5</v>
      </c>
      <c r="V22" s="871">
        <f t="shared" si="1"/>
        <v>87295.339999999982</v>
      </c>
      <c r="W22" s="625">
        <f t="shared" si="2"/>
        <v>88813.022958873305</v>
      </c>
      <c r="X22" s="870">
        <v>902.13</v>
      </c>
      <c r="Y22" s="890">
        <f t="shared" si="3"/>
        <v>2532.3060549434613</v>
      </c>
      <c r="Z22" s="871">
        <v>1588.44</v>
      </c>
      <c r="AA22" s="890">
        <f t="shared" si="4"/>
        <v>427.31348796989852</v>
      </c>
      <c r="AB22" s="890">
        <f t="shared" si="5"/>
        <v>22.212319155423028</v>
      </c>
      <c r="AC22" s="890">
        <f t="shared" si="6"/>
        <v>20.538620907061905</v>
      </c>
      <c r="AD22" s="871"/>
      <c r="AE22" s="871">
        <f t="shared" si="7"/>
        <v>131.05268301699587</v>
      </c>
      <c r="AF22" s="871">
        <f t="shared" si="8"/>
        <v>2511.7197387467108</v>
      </c>
      <c r="AG22" s="871">
        <f t="shared" si="9"/>
        <v>8190.9450650716481</v>
      </c>
      <c r="AH22" s="871">
        <f t="shared" si="10"/>
        <v>26407.525667336275</v>
      </c>
      <c r="AI22" s="871">
        <f t="shared" si="11"/>
        <v>26903.214518773246</v>
      </c>
      <c r="AJ22" s="871"/>
      <c r="AK22" s="1328">
        <f t="shared" si="12"/>
        <v>69637.398155920717</v>
      </c>
      <c r="AL22" s="1480"/>
      <c r="AM22" s="1481"/>
      <c r="AN22" s="1481"/>
      <c r="AO22" s="1481"/>
      <c r="AP22" s="1491">
        <f t="shared" si="13"/>
        <v>0</v>
      </c>
      <c r="AQ22" s="1481"/>
      <c r="AR22" s="1481">
        <f t="shared" si="14"/>
        <v>1339.2926719689976</v>
      </c>
      <c r="AS22" s="1481">
        <f t="shared" si="15"/>
        <v>17836.332130983581</v>
      </c>
      <c r="AT22" s="1481">
        <f t="shared" si="16"/>
        <v>3235.4770411266945</v>
      </c>
      <c r="AU22" s="1481">
        <f t="shared" si="17"/>
        <v>94.836243936620349</v>
      </c>
      <c r="AV22" s="1481">
        <f t="shared" si="18"/>
        <v>822.34280517475281</v>
      </c>
      <c r="AW22" s="1481">
        <f t="shared" si="19"/>
        <v>4753.160000000018</v>
      </c>
      <c r="AX22" s="1481">
        <f t="shared" si="20"/>
        <v>61.680000000000064</v>
      </c>
      <c r="AY22" s="1481">
        <v>9.25</v>
      </c>
      <c r="AZ22" s="1481">
        <v>4.46</v>
      </c>
    </row>
    <row r="23" spans="1:71" x14ac:dyDescent="0.25">
      <c r="A23" s="32">
        <v>17</v>
      </c>
      <c r="B23" s="583"/>
      <c r="C23" s="45" t="s">
        <v>161</v>
      </c>
      <c r="D23" s="690">
        <v>1955</v>
      </c>
      <c r="E23" s="690">
        <v>2</v>
      </c>
      <c r="F23" s="706">
        <v>12</v>
      </c>
      <c r="G23" s="869">
        <v>31</v>
      </c>
      <c r="H23" s="706">
        <v>747.9</v>
      </c>
      <c r="I23" s="706"/>
      <c r="J23" s="706"/>
      <c r="K23" s="706">
        <v>791.88</v>
      </c>
      <c r="L23" s="706">
        <v>699.27</v>
      </c>
      <c r="M23" s="706">
        <v>0</v>
      </c>
      <c r="N23" s="706">
        <v>0</v>
      </c>
      <c r="O23" s="706">
        <v>8808.76</v>
      </c>
      <c r="P23" s="706">
        <v>7778.74</v>
      </c>
      <c r="Q23" s="706">
        <v>87239.11</v>
      </c>
      <c r="R23" s="706">
        <v>63784.37</v>
      </c>
      <c r="S23" s="871">
        <v>1130.0999999999999</v>
      </c>
      <c r="T23" s="871">
        <v>909.45600000000002</v>
      </c>
      <c r="U23" s="871">
        <f t="shared" si="0"/>
        <v>97969.85</v>
      </c>
      <c r="V23" s="871">
        <f t="shared" si="1"/>
        <v>73171.83600000001</v>
      </c>
      <c r="W23" s="625">
        <f t="shared" si="2"/>
        <v>79313.486735145925</v>
      </c>
      <c r="X23" s="870">
        <v>581.20000000000005</v>
      </c>
      <c r="Y23" s="890">
        <f t="shared" si="3"/>
        <v>2264.4153357232531</v>
      </c>
      <c r="Z23" s="871">
        <v>1541.82</v>
      </c>
      <c r="AA23" s="890">
        <f t="shared" si="4"/>
        <v>382.10832116105968</v>
      </c>
      <c r="AB23" s="890">
        <f t="shared" si="5"/>
        <v>19.862494914202735</v>
      </c>
      <c r="AC23" s="890">
        <f t="shared" si="6"/>
        <v>18.365855922417559</v>
      </c>
      <c r="AD23" s="871"/>
      <c r="AE23" s="871">
        <f t="shared" si="7"/>
        <v>117.18871999379614</v>
      </c>
      <c r="AF23" s="871">
        <f t="shared" si="8"/>
        <v>2246.0068301593355</v>
      </c>
      <c r="AG23" s="871">
        <f t="shared" si="9"/>
        <v>7324.4312563273697</v>
      </c>
      <c r="AH23" s="871">
        <f t="shared" si="10"/>
        <v>23613.893740406034</v>
      </c>
      <c r="AI23" s="871">
        <f t="shared" si="11"/>
        <v>24057.144047670332</v>
      </c>
      <c r="AJ23" s="871"/>
      <c r="AK23" s="1328">
        <f t="shared" si="12"/>
        <v>62166.436602277805</v>
      </c>
      <c r="AL23" s="1480"/>
      <c r="AM23" s="1481"/>
      <c r="AN23" s="1481"/>
      <c r="AO23" s="1481"/>
      <c r="AP23" s="1491">
        <f t="shared" si="13"/>
        <v>0</v>
      </c>
      <c r="AQ23" s="1481"/>
      <c r="AR23" s="1481">
        <f t="shared" si="14"/>
        <v>1197.6099253516504</v>
      </c>
      <c r="AS23" s="1481">
        <f t="shared" si="15"/>
        <v>15949.440207516463</v>
      </c>
      <c r="AT23" s="1481">
        <f t="shared" si="16"/>
        <v>18656.363264854081</v>
      </c>
      <c r="AU23" s="1481">
        <f t="shared" si="17"/>
        <v>74.688116803281829</v>
      </c>
      <c r="AV23" s="1481">
        <f t="shared" si="18"/>
        <v>734.38413643653632</v>
      </c>
      <c r="AW23" s="1481">
        <f t="shared" si="19"/>
        <v>24798.013999999996</v>
      </c>
      <c r="AX23" s="1481">
        <f t="shared" si="20"/>
        <v>220.64399999999989</v>
      </c>
      <c r="AY23" s="1481">
        <v>10.16</v>
      </c>
      <c r="AZ23" s="1481">
        <v>4</v>
      </c>
    </row>
    <row r="24" spans="1:71" x14ac:dyDescent="0.25">
      <c r="A24" s="32">
        <v>18</v>
      </c>
      <c r="B24" s="582" t="s">
        <v>304</v>
      </c>
      <c r="C24" s="1749" t="s">
        <v>162</v>
      </c>
      <c r="D24" s="690">
        <v>1985</v>
      </c>
      <c r="E24" s="690">
        <v>5</v>
      </c>
      <c r="F24" s="706">
        <v>76</v>
      </c>
      <c r="G24" s="869">
        <v>158</v>
      </c>
      <c r="H24" s="706">
        <v>4043.22</v>
      </c>
      <c r="I24" s="706">
        <v>63572.02</v>
      </c>
      <c r="J24" s="706">
        <v>76356.12</v>
      </c>
      <c r="K24" s="706">
        <v>3866.98</v>
      </c>
      <c r="L24" s="706">
        <v>4644.55</v>
      </c>
      <c r="M24" s="706">
        <v>0</v>
      </c>
      <c r="N24" s="706">
        <v>0</v>
      </c>
      <c r="O24" s="706">
        <v>43025.62</v>
      </c>
      <c r="P24" s="706">
        <v>51501.16</v>
      </c>
      <c r="Q24" s="706">
        <v>460340.8</v>
      </c>
      <c r="R24" s="706">
        <v>437848.35</v>
      </c>
      <c r="S24" s="871">
        <v>15132.29</v>
      </c>
      <c r="T24" s="871">
        <v>14241.49</v>
      </c>
      <c r="U24" s="871">
        <f t="shared" si="0"/>
        <v>585937.71</v>
      </c>
      <c r="V24" s="871">
        <f t="shared" si="1"/>
        <v>584591.66999999993</v>
      </c>
      <c r="W24" s="625">
        <f t="shared" si="2"/>
        <v>574265.66331907129</v>
      </c>
      <c r="X24" s="870">
        <v>4462.38</v>
      </c>
      <c r="Y24" s="890">
        <f t="shared" si="3"/>
        <v>12241.649115794855</v>
      </c>
      <c r="Z24" s="871">
        <v>12963.23</v>
      </c>
      <c r="AA24" s="890">
        <f t="shared" si="4"/>
        <v>2065.714676139617</v>
      </c>
      <c r="AB24" s="890">
        <f t="shared" si="5"/>
        <v>107.37857559433451</v>
      </c>
      <c r="AC24" s="890">
        <f t="shared" si="6"/>
        <v>99.2875999233014</v>
      </c>
      <c r="AD24" s="871">
        <v>5291.88</v>
      </c>
      <c r="AE24" s="871">
        <f t="shared" si="7"/>
        <v>633.53359600657359</v>
      </c>
      <c r="AF24" s="871">
        <f t="shared" si="8"/>
        <v>12142.130947769527</v>
      </c>
      <c r="AG24" s="871">
        <f t="shared" si="9"/>
        <v>39596.586367439428</v>
      </c>
      <c r="AH24" s="871">
        <f t="shared" si="10"/>
        <v>127659.00180383003</v>
      </c>
      <c r="AI24" s="871">
        <f t="shared" si="11"/>
        <v>130055.25599200647</v>
      </c>
      <c r="AJ24" s="871"/>
      <c r="AK24" s="1328">
        <f t="shared" si="12"/>
        <v>347318.02867450414</v>
      </c>
      <c r="AL24" s="1480">
        <f>6417.54/27394.27*H24</f>
        <v>947.18808271948831</v>
      </c>
      <c r="AM24" s="1481">
        <v>969.57</v>
      </c>
      <c r="AN24" s="1481">
        <f>896598.66/27394.27*H24</f>
        <v>132332.25904852364</v>
      </c>
      <c r="AO24" s="1481"/>
      <c r="AP24" s="1491">
        <f t="shared" si="13"/>
        <v>134249.01713124313</v>
      </c>
      <c r="AQ24" s="1481"/>
      <c r="AR24" s="1481">
        <f t="shared" si="14"/>
        <v>6474.3955106034227</v>
      </c>
      <c r="AS24" s="1481">
        <f t="shared" si="15"/>
        <v>86224.222002720562</v>
      </c>
      <c r="AT24" s="1481">
        <f t="shared" si="16"/>
        <v>11672.046680928674</v>
      </c>
      <c r="AU24" s="1481">
        <f t="shared" si="17"/>
        <v>99.770275922333113</v>
      </c>
      <c r="AV24" s="1481">
        <f t="shared" si="18"/>
        <v>839.56968321501654</v>
      </c>
      <c r="AW24" s="1481">
        <f t="shared" si="19"/>
        <v>1346.0400000000373</v>
      </c>
      <c r="AX24" s="1481">
        <f t="shared" si="20"/>
        <v>890.80000000000109</v>
      </c>
      <c r="AY24" s="1481">
        <v>12.12</v>
      </c>
      <c r="AZ24" s="1481">
        <v>2.5</v>
      </c>
    </row>
    <row r="25" spans="1:71" x14ac:dyDescent="0.25">
      <c r="A25" s="32">
        <v>19</v>
      </c>
      <c r="B25" s="583"/>
      <c r="C25" s="45" t="s">
        <v>163</v>
      </c>
      <c r="D25" s="690">
        <v>1955</v>
      </c>
      <c r="E25" s="690">
        <v>2</v>
      </c>
      <c r="F25" s="706">
        <v>12</v>
      </c>
      <c r="G25" s="869">
        <v>21</v>
      </c>
      <c r="H25" s="706">
        <v>606.29999999999995</v>
      </c>
      <c r="I25" s="706"/>
      <c r="J25" s="706"/>
      <c r="K25" s="706">
        <v>582</v>
      </c>
      <c r="L25" s="706">
        <v>478.26</v>
      </c>
      <c r="M25" s="706">
        <v>0</v>
      </c>
      <c r="N25" s="706">
        <v>0</v>
      </c>
      <c r="O25" s="706">
        <v>6475.26</v>
      </c>
      <c r="P25" s="706">
        <v>5320.53</v>
      </c>
      <c r="Q25" s="706">
        <v>66717.240000000005</v>
      </c>
      <c r="R25" s="706">
        <v>44612.36</v>
      </c>
      <c r="S25" s="871">
        <v>1130.06</v>
      </c>
      <c r="T25" s="871">
        <v>750.8</v>
      </c>
      <c r="U25" s="871">
        <f t="shared" si="0"/>
        <v>74904.56</v>
      </c>
      <c r="V25" s="871">
        <f t="shared" si="1"/>
        <v>51161.950000000004</v>
      </c>
      <c r="W25" s="625">
        <f t="shared" si="2"/>
        <v>64850.646069687078</v>
      </c>
      <c r="X25" s="870">
        <v>732.84</v>
      </c>
      <c r="Y25" s="890">
        <f t="shared" si="3"/>
        <v>1835.6932986348554</v>
      </c>
      <c r="Z25" s="871">
        <v>1541.82</v>
      </c>
      <c r="AA25" s="890">
        <f t="shared" si="4"/>
        <v>309.76370520116387</v>
      </c>
      <c r="AB25" s="890">
        <f t="shared" si="5"/>
        <v>16.101926282231737</v>
      </c>
      <c r="AC25" s="890">
        <f t="shared" si="6"/>
        <v>14.888646136865576</v>
      </c>
      <c r="AD25" s="871"/>
      <c r="AE25" s="871">
        <f t="shared" si="7"/>
        <v>95.001365065167263</v>
      </c>
      <c r="AF25" s="871">
        <f t="shared" si="8"/>
        <v>1820.7700777184184</v>
      </c>
      <c r="AG25" s="871">
        <f t="shared" si="9"/>
        <v>5937.6957757872497</v>
      </c>
      <c r="AH25" s="871">
        <f t="shared" si="10"/>
        <v>19143.072302190369</v>
      </c>
      <c r="AI25" s="871">
        <f t="shared" si="11"/>
        <v>19502.401973662949</v>
      </c>
      <c r="AJ25" s="871"/>
      <c r="AK25" s="1328">
        <f t="shared" si="12"/>
        <v>50950.04907067927</v>
      </c>
      <c r="AL25" s="1480"/>
      <c r="AM25" s="1481"/>
      <c r="AN25" s="1481"/>
      <c r="AO25" s="1481"/>
      <c r="AP25" s="1491">
        <f t="shared" si="13"/>
        <v>0</v>
      </c>
      <c r="AQ25" s="1481"/>
      <c r="AR25" s="1481">
        <f t="shared" si="14"/>
        <v>970.86628926421395</v>
      </c>
      <c r="AS25" s="1481">
        <f t="shared" si="15"/>
        <v>12929.73070974359</v>
      </c>
      <c r="AT25" s="1481">
        <f t="shared" si="16"/>
        <v>10053.91393031292</v>
      </c>
      <c r="AU25" s="1481">
        <f t="shared" si="17"/>
        <v>68.302850987977237</v>
      </c>
      <c r="AV25" s="1481">
        <f t="shared" si="18"/>
        <v>600.46894508969524</v>
      </c>
      <c r="AW25" s="1481">
        <f t="shared" si="19"/>
        <v>23742.609999999993</v>
      </c>
      <c r="AX25" s="1481">
        <f t="shared" si="20"/>
        <v>379.26</v>
      </c>
      <c r="AY25" s="1481">
        <v>10.64</v>
      </c>
      <c r="AZ25" s="1481">
        <v>4</v>
      </c>
    </row>
    <row r="26" spans="1:71" x14ac:dyDescent="0.25">
      <c r="A26" s="32">
        <v>20</v>
      </c>
      <c r="B26" s="582" t="s">
        <v>304</v>
      </c>
      <c r="C26" s="1749" t="s">
        <v>164</v>
      </c>
      <c r="D26" s="690">
        <v>1989</v>
      </c>
      <c r="E26" s="690">
        <v>5</v>
      </c>
      <c r="F26" s="706">
        <v>75</v>
      </c>
      <c r="G26" s="869">
        <v>146</v>
      </c>
      <c r="H26" s="706">
        <v>3492.24</v>
      </c>
      <c r="I26" s="706">
        <v>63710.53</v>
      </c>
      <c r="J26" s="706">
        <v>76736.929999999993</v>
      </c>
      <c r="K26" s="706">
        <v>3288.08</v>
      </c>
      <c r="L26" s="706">
        <v>3960.4</v>
      </c>
      <c r="M26" s="706">
        <v>0</v>
      </c>
      <c r="N26" s="706">
        <v>0</v>
      </c>
      <c r="O26" s="706">
        <v>36581.919999999998</v>
      </c>
      <c r="P26" s="706">
        <v>43856.35</v>
      </c>
      <c r="Q26" s="706">
        <v>401508.37</v>
      </c>
      <c r="R26" s="706">
        <v>378834.27</v>
      </c>
      <c r="S26" s="871">
        <v>10522.07</v>
      </c>
      <c r="T26" s="871">
        <v>9581.2000000000007</v>
      </c>
      <c r="U26" s="871">
        <f t="shared" si="0"/>
        <v>515610.97000000003</v>
      </c>
      <c r="V26" s="871">
        <f t="shared" si="1"/>
        <v>512969.15</v>
      </c>
      <c r="W26" s="625">
        <f t="shared" si="2"/>
        <v>497368.07939904172</v>
      </c>
      <c r="X26" s="870">
        <v>9957.74</v>
      </c>
      <c r="Y26" s="890">
        <f t="shared" si="3"/>
        <v>10573.44807063267</v>
      </c>
      <c r="Z26" s="871">
        <v>7266.98</v>
      </c>
      <c r="AA26" s="890">
        <f t="shared" si="4"/>
        <v>1784.2144183600735</v>
      </c>
      <c r="AB26" s="890">
        <f t="shared" si="5"/>
        <v>92.745820616627029</v>
      </c>
      <c r="AC26" s="890">
        <f t="shared" si="6"/>
        <v>85.757423033164187</v>
      </c>
      <c r="AD26" s="871">
        <v>4113.12</v>
      </c>
      <c r="AE26" s="871">
        <f t="shared" si="7"/>
        <v>547.20034163809953</v>
      </c>
      <c r="AF26" s="871">
        <f t="shared" si="8"/>
        <v>10487.491499606414</v>
      </c>
      <c r="AG26" s="871">
        <f t="shared" si="9"/>
        <v>34200.657588710645</v>
      </c>
      <c r="AH26" s="871">
        <f t="shared" si="10"/>
        <v>110262.58092792562</v>
      </c>
      <c r="AI26" s="871">
        <f t="shared" si="11"/>
        <v>112332.29138793453</v>
      </c>
      <c r="AJ26" s="871"/>
      <c r="AK26" s="1328">
        <f t="shared" si="12"/>
        <v>301704.22747845779</v>
      </c>
      <c r="AL26" s="1480">
        <f>6417.54/27394.27*H26</f>
        <v>818.11232383998538</v>
      </c>
      <c r="AM26" s="1481">
        <v>480.4</v>
      </c>
      <c r="AN26" s="1481">
        <f>896598.66/27394.27*H26</f>
        <v>114299.00137504668</v>
      </c>
      <c r="AO26" s="1481"/>
      <c r="AP26" s="1491">
        <f t="shared" si="13"/>
        <v>115597.51369888666</v>
      </c>
      <c r="AQ26" s="1481"/>
      <c r="AR26" s="1481">
        <f t="shared" si="14"/>
        <v>5592.112963912351</v>
      </c>
      <c r="AS26" s="1481">
        <f t="shared" si="15"/>
        <v>74474.225257784856</v>
      </c>
      <c r="AT26" s="1481">
        <f t="shared" si="16"/>
        <v>18242.890600958315</v>
      </c>
      <c r="AU26" s="1481">
        <f t="shared" si="17"/>
        <v>99.487633088954638</v>
      </c>
      <c r="AV26" s="1481">
        <f t="shared" si="18"/>
        <v>736.8415991096914</v>
      </c>
      <c r="AW26" s="1481">
        <f t="shared" si="19"/>
        <v>2641.820000000007</v>
      </c>
      <c r="AX26" s="1481">
        <f t="shared" si="20"/>
        <v>940.86999999999898</v>
      </c>
      <c r="AY26" s="1481">
        <v>12.6</v>
      </c>
      <c r="AZ26" s="1481">
        <v>3.66</v>
      </c>
    </row>
    <row r="27" spans="1:71" x14ac:dyDescent="0.25">
      <c r="A27" s="32">
        <v>21</v>
      </c>
      <c r="B27" s="582" t="s">
        <v>304</v>
      </c>
      <c r="C27" s="1749" t="s">
        <v>165</v>
      </c>
      <c r="D27" s="690">
        <v>1989</v>
      </c>
      <c r="E27" s="690">
        <v>5</v>
      </c>
      <c r="F27" s="706">
        <v>75</v>
      </c>
      <c r="G27" s="869">
        <v>137</v>
      </c>
      <c r="H27" s="706">
        <v>3454.59</v>
      </c>
      <c r="I27" s="706">
        <v>63679.92</v>
      </c>
      <c r="J27" s="706">
        <v>75091.94</v>
      </c>
      <c r="K27" s="706">
        <v>3318.96</v>
      </c>
      <c r="L27" s="706">
        <v>3906.32</v>
      </c>
      <c r="M27" s="706">
        <v>14727.36</v>
      </c>
      <c r="N27" s="706">
        <v>17333.39</v>
      </c>
      <c r="O27" s="706">
        <v>36921.9</v>
      </c>
      <c r="P27" s="706">
        <v>43478.86</v>
      </c>
      <c r="Q27" s="706">
        <v>415266</v>
      </c>
      <c r="R27" s="706">
        <v>386478.08000000002</v>
      </c>
      <c r="S27" s="871">
        <v>7788.98</v>
      </c>
      <c r="T27" s="871">
        <v>7461.51</v>
      </c>
      <c r="U27" s="871">
        <f t="shared" si="0"/>
        <v>541703.12</v>
      </c>
      <c r="V27" s="871">
        <f t="shared" si="1"/>
        <v>533750.10000000009</v>
      </c>
      <c r="W27" s="625">
        <f t="shared" si="2"/>
        <v>498522.45136428589</v>
      </c>
      <c r="X27" s="870">
        <v>8913.18</v>
      </c>
      <c r="Y27" s="890">
        <f t="shared" si="3"/>
        <v>10459.455240855988</v>
      </c>
      <c r="Z27" s="871">
        <v>1030.96</v>
      </c>
      <c r="AA27" s="890">
        <f t="shared" si="4"/>
        <v>1764.9787206842964</v>
      </c>
      <c r="AB27" s="890">
        <f t="shared" si="5"/>
        <v>91.745923660456782</v>
      </c>
      <c r="AC27" s="890">
        <f t="shared" si="6"/>
        <v>84.832868312641367</v>
      </c>
      <c r="AD27" s="871">
        <v>4113.12</v>
      </c>
      <c r="AE27" s="871">
        <f t="shared" si="7"/>
        <v>541.30094959669509</v>
      </c>
      <c r="AF27" s="871">
        <f t="shared" si="8"/>
        <v>10374.425371573927</v>
      </c>
      <c r="AG27" s="871">
        <f t="shared" si="9"/>
        <v>33831.938726829751</v>
      </c>
      <c r="AH27" s="871">
        <f t="shared" si="10"/>
        <v>109073.8349734848</v>
      </c>
      <c r="AI27" s="871">
        <f t="shared" si="11"/>
        <v>111121.2317898669</v>
      </c>
      <c r="AJ27" s="871"/>
      <c r="AK27" s="1328">
        <f t="shared" si="12"/>
        <v>291401.00456486549</v>
      </c>
      <c r="AL27" s="1480">
        <f t="shared" ref="AL27:AL29" si="21">6417.54/27394.27*H27</f>
        <v>809.29221726295316</v>
      </c>
      <c r="AM27" s="1481">
        <v>672.71</v>
      </c>
      <c r="AN27" s="1481">
        <f t="shared" ref="AN27:AN29" si="22">896598.66/27394.27*H27</f>
        <v>113066.7385861861</v>
      </c>
      <c r="AO27" s="1481"/>
      <c r="AP27" s="1491">
        <f t="shared" si="13"/>
        <v>114548.74080344905</v>
      </c>
      <c r="AQ27" s="1480">
        <f>65448.99/16911.5*H27</f>
        <v>13369.566647789965</v>
      </c>
      <c r="AR27" s="1481">
        <f t="shared" si="14"/>
        <v>5531.8241369441876</v>
      </c>
      <c r="AS27" s="1481">
        <f t="shared" si="15"/>
        <v>73671.315211237204</v>
      </c>
      <c r="AT27" s="1481">
        <f t="shared" si="16"/>
        <v>43180.668635714101</v>
      </c>
      <c r="AU27" s="1481">
        <f t="shared" si="17"/>
        <v>98.531848958152594</v>
      </c>
      <c r="AV27" s="1481">
        <f t="shared" si="18"/>
        <v>738.55177979894199</v>
      </c>
      <c r="AW27" s="1481">
        <f t="shared" si="19"/>
        <v>7953.0199999999022</v>
      </c>
      <c r="AX27" s="1481">
        <f t="shared" si="20"/>
        <v>327.46999999999935</v>
      </c>
      <c r="AY27" s="1481">
        <v>13.21</v>
      </c>
      <c r="AZ27" s="1481">
        <v>3.95</v>
      </c>
    </row>
    <row r="28" spans="1:71" x14ac:dyDescent="0.25">
      <c r="A28" s="32">
        <v>22</v>
      </c>
      <c r="B28" s="582" t="s">
        <v>304</v>
      </c>
      <c r="C28" s="1749" t="s">
        <v>166</v>
      </c>
      <c r="D28" s="690">
        <v>1993</v>
      </c>
      <c r="E28" s="690">
        <v>5</v>
      </c>
      <c r="F28" s="706">
        <v>100</v>
      </c>
      <c r="G28" s="869">
        <v>227</v>
      </c>
      <c r="H28" s="706">
        <v>6046.32</v>
      </c>
      <c r="I28" s="706">
        <v>100690.97</v>
      </c>
      <c r="J28" s="706">
        <v>122457.06</v>
      </c>
      <c r="K28" s="706">
        <v>5815.26</v>
      </c>
      <c r="L28" s="706">
        <v>7060.91</v>
      </c>
      <c r="M28" s="706">
        <v>22537.87</v>
      </c>
      <c r="N28" s="706">
        <v>27365.279999999999</v>
      </c>
      <c r="O28" s="706">
        <v>64703.63</v>
      </c>
      <c r="P28" s="706">
        <v>78330.14</v>
      </c>
      <c r="Q28" s="706">
        <v>713405.91</v>
      </c>
      <c r="R28" s="706">
        <v>684417.51</v>
      </c>
      <c r="S28" s="871">
        <v>35532.910000000003</v>
      </c>
      <c r="T28" s="871">
        <v>33825.26</v>
      </c>
      <c r="U28" s="871">
        <f t="shared" si="0"/>
        <v>942686.55</v>
      </c>
      <c r="V28" s="871">
        <f t="shared" si="1"/>
        <v>953456.16</v>
      </c>
      <c r="W28" s="625">
        <f t="shared" si="2"/>
        <v>893221.23655409412</v>
      </c>
      <c r="X28" s="870">
        <v>3741.08</v>
      </c>
      <c r="Y28" s="890">
        <f t="shared" si="3"/>
        <v>18306.430983674582</v>
      </c>
      <c r="Z28" s="871">
        <v>36780.660000000003</v>
      </c>
      <c r="AA28" s="890">
        <f t="shared" si="4"/>
        <v>3089.1151014875495</v>
      </c>
      <c r="AB28" s="890">
        <f t="shared" si="5"/>
        <v>160.5762805851615</v>
      </c>
      <c r="AC28" s="890">
        <f t="shared" si="6"/>
        <v>148.47685784306955</v>
      </c>
      <c r="AD28" s="871">
        <v>5266.8</v>
      </c>
      <c r="AE28" s="871">
        <f t="shared" si="7"/>
        <v>947.40005545245276</v>
      </c>
      <c r="AF28" s="871">
        <f t="shared" si="8"/>
        <v>18157.609329227162</v>
      </c>
      <c r="AG28" s="871">
        <f t="shared" si="9"/>
        <v>59213.605019063114</v>
      </c>
      <c r="AH28" s="871">
        <f t="shared" si="10"/>
        <v>190904.07541180882</v>
      </c>
      <c r="AI28" s="871">
        <f t="shared" si="11"/>
        <v>194487.4865601151</v>
      </c>
      <c r="AJ28" s="871"/>
      <c r="AK28" s="1328">
        <f t="shared" si="12"/>
        <v>531203.31559925689</v>
      </c>
      <c r="AL28" s="1480">
        <f t="shared" si="21"/>
        <v>1416.4458645110819</v>
      </c>
      <c r="AM28" s="1481">
        <v>685.57</v>
      </c>
      <c r="AN28" s="1481">
        <f t="shared" si="22"/>
        <v>197892.56694670819</v>
      </c>
      <c r="AO28" s="1481"/>
      <c r="AP28" s="1491">
        <f t="shared" si="13"/>
        <v>199994.58281121927</v>
      </c>
      <c r="AQ28" s="1480">
        <f t="shared" ref="AQ28:AQ29" si="23">65448.99/16911.5*H28</f>
        <v>23399.789327782866</v>
      </c>
      <c r="AR28" s="1481">
        <f t="shared" si="14"/>
        <v>9681.9532609335347</v>
      </c>
      <c r="AS28" s="1481">
        <f t="shared" si="15"/>
        <v>128941.59555490165</v>
      </c>
      <c r="AT28" s="1481">
        <f t="shared" si="16"/>
        <v>49465.313445905922</v>
      </c>
      <c r="AU28" s="1481">
        <f t="shared" si="17"/>
        <v>101.14243806703298</v>
      </c>
      <c r="AV28" s="1481">
        <f t="shared" si="18"/>
        <v>992.46804061566013</v>
      </c>
      <c r="AW28" s="1481">
        <f t="shared" si="19"/>
        <v>-10769.609999999986</v>
      </c>
      <c r="AX28" s="1481">
        <f t="shared" si="20"/>
        <v>1707.6500000000015</v>
      </c>
      <c r="AY28" s="1481">
        <v>12.81</v>
      </c>
      <c r="AZ28" s="1481">
        <v>2.5299999999999998</v>
      </c>
    </row>
    <row r="29" spans="1:71" x14ac:dyDescent="0.25">
      <c r="A29" s="32">
        <v>23</v>
      </c>
      <c r="B29" s="582" t="s">
        <v>304</v>
      </c>
      <c r="C29" s="1749" t="s">
        <v>167</v>
      </c>
      <c r="D29" s="690">
        <v>1989</v>
      </c>
      <c r="E29" s="690">
        <v>5</v>
      </c>
      <c r="F29" s="706">
        <v>76</v>
      </c>
      <c r="G29" s="869">
        <v>141</v>
      </c>
      <c r="H29" s="706">
        <v>3481.7</v>
      </c>
      <c r="I29" s="706">
        <v>63731.78</v>
      </c>
      <c r="J29" s="706">
        <v>69008.850000000006</v>
      </c>
      <c r="K29" s="706">
        <v>3343.6</v>
      </c>
      <c r="L29" s="706">
        <v>3580.91</v>
      </c>
      <c r="M29" s="706">
        <v>14626.73</v>
      </c>
      <c r="N29" s="706">
        <v>15775.22</v>
      </c>
      <c r="O29" s="706">
        <v>37193.82</v>
      </c>
      <c r="P29" s="706">
        <v>40041.4</v>
      </c>
      <c r="Q29" s="706">
        <v>418566.26</v>
      </c>
      <c r="R29" s="706">
        <v>348191.13</v>
      </c>
      <c r="S29" s="871">
        <v>11668.37</v>
      </c>
      <c r="T29" s="871">
        <v>9688.73</v>
      </c>
      <c r="U29" s="871">
        <f t="shared" si="0"/>
        <v>549130.55999999994</v>
      </c>
      <c r="V29" s="871">
        <f t="shared" si="1"/>
        <v>486286.24</v>
      </c>
      <c r="W29" s="625">
        <f t="shared" si="2"/>
        <v>519958.77756284643</v>
      </c>
      <c r="X29" s="870">
        <v>6765.67</v>
      </c>
      <c r="Y29" s="890">
        <f t="shared" si="3"/>
        <v>10541.536133691203</v>
      </c>
      <c r="Z29" s="871">
        <v>21244.94</v>
      </c>
      <c r="AA29" s="890">
        <f t="shared" si="4"/>
        <v>1778.8294448274655</v>
      </c>
      <c r="AB29" s="890">
        <f t="shared" si="5"/>
        <v>92.465902584275511</v>
      </c>
      <c r="AC29" s="890">
        <f t="shared" si="6"/>
        <v>85.498596824550361</v>
      </c>
      <c r="AD29" s="871">
        <v>4113.12</v>
      </c>
      <c r="AE29" s="871">
        <f t="shared" si="7"/>
        <v>545.54882524722552</v>
      </c>
      <c r="AF29" s="871">
        <f t="shared" si="8"/>
        <v>10455.838989926138</v>
      </c>
      <c r="AG29" s="871">
        <f t="shared" si="9"/>
        <v>34097.435894043323</v>
      </c>
      <c r="AH29" s="871">
        <f t="shared" si="10"/>
        <v>109929.79520787764</v>
      </c>
      <c r="AI29" s="871">
        <f t="shared" si="11"/>
        <v>111993.25903299075</v>
      </c>
      <c r="AJ29" s="871"/>
      <c r="AK29" s="1328">
        <f t="shared" si="12"/>
        <v>311643.93802801252</v>
      </c>
      <c r="AL29" s="1480">
        <f t="shared" si="21"/>
        <v>815.64316252997423</v>
      </c>
      <c r="AM29" s="1481">
        <v>245.99</v>
      </c>
      <c r="AN29" s="1481">
        <f t="shared" si="22"/>
        <v>113954.0332530124</v>
      </c>
      <c r="AO29" s="1481"/>
      <c r="AP29" s="1491">
        <f t="shared" si="13"/>
        <v>115015.66641554238</v>
      </c>
      <c r="AQ29" s="1480">
        <f t="shared" si="23"/>
        <v>13474.484728320964</v>
      </c>
      <c r="AR29" s="1481">
        <f t="shared" si="14"/>
        <v>5575.235294954995</v>
      </c>
      <c r="AS29" s="1481">
        <f t="shared" si="15"/>
        <v>74249.453096015597</v>
      </c>
      <c r="AT29" s="1481">
        <f t="shared" si="16"/>
        <v>29171.78243715351</v>
      </c>
      <c r="AU29" s="1481">
        <f t="shared" si="17"/>
        <v>88.555668801241012</v>
      </c>
      <c r="AV29" s="1481">
        <f t="shared" si="18"/>
        <v>760.17365140767026</v>
      </c>
      <c r="AW29" s="1481">
        <f t="shared" si="19"/>
        <v>62844.319999999949</v>
      </c>
      <c r="AX29" s="1481">
        <f t="shared" si="20"/>
        <v>1979.6400000000012</v>
      </c>
      <c r="AY29" s="1481">
        <v>13.2</v>
      </c>
      <c r="AZ29" s="1481">
        <v>4</v>
      </c>
    </row>
    <row r="30" spans="1:71" ht="26.25" x14ac:dyDescent="0.25">
      <c r="A30" s="1772">
        <v>24</v>
      </c>
      <c r="B30" s="1773"/>
      <c r="C30" s="1774" t="s">
        <v>840</v>
      </c>
      <c r="D30" s="1775">
        <v>1957</v>
      </c>
      <c r="E30" s="1775">
        <v>1</v>
      </c>
      <c r="F30" s="1776">
        <v>4</v>
      </c>
      <c r="G30" s="1777">
        <v>11</v>
      </c>
      <c r="H30" s="1776">
        <v>132.6</v>
      </c>
      <c r="I30" s="1776"/>
      <c r="J30" s="1776"/>
      <c r="K30" s="1776">
        <v>28.98</v>
      </c>
      <c r="L30" s="1776">
        <v>842.88</v>
      </c>
      <c r="M30" s="1776">
        <v>0</v>
      </c>
      <c r="N30" s="1776">
        <v>0</v>
      </c>
      <c r="O30" s="1776">
        <v>206.49</v>
      </c>
      <c r="P30" s="1776">
        <v>1404.63</v>
      </c>
      <c r="Q30" s="1776">
        <v>862.24</v>
      </c>
      <c r="R30" s="1776">
        <v>3576.07</v>
      </c>
      <c r="S30" s="1778">
        <v>0</v>
      </c>
      <c r="T30" s="1778">
        <v>0</v>
      </c>
      <c r="U30" s="1778">
        <f t="shared" si="0"/>
        <v>1097.71</v>
      </c>
      <c r="V30" s="1778">
        <f t="shared" si="1"/>
        <v>5823.58</v>
      </c>
      <c r="W30" s="1328">
        <f t="shared" si="2"/>
        <v>401.47275507006736</v>
      </c>
      <c r="X30" s="1779"/>
      <c r="Y30" s="1780">
        <f t="shared" si="3"/>
        <v>401.47275507006736</v>
      </c>
      <c r="Z30" s="1778"/>
      <c r="AA30" s="1780"/>
      <c r="AB30" s="1780"/>
      <c r="AC30" s="1780"/>
      <c r="AD30" s="1778"/>
      <c r="AE30" s="1778"/>
      <c r="AF30" s="1778"/>
      <c r="AG30" s="1778"/>
      <c r="AH30" s="1778"/>
      <c r="AI30" s="1778"/>
      <c r="AJ30" s="1778"/>
      <c r="AK30" s="1778">
        <f t="shared" si="12"/>
        <v>401.47275507006736</v>
      </c>
      <c r="AL30" s="1781"/>
      <c r="AM30" s="1782"/>
      <c r="AN30" s="1782"/>
      <c r="AO30" s="1782"/>
      <c r="AP30" s="1782">
        <f t="shared" si="13"/>
        <v>0</v>
      </c>
      <c r="AQ30" s="1782"/>
      <c r="AR30" s="1782"/>
      <c r="AS30" s="1782"/>
      <c r="AT30" s="1782">
        <f t="shared" si="16"/>
        <v>696.23724492993267</v>
      </c>
      <c r="AU30" s="1782">
        <f t="shared" si="17"/>
        <v>530.52081150759307</v>
      </c>
      <c r="AV30" s="1782">
        <f t="shared" si="18"/>
        <v>11.152020974168538</v>
      </c>
      <c r="AW30" s="1782">
        <f t="shared" si="19"/>
        <v>-4725.87</v>
      </c>
      <c r="AX30" s="1782">
        <f t="shared" si="20"/>
        <v>0</v>
      </c>
      <c r="AY30" s="1782"/>
      <c r="AZ30" s="1782"/>
    </row>
    <row r="31" spans="1:71" x14ac:dyDescent="0.25">
      <c r="A31" s="33">
        <v>25</v>
      </c>
      <c r="B31" s="1750"/>
      <c r="C31" s="45" t="s">
        <v>169</v>
      </c>
      <c r="D31" s="690">
        <v>1957</v>
      </c>
      <c r="E31" s="1748">
        <v>1</v>
      </c>
      <c r="F31" s="706">
        <v>4</v>
      </c>
      <c r="G31" s="869">
        <v>5</v>
      </c>
      <c r="H31" s="706">
        <v>131.19999999999999</v>
      </c>
      <c r="I31" s="706"/>
      <c r="J31" s="706"/>
      <c r="K31" s="706">
        <v>125.94</v>
      </c>
      <c r="L31" s="706">
        <v>98.37</v>
      </c>
      <c r="M31" s="706">
        <v>0</v>
      </c>
      <c r="N31" s="706">
        <v>0</v>
      </c>
      <c r="O31" s="706">
        <v>897.42</v>
      </c>
      <c r="P31" s="706">
        <v>701.04</v>
      </c>
      <c r="Q31" s="706">
        <v>12367.02</v>
      </c>
      <c r="R31" s="706">
        <v>7629.11</v>
      </c>
      <c r="S31" s="871">
        <v>0</v>
      </c>
      <c r="T31" s="871">
        <v>0</v>
      </c>
      <c r="U31" s="871">
        <f t="shared" si="0"/>
        <v>13390.380000000001</v>
      </c>
      <c r="V31" s="871">
        <f t="shared" si="1"/>
        <v>8428.52</v>
      </c>
      <c r="W31" s="625">
        <f t="shared" si="2"/>
        <v>9320.8877344521934</v>
      </c>
      <c r="X31" s="870"/>
      <c r="Y31" s="890">
        <f t="shared" si="3"/>
        <v>397.23397786721597</v>
      </c>
      <c r="Z31" s="871"/>
      <c r="AA31" s="890">
        <f t="shared" si="4"/>
        <v>67.031169589959916</v>
      </c>
      <c r="AB31" s="890">
        <f t="shared" si="5"/>
        <v>3.4843686759505261</v>
      </c>
      <c r="AC31" s="890">
        <f t="shared" si="6"/>
        <v>3.2218214962176539</v>
      </c>
      <c r="AD31" s="871"/>
      <c r="AE31" s="871">
        <f t="shared" si="7"/>
        <v>20.557775188108106</v>
      </c>
      <c r="AF31" s="871">
        <f t="shared" si="8"/>
        <v>394.00467457802489</v>
      </c>
      <c r="AG31" s="871">
        <f t="shared" si="9"/>
        <v>1284.8848520258737</v>
      </c>
      <c r="AH31" s="871">
        <f t="shared" si="10"/>
        <v>4142.4560218495408</v>
      </c>
      <c r="AI31" s="871"/>
      <c r="AJ31" s="871"/>
      <c r="AK31" s="1328">
        <f t="shared" si="12"/>
        <v>6312.874661270891</v>
      </c>
      <c r="AL31" s="1480"/>
      <c r="AM31" s="1481"/>
      <c r="AN31" s="1481"/>
      <c r="AO31" s="1481"/>
      <c r="AP31" s="1491">
        <f t="shared" si="13"/>
        <v>0</v>
      </c>
      <c r="AQ31" s="1481"/>
      <c r="AR31" s="1481">
        <f t="shared" si="14"/>
        <v>210.090148691184</v>
      </c>
      <c r="AS31" s="1481">
        <f t="shared" si="15"/>
        <v>2797.9229244901189</v>
      </c>
      <c r="AT31" s="1481">
        <f t="shared" si="16"/>
        <v>4069.4922655478076</v>
      </c>
      <c r="AU31" s="1481">
        <f t="shared" si="17"/>
        <v>62.944591564989196</v>
      </c>
      <c r="AV31" s="1481">
        <f t="shared" si="18"/>
        <v>258.91354817922758</v>
      </c>
      <c r="AW31" s="1481">
        <f t="shared" si="19"/>
        <v>4961.8600000000006</v>
      </c>
      <c r="AX31" s="1481">
        <f t="shared" si="20"/>
        <v>0</v>
      </c>
      <c r="AY31" s="1481">
        <v>8.73</v>
      </c>
      <c r="AZ31" s="1481"/>
    </row>
    <row r="32" spans="1:71" x14ac:dyDescent="0.25">
      <c r="A32" s="33">
        <v>26</v>
      </c>
      <c r="B32" s="1750"/>
      <c r="C32" s="45" t="s">
        <v>170</v>
      </c>
      <c r="D32" s="690">
        <v>1957</v>
      </c>
      <c r="E32" s="1748">
        <v>1</v>
      </c>
      <c r="F32" s="706">
        <v>4</v>
      </c>
      <c r="G32" s="869">
        <v>3</v>
      </c>
      <c r="H32" s="706">
        <v>123</v>
      </c>
      <c r="I32" s="706"/>
      <c r="J32" s="706"/>
      <c r="K32" s="706">
        <v>118.02</v>
      </c>
      <c r="L32" s="706">
        <v>120.55</v>
      </c>
      <c r="M32" s="706">
        <v>0</v>
      </c>
      <c r="N32" s="706">
        <v>0</v>
      </c>
      <c r="O32" s="706">
        <v>841.38</v>
      </c>
      <c r="P32" s="706">
        <v>859.46</v>
      </c>
      <c r="Q32" s="706">
        <v>8228.7000000000007</v>
      </c>
      <c r="R32" s="706">
        <v>8551.6</v>
      </c>
      <c r="S32" s="871">
        <v>0</v>
      </c>
      <c r="T32" s="871">
        <v>0</v>
      </c>
      <c r="U32" s="871">
        <f t="shared" si="0"/>
        <v>9188.1</v>
      </c>
      <c r="V32" s="871">
        <f t="shared" si="1"/>
        <v>9531.61</v>
      </c>
      <c r="W32" s="625">
        <f t="shared" si="2"/>
        <v>8738.3322510489324</v>
      </c>
      <c r="X32" s="870"/>
      <c r="Y32" s="890">
        <f t="shared" si="3"/>
        <v>372.40685425051498</v>
      </c>
      <c r="Z32" s="871"/>
      <c r="AA32" s="890">
        <f t="shared" si="4"/>
        <v>62.841721490587432</v>
      </c>
      <c r="AB32" s="890">
        <f t="shared" si="5"/>
        <v>3.2665956337036186</v>
      </c>
      <c r="AC32" s="890">
        <f t="shared" si="6"/>
        <v>3.0204576527040508</v>
      </c>
      <c r="AD32" s="871"/>
      <c r="AE32" s="871">
        <f t="shared" si="7"/>
        <v>19.272914238851349</v>
      </c>
      <c r="AF32" s="871">
        <f t="shared" si="8"/>
        <v>369.37938241689835</v>
      </c>
      <c r="AG32" s="871">
        <f t="shared" si="9"/>
        <v>1204.5795487742566</v>
      </c>
      <c r="AH32" s="871">
        <f t="shared" si="10"/>
        <v>3883.5525204839446</v>
      </c>
      <c r="AI32" s="871"/>
      <c r="AJ32" s="871"/>
      <c r="AK32" s="1328">
        <f t="shared" si="12"/>
        <v>5918.3199949414611</v>
      </c>
      <c r="AL32" s="1480"/>
      <c r="AM32" s="1481"/>
      <c r="AN32" s="1481"/>
      <c r="AO32" s="1481"/>
      <c r="AP32" s="1491">
        <f t="shared" si="13"/>
        <v>0</v>
      </c>
      <c r="AQ32" s="1481"/>
      <c r="AR32" s="1481">
        <f t="shared" si="14"/>
        <v>196.95951439798503</v>
      </c>
      <c r="AS32" s="1481">
        <f t="shared" si="15"/>
        <v>2623.0527417094868</v>
      </c>
      <c r="AT32" s="1481">
        <f t="shared" si="16"/>
        <v>449.76774895106792</v>
      </c>
      <c r="AU32" s="1481">
        <f t="shared" si="17"/>
        <v>103.73864019764696</v>
      </c>
      <c r="AV32" s="1481">
        <f t="shared" si="18"/>
        <v>242.7314514180259</v>
      </c>
      <c r="AW32" s="1481">
        <f t="shared" si="19"/>
        <v>-343.51000000000022</v>
      </c>
      <c r="AX32" s="1481">
        <f t="shared" si="20"/>
        <v>0</v>
      </c>
      <c r="AY32" s="1481">
        <v>6.39</v>
      </c>
      <c r="AZ32" s="1481"/>
    </row>
    <row r="33" spans="1:52" x14ac:dyDescent="0.25">
      <c r="A33" s="33">
        <v>27</v>
      </c>
      <c r="B33" s="1750"/>
      <c r="C33" s="45" t="s">
        <v>171</v>
      </c>
      <c r="D33" s="690">
        <v>1957</v>
      </c>
      <c r="E33" s="1748">
        <v>1</v>
      </c>
      <c r="F33" s="706">
        <v>4</v>
      </c>
      <c r="G33" s="869">
        <v>8</v>
      </c>
      <c r="H33" s="706">
        <v>141.5</v>
      </c>
      <c r="I33" s="706"/>
      <c r="J33" s="706"/>
      <c r="K33" s="706">
        <v>135.84</v>
      </c>
      <c r="L33" s="706">
        <v>178.15</v>
      </c>
      <c r="M33" s="706">
        <v>0</v>
      </c>
      <c r="N33" s="706">
        <v>0</v>
      </c>
      <c r="O33" s="706">
        <v>967.86</v>
      </c>
      <c r="P33" s="706">
        <v>1254.57</v>
      </c>
      <c r="Q33" s="706">
        <v>9466.44</v>
      </c>
      <c r="R33" s="706">
        <v>8830.2999999999993</v>
      </c>
      <c r="S33" s="871">
        <v>0</v>
      </c>
      <c r="T33" s="871">
        <v>0</v>
      </c>
      <c r="U33" s="871">
        <f t="shared" si="0"/>
        <v>10570.140000000001</v>
      </c>
      <c r="V33" s="871">
        <f t="shared" si="1"/>
        <v>10263.019999999999</v>
      </c>
      <c r="W33" s="625">
        <f t="shared" si="2"/>
        <v>10052.634256288</v>
      </c>
      <c r="X33" s="870"/>
      <c r="Y33" s="890">
        <f t="shared" si="3"/>
        <v>428.41926728819408</v>
      </c>
      <c r="Z33" s="871"/>
      <c r="AA33" s="890">
        <f t="shared" si="4"/>
        <v>72.293525129415627</v>
      </c>
      <c r="AB33" s="890">
        <f t="shared" si="5"/>
        <v>3.757912863163106</v>
      </c>
      <c r="AC33" s="890">
        <f t="shared" si="6"/>
        <v>3.4747541289237658</v>
      </c>
      <c r="AD33" s="625"/>
      <c r="AE33" s="871">
        <f t="shared" si="7"/>
        <v>22.171685892662325</v>
      </c>
      <c r="AF33" s="871">
        <f t="shared" si="8"/>
        <v>424.9364439999278</v>
      </c>
      <c r="AG33" s="871">
        <f t="shared" si="9"/>
        <v>1385.7561475736366</v>
      </c>
      <c r="AH33" s="871">
        <f t="shared" si="10"/>
        <v>4467.6640784429119</v>
      </c>
      <c r="AI33" s="871"/>
      <c r="AJ33" s="871"/>
      <c r="AK33" s="1328">
        <f t="shared" si="12"/>
        <v>6808.4738153188355</v>
      </c>
      <c r="AL33" s="562"/>
      <c r="AM33" s="1465"/>
      <c r="AN33" s="1465"/>
      <c r="AO33" s="1465"/>
      <c r="AP33" s="1491">
        <f t="shared" si="13"/>
        <v>0</v>
      </c>
      <c r="AQ33" s="1465"/>
      <c r="AR33" s="1481">
        <f t="shared" si="14"/>
        <v>226.583506400934</v>
      </c>
      <c r="AS33" s="1481">
        <f t="shared" si="15"/>
        <v>3017.5769345682306</v>
      </c>
      <c r="AT33" s="1465">
        <f t="shared" si="16"/>
        <v>517.50574371200128</v>
      </c>
      <c r="AU33" s="1465">
        <f t="shared" si="17"/>
        <v>97.094456648634718</v>
      </c>
      <c r="AV33" s="1465">
        <f t="shared" si="18"/>
        <v>279.23984045244447</v>
      </c>
      <c r="AW33" s="1465">
        <f t="shared" si="19"/>
        <v>307.12000000000262</v>
      </c>
      <c r="AX33" s="1465">
        <f t="shared" si="20"/>
        <v>0</v>
      </c>
      <c r="AY33" s="1465">
        <v>6.39</v>
      </c>
      <c r="AZ33" s="1465"/>
    </row>
    <row r="34" spans="1:52" x14ac:dyDescent="0.25">
      <c r="A34" s="162"/>
      <c r="B34" s="1751">
        <f>H12+H13+H17+H24+H26+H27+H28+H29</f>
        <v>27394.27</v>
      </c>
      <c r="C34" s="417" t="s">
        <v>52</v>
      </c>
      <c r="D34" s="876"/>
      <c r="E34" s="876"/>
      <c r="F34" s="1454">
        <f>SUM(F7:F33)</f>
        <v>760</v>
      </c>
      <c r="G34" s="1454">
        <f>SUM(G7:G33)</f>
        <v>1535</v>
      </c>
      <c r="H34" s="1454">
        <f t="shared" ref="H34:J34" si="24">SUM(H7:H33)</f>
        <v>37786.479999999989</v>
      </c>
      <c r="I34" s="1454">
        <f t="shared" si="24"/>
        <v>484389.92000000004</v>
      </c>
      <c r="J34" s="1454">
        <f t="shared" si="24"/>
        <v>570988.36</v>
      </c>
      <c r="K34" s="1454">
        <f t="shared" ref="K34:T34" si="25">K7+K8+K9+K10+K11+K12+K13+K14+K15+K16+K17+K18+K19+K20+K21+K22+K23+K24+K25+K26+K27+K28+K29+K30+K31+K32+K33</f>
        <v>36207.99</v>
      </c>
      <c r="L34" s="1454">
        <f t="shared" si="25"/>
        <v>41246.030000000006</v>
      </c>
      <c r="M34" s="1454">
        <f t="shared" si="25"/>
        <v>67735.599999999991</v>
      </c>
      <c r="N34" s="1454">
        <f t="shared" si="25"/>
        <v>79308.58</v>
      </c>
      <c r="O34" s="1454">
        <f t="shared" si="25"/>
        <v>400755.06</v>
      </c>
      <c r="P34" s="1454">
        <f t="shared" si="25"/>
        <v>461768.8</v>
      </c>
      <c r="Q34" s="1454">
        <f t="shared" si="25"/>
        <v>4298743.2300000014</v>
      </c>
      <c r="R34" s="1454">
        <f t="shared" si="25"/>
        <v>3906124.4599999995</v>
      </c>
      <c r="S34" s="1454">
        <f t="shared" si="25"/>
        <v>117253.32</v>
      </c>
      <c r="T34" s="1454">
        <f t="shared" si="25"/>
        <v>106981.326</v>
      </c>
      <c r="U34" s="1454">
        <f t="shared" ref="U34" si="26">U7+U8+U9+U10+U11+U12+U13+U14+U15+U16+U17+U18+U19+U20+U21+U22+U23+U24+U25+U26+U27+U28+U29+U30+U31+U32+U33</f>
        <v>5405085.1199999992</v>
      </c>
      <c r="V34" s="1454">
        <f t="shared" ref="V34:W34" si="27">V7+V8+V9+V10+V11+V12+V13+V14+V15+V16+V17+V18+V19+V20+V21+V22+V23+V24+V25+V26+V27+V28+V29+V30+V31+V32+V33</f>
        <v>5166417.5559999999</v>
      </c>
      <c r="W34" s="1454">
        <f t="shared" si="27"/>
        <v>5040322.22</v>
      </c>
      <c r="X34" s="1329">
        <f>SUM(X7:X33)</f>
        <v>57657.85</v>
      </c>
      <c r="Y34" s="1329">
        <f>SUM(Y7:Y33)</f>
        <v>114406.04999999997</v>
      </c>
      <c r="Z34" s="1329">
        <f t="shared" ref="Z34:AX34" si="28">SUM(Z7:Z33)</f>
        <v>108527.31</v>
      </c>
      <c r="AA34" s="1329">
        <f t="shared" si="28"/>
        <v>19237.679999999993</v>
      </c>
      <c r="AB34" s="1329">
        <f t="shared" si="28"/>
        <v>1000.0000000000002</v>
      </c>
      <c r="AC34" s="1329">
        <f t="shared" si="28"/>
        <v>924.65000000000009</v>
      </c>
      <c r="AD34" s="1329">
        <f t="shared" si="28"/>
        <v>30764.799999999996</v>
      </c>
      <c r="AE34" s="1329">
        <f t="shared" si="28"/>
        <v>5900</v>
      </c>
      <c r="AF34" s="1329">
        <f t="shared" si="28"/>
        <v>113077.78000000001</v>
      </c>
      <c r="AG34" s="1329">
        <f t="shared" si="28"/>
        <v>368756.86000000004</v>
      </c>
      <c r="AH34" s="1329">
        <f t="shared" si="28"/>
        <v>1188868.46</v>
      </c>
      <c r="AI34" s="1329">
        <f t="shared" si="28"/>
        <v>1194657.3799999999</v>
      </c>
      <c r="AJ34" s="1329"/>
      <c r="AK34" s="1329">
        <f t="shared" si="28"/>
        <v>3203778.8199999994</v>
      </c>
      <c r="AL34" s="1329">
        <f t="shared" si="28"/>
        <v>6417.5399999999991</v>
      </c>
      <c r="AM34" s="1329">
        <f t="shared" si="28"/>
        <v>4790.38</v>
      </c>
      <c r="AN34" s="1329">
        <f t="shared" si="28"/>
        <v>896598.66000000015</v>
      </c>
      <c r="AO34" s="1329">
        <f t="shared" si="28"/>
        <v>0</v>
      </c>
      <c r="AP34" s="1329">
        <f t="shared" si="28"/>
        <v>907806.58</v>
      </c>
      <c r="AQ34" s="1329">
        <f t="shared" si="28"/>
        <v>65448.989999999991</v>
      </c>
      <c r="AR34" s="1329">
        <f t="shared" si="28"/>
        <v>60295.040000000008</v>
      </c>
      <c r="AS34" s="1329">
        <f t="shared" si="28"/>
        <v>802992.79</v>
      </c>
      <c r="AT34" s="947">
        <f t="shared" si="28"/>
        <v>364762.90000000043</v>
      </c>
      <c r="AU34" s="1472">
        <f t="shared" si="17"/>
        <v>95.584388428650698</v>
      </c>
      <c r="AV34" s="1479">
        <f t="shared" si="18"/>
        <v>736.88921345029235</v>
      </c>
      <c r="AW34" s="1472">
        <f t="shared" si="19"/>
        <v>238667.56399999931</v>
      </c>
      <c r="AX34" s="1329">
        <f t="shared" si="28"/>
        <v>10271.994000000002</v>
      </c>
      <c r="AY34" s="1329"/>
      <c r="AZ34" s="1329"/>
    </row>
    <row r="35" spans="1:52" x14ac:dyDescent="0.25">
      <c r="A35" s="15"/>
      <c r="B35" s="15"/>
      <c r="C35" s="507" t="s">
        <v>540</v>
      </c>
      <c r="D35" s="1746"/>
      <c r="E35" s="1746"/>
      <c r="F35" s="1746"/>
      <c r="G35" s="1746"/>
      <c r="H35" s="1746"/>
      <c r="I35" s="1746">
        <v>2512.44</v>
      </c>
      <c r="J35" s="1746">
        <v>1892.61</v>
      </c>
      <c r="K35" s="1746">
        <v>109.56</v>
      </c>
      <c r="L35" s="1746">
        <v>82.55</v>
      </c>
      <c r="M35" s="875">
        <v>0</v>
      </c>
      <c r="N35" s="875">
        <v>0</v>
      </c>
      <c r="O35" s="1746">
        <v>1207.98</v>
      </c>
      <c r="P35" s="1746">
        <v>900.28</v>
      </c>
      <c r="Q35" s="1746">
        <v>16117.38</v>
      </c>
      <c r="R35" s="1746">
        <v>9852.9699999999993</v>
      </c>
      <c r="S35" s="1747">
        <v>0</v>
      </c>
      <c r="T35" s="1747">
        <v>0</v>
      </c>
      <c r="U35" s="871">
        <f t="shared" ref="U35:V35" si="29">K35+M35+O35+Q35+S35</f>
        <v>17434.919999999998</v>
      </c>
      <c r="V35" s="871">
        <f t="shared" si="29"/>
        <v>10835.8</v>
      </c>
      <c r="W35" s="706" t="s">
        <v>180</v>
      </c>
      <c r="X35" s="880">
        <f>X34+Y34</f>
        <v>172063.89999999997</v>
      </c>
      <c r="Y35" s="881"/>
      <c r="Z35" s="882" t="s">
        <v>180</v>
      </c>
      <c r="AA35" s="661" t="s">
        <v>180</v>
      </c>
      <c r="AB35" s="661" t="s">
        <v>180</v>
      </c>
      <c r="AC35" s="661" t="s">
        <v>180</v>
      </c>
      <c r="AD35" s="661" t="s">
        <v>180</v>
      </c>
      <c r="AE35" s="736" t="s">
        <v>180</v>
      </c>
      <c r="AF35" s="736" t="s">
        <v>180</v>
      </c>
      <c r="AG35" s="883"/>
      <c r="AH35" s="661" t="s">
        <v>180</v>
      </c>
      <c r="AI35" s="881"/>
      <c r="AJ35" s="881"/>
      <c r="AK35" s="736"/>
      <c r="AL35" s="15"/>
    </row>
    <row r="36" spans="1:52" ht="15" customHeight="1" x14ac:dyDescent="0.25">
      <c r="A36" s="1752"/>
      <c r="B36" s="1752"/>
      <c r="C36" s="1753" t="s">
        <v>539</v>
      </c>
      <c r="D36" s="1754"/>
      <c r="E36" s="1754"/>
      <c r="F36" s="1754"/>
      <c r="G36" s="1754"/>
      <c r="H36" s="1755"/>
      <c r="I36" s="1756">
        <f>I34+I35</f>
        <v>486902.36000000004</v>
      </c>
      <c r="J36" s="1756">
        <f>J34+J35</f>
        <v>572880.97</v>
      </c>
      <c r="K36" s="1756">
        <f>K34+K35</f>
        <v>36317.549999999996</v>
      </c>
      <c r="L36" s="1756">
        <f t="shared" ref="L36:V36" si="30">L34+L35</f>
        <v>41328.580000000009</v>
      </c>
      <c r="M36" s="1756">
        <f t="shared" si="30"/>
        <v>67735.599999999991</v>
      </c>
      <c r="N36" s="1756">
        <f t="shared" si="30"/>
        <v>79308.58</v>
      </c>
      <c r="O36" s="1756">
        <f t="shared" si="30"/>
        <v>401963.04</v>
      </c>
      <c r="P36" s="1756">
        <f t="shared" si="30"/>
        <v>462669.08</v>
      </c>
      <c r="Q36" s="1756">
        <f t="shared" si="30"/>
        <v>4314860.6100000013</v>
      </c>
      <c r="R36" s="1756">
        <f t="shared" si="30"/>
        <v>3915977.4299999997</v>
      </c>
      <c r="S36" s="1756">
        <f t="shared" si="30"/>
        <v>117253.32</v>
      </c>
      <c r="T36" s="1756">
        <f t="shared" si="30"/>
        <v>106981.326</v>
      </c>
      <c r="U36" s="1756">
        <f t="shared" si="30"/>
        <v>5422520.0399999991</v>
      </c>
      <c r="V36" s="1756">
        <f t="shared" si="30"/>
        <v>5177253.3559999997</v>
      </c>
      <c r="W36" s="1757"/>
      <c r="X36" s="1757"/>
      <c r="Y36" s="1757"/>
      <c r="Z36" s="1757"/>
      <c r="AA36" s="1754"/>
      <c r="AB36" s="1754"/>
      <c r="AC36" s="1754"/>
      <c r="AD36" s="1754"/>
      <c r="AE36" s="1754"/>
      <c r="AF36" s="1754"/>
      <c r="AG36" s="1754"/>
      <c r="AH36" s="1754"/>
      <c r="AI36" s="1754"/>
      <c r="AJ36" s="1754"/>
      <c r="AK36" s="1754"/>
      <c r="AL36" s="15"/>
    </row>
    <row r="37" spans="1:52" ht="18" customHeight="1" x14ac:dyDescent="0.3">
      <c r="A37" s="15"/>
      <c r="B37" s="15"/>
      <c r="C37" s="1758" t="s">
        <v>422</v>
      </c>
      <c r="D37" s="1759"/>
      <c r="E37" s="1759"/>
      <c r="F37" s="1759"/>
      <c r="G37" s="1759"/>
      <c r="H37" s="1765">
        <f>H7+H8+H9+H10+H11+H12+H13+H14+H15+H16+H17+H19+H20+H21+H22+H23+H24+H25+H26+H27+H28+H29</f>
        <v>37140.079999999987</v>
      </c>
      <c r="I37" s="1759"/>
      <c r="J37" s="1759"/>
      <c r="K37" s="1760" t="s">
        <v>180</v>
      </c>
      <c r="L37" s="1759"/>
      <c r="M37" s="1760" t="s">
        <v>180</v>
      </c>
      <c r="N37" s="1760"/>
      <c r="O37" s="1760" t="s">
        <v>180</v>
      </c>
      <c r="P37" s="1760"/>
      <c r="Q37" s="1760" t="s">
        <v>180</v>
      </c>
      <c r="R37" s="1760"/>
      <c r="S37" s="1760" t="s">
        <v>180</v>
      </c>
      <c r="T37" s="1760"/>
      <c r="U37" s="1760"/>
      <c r="V37" s="1760"/>
      <c r="W37" s="1760"/>
      <c r="X37" s="1760"/>
      <c r="Y37" s="1760"/>
      <c r="Z37" s="1760"/>
      <c r="AA37" s="1760"/>
      <c r="AB37" s="1760"/>
      <c r="AC37" s="1760"/>
      <c r="AD37" s="1761"/>
      <c r="AE37" s="1761"/>
      <c r="AF37" s="1761"/>
      <c r="AG37" s="1761"/>
      <c r="AH37" s="1761"/>
      <c r="AI37" s="1762"/>
      <c r="AJ37" s="1762"/>
      <c r="AK37" s="1763"/>
      <c r="AL37" s="1764"/>
    </row>
    <row r="38" spans="1:52" ht="18" customHeight="1" x14ac:dyDescent="0.3">
      <c r="A38" s="15"/>
      <c r="B38" s="15"/>
      <c r="C38" s="1758" t="s">
        <v>841</v>
      </c>
      <c r="D38" s="1759"/>
      <c r="E38" s="1759"/>
      <c r="F38" s="1759"/>
      <c r="G38" s="1758"/>
      <c r="H38" s="1765">
        <f>H34-H30</f>
        <v>37653.87999999999</v>
      </c>
      <c r="I38" s="1759"/>
      <c r="J38" s="1759"/>
      <c r="K38" s="1759"/>
      <c r="L38" s="1759"/>
      <c r="M38" s="1759"/>
      <c r="N38" s="1759"/>
      <c r="O38" s="1759"/>
      <c r="P38" s="1759"/>
      <c r="Q38" s="1759"/>
      <c r="R38" s="1759"/>
      <c r="S38" s="1759"/>
      <c r="T38" s="1759"/>
      <c r="U38" s="1759"/>
      <c r="V38" s="1759"/>
      <c r="W38" s="1759"/>
      <c r="X38" s="1759"/>
      <c r="Y38" s="1759"/>
      <c r="Z38" s="1759"/>
      <c r="AA38" s="1759"/>
      <c r="AB38" s="1759"/>
      <c r="AC38" s="1759"/>
      <c r="AD38" s="1766"/>
      <c r="AE38" s="1766"/>
      <c r="AF38" s="1766"/>
      <c r="AG38" s="1766"/>
      <c r="AH38" s="1766"/>
      <c r="AI38" s="1767"/>
      <c r="AJ38" s="1767"/>
      <c r="AK38" s="1768"/>
      <c r="AL38" s="1764"/>
    </row>
    <row r="39" spans="1:52" ht="18" customHeight="1" x14ac:dyDescent="0.25">
      <c r="C39" s="378"/>
      <c r="D39" s="378"/>
      <c r="E39" s="378"/>
      <c r="F39" s="378"/>
      <c r="G39" s="378"/>
      <c r="H39" s="378"/>
      <c r="I39" s="378"/>
      <c r="J39" s="378"/>
      <c r="K39" s="378"/>
      <c r="L39" s="378"/>
      <c r="M39" s="378" t="s">
        <v>788</v>
      </c>
      <c r="N39" s="378"/>
      <c r="O39" s="378"/>
      <c r="P39" s="378"/>
      <c r="Q39" s="378"/>
      <c r="R39" s="378"/>
      <c r="S39" s="378"/>
      <c r="T39" s="378"/>
      <c r="U39" s="378"/>
      <c r="V39" s="378"/>
      <c r="W39" s="378"/>
      <c r="X39" s="378"/>
      <c r="Y39" s="378"/>
      <c r="Z39" s="378"/>
      <c r="AA39" s="378"/>
      <c r="AB39" s="378"/>
      <c r="AC39" s="378"/>
      <c r="AD39" s="850"/>
      <c r="AE39" s="850"/>
      <c r="AF39" s="850"/>
      <c r="AG39" s="850"/>
      <c r="AH39" s="850"/>
      <c r="AI39" s="851"/>
      <c r="AJ39" s="851"/>
      <c r="AK39" s="375"/>
    </row>
    <row r="40" spans="1:52" ht="18" customHeight="1" x14ac:dyDescent="0.25"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  <c r="R40" s="378"/>
      <c r="S40" s="378"/>
      <c r="T40" s="378" t="s">
        <v>920</v>
      </c>
      <c r="U40" s="378"/>
      <c r="V40" s="378"/>
      <c r="W40" s="378"/>
      <c r="X40" s="378"/>
      <c r="Y40" s="378"/>
      <c r="Z40" s="378"/>
      <c r="AA40" s="378"/>
      <c r="AB40" s="378"/>
      <c r="AC40" s="378"/>
      <c r="AD40" s="850"/>
      <c r="AE40" s="850"/>
      <c r="AF40" s="850"/>
      <c r="AG40" s="850"/>
      <c r="AH40" s="850"/>
      <c r="AI40" s="851"/>
      <c r="AJ40" s="851"/>
      <c r="AK40" s="375"/>
    </row>
    <row r="41" spans="1:52" ht="15.75" customHeight="1" x14ac:dyDescent="0.25">
      <c r="C41" s="378"/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  <c r="S41" s="378"/>
      <c r="T41" s="378"/>
      <c r="U41" s="378"/>
      <c r="V41" s="378"/>
      <c r="W41" s="378"/>
      <c r="X41" s="378"/>
      <c r="Y41" s="378"/>
      <c r="Z41" s="378"/>
      <c r="AA41" s="378"/>
      <c r="AB41" s="378"/>
      <c r="AC41" s="378"/>
      <c r="AD41" s="852"/>
      <c r="AE41" s="852"/>
      <c r="AF41" s="852"/>
      <c r="AG41" s="852"/>
      <c r="AH41" s="852"/>
      <c r="AI41" s="851"/>
      <c r="AJ41" s="851"/>
      <c r="AK41" s="375"/>
    </row>
    <row r="42" spans="1:52" ht="15" customHeight="1" x14ac:dyDescent="0.25">
      <c r="C42" s="1637"/>
      <c r="D42" s="1637"/>
      <c r="E42" s="1637"/>
      <c r="F42" s="1637"/>
      <c r="G42" s="1637"/>
      <c r="H42" s="1637"/>
      <c r="I42" s="1637"/>
      <c r="J42" s="1637"/>
      <c r="K42" s="1637"/>
      <c r="L42" s="1637"/>
      <c r="M42" s="1637"/>
      <c r="N42" s="1637"/>
      <c r="O42" s="1637"/>
      <c r="P42" s="1637"/>
      <c r="Q42" s="1637"/>
      <c r="R42" s="1637"/>
      <c r="S42" s="1637"/>
      <c r="T42" s="1637"/>
      <c r="U42" s="1637"/>
      <c r="V42" s="1637"/>
      <c r="W42" s="1637"/>
      <c r="X42" s="1637"/>
      <c r="Y42" s="1637"/>
      <c r="Z42" s="1637"/>
      <c r="AA42" s="1637"/>
      <c r="AB42" s="1637"/>
      <c r="AC42" s="1637"/>
      <c r="AD42" s="375"/>
      <c r="AE42" s="375"/>
      <c r="AF42" s="349"/>
      <c r="AG42" s="349"/>
      <c r="AH42" s="349"/>
      <c r="AI42" s="790"/>
      <c r="AJ42" s="790"/>
      <c r="AK42" s="349"/>
    </row>
    <row r="43" spans="1:52" ht="26.25" customHeight="1" x14ac:dyDescent="0.25">
      <c r="A43" s="2083" t="s">
        <v>0</v>
      </c>
      <c r="B43" s="2014"/>
      <c r="C43" s="2083" t="s">
        <v>184</v>
      </c>
      <c r="D43" s="2084" t="s">
        <v>54</v>
      </c>
      <c r="E43" s="2085" t="s">
        <v>55</v>
      </c>
      <c r="F43" s="2084" t="s">
        <v>56</v>
      </c>
      <c r="G43" s="2084" t="s">
        <v>57</v>
      </c>
      <c r="H43" s="2085" t="s">
        <v>6</v>
      </c>
      <c r="I43" s="1632"/>
      <c r="J43" s="1632"/>
      <c r="K43" s="1632"/>
      <c r="L43" s="1632"/>
      <c r="M43" s="1632"/>
      <c r="N43" s="1632"/>
      <c r="O43" s="1632"/>
      <c r="P43" s="1632"/>
      <c r="Q43" s="1632"/>
      <c r="R43" s="1632"/>
      <c r="S43" s="2144" t="s">
        <v>284</v>
      </c>
      <c r="T43" s="2145"/>
      <c r="U43" s="943"/>
      <c r="V43" s="943"/>
      <c r="W43" s="2142" t="s">
        <v>181</v>
      </c>
      <c r="X43" s="2142" t="s">
        <v>895</v>
      </c>
      <c r="Y43" s="2138" t="s">
        <v>314</v>
      </c>
      <c r="Z43" s="2138" t="s">
        <v>838</v>
      </c>
      <c r="AA43" s="2140" t="s">
        <v>894</v>
      </c>
      <c r="AB43" s="2142" t="s">
        <v>892</v>
      </c>
      <c r="AC43" s="2142" t="s">
        <v>616</v>
      </c>
      <c r="AD43" s="2149" t="s">
        <v>893</v>
      </c>
      <c r="AE43" s="2151" t="s">
        <v>896</v>
      </c>
      <c r="AF43" s="2149" t="s">
        <v>897</v>
      </c>
      <c r="AG43" s="2138" t="s">
        <v>898</v>
      </c>
      <c r="AH43" s="2138" t="s">
        <v>899</v>
      </c>
      <c r="AI43" s="2142" t="s">
        <v>900</v>
      </c>
      <c r="AJ43" s="2153"/>
      <c r="AK43" s="2142" t="s">
        <v>901</v>
      </c>
      <c r="AL43" s="2142" t="s">
        <v>735</v>
      </c>
      <c r="AM43" s="2154" t="s">
        <v>724</v>
      </c>
      <c r="AN43" s="2149" t="s">
        <v>736</v>
      </c>
      <c r="AO43" s="2149" t="s">
        <v>902</v>
      </c>
      <c r="AP43" s="2149" t="s">
        <v>903</v>
      </c>
    </row>
    <row r="44" spans="1:52" ht="39.75" customHeight="1" x14ac:dyDescent="0.25">
      <c r="A44" s="2083"/>
      <c r="B44" s="2015"/>
      <c r="C44" s="2083"/>
      <c r="D44" s="2084"/>
      <c r="E44" s="2086"/>
      <c r="F44" s="2084"/>
      <c r="G44" s="2084"/>
      <c r="H44" s="2086"/>
      <c r="I44" s="1633"/>
      <c r="J44" s="1633"/>
      <c r="K44" s="1633"/>
      <c r="L44" s="1633"/>
      <c r="M44" s="1633"/>
      <c r="N44" s="1633"/>
      <c r="O44" s="1633"/>
      <c r="P44" s="1633"/>
      <c r="Q44" s="1633"/>
      <c r="R44" s="1633"/>
      <c r="S44" s="1003" t="s">
        <v>15</v>
      </c>
      <c r="T44" s="888" t="s">
        <v>286</v>
      </c>
      <c r="U44" s="944"/>
      <c r="V44" s="944"/>
      <c r="W44" s="2143"/>
      <c r="X44" s="2143"/>
      <c r="Y44" s="2139"/>
      <c r="Z44" s="2139"/>
      <c r="AA44" s="2141"/>
      <c r="AB44" s="2143"/>
      <c r="AC44" s="2143"/>
      <c r="AD44" s="2150"/>
      <c r="AE44" s="2152"/>
      <c r="AF44" s="2150"/>
      <c r="AG44" s="2139"/>
      <c r="AH44" s="2139"/>
      <c r="AI44" s="2143"/>
      <c r="AJ44" s="2153"/>
      <c r="AK44" s="2143"/>
      <c r="AL44" s="2143"/>
      <c r="AM44" s="2155"/>
      <c r="AN44" s="2150"/>
      <c r="AO44" s="2150"/>
      <c r="AP44" s="2150"/>
    </row>
    <row r="45" spans="1:52" x14ac:dyDescent="0.25">
      <c r="A45" s="32">
        <v>1</v>
      </c>
      <c r="B45" s="32"/>
      <c r="C45" s="42" t="s">
        <v>145</v>
      </c>
      <c r="D45" s="705">
        <v>1960</v>
      </c>
      <c r="E45" s="705">
        <v>2</v>
      </c>
      <c r="F45" s="866">
        <v>16</v>
      </c>
      <c r="G45" s="867">
        <v>35</v>
      </c>
      <c r="H45" s="770">
        <v>639.20000000000005</v>
      </c>
      <c r="I45" s="1634"/>
      <c r="J45" s="1634"/>
      <c r="K45" s="1634"/>
      <c r="L45" s="1634"/>
      <c r="M45" s="1634"/>
      <c r="N45" s="1634"/>
      <c r="O45" s="1634"/>
      <c r="P45" s="1634"/>
      <c r="Q45" s="1634"/>
      <c r="R45" s="1634"/>
      <c r="S45" s="524">
        <v>30722.48</v>
      </c>
      <c r="T45" s="524">
        <v>27726.77</v>
      </c>
      <c r="U45" s="945"/>
      <c r="V45" s="945"/>
      <c r="W45" s="524">
        <f>X45+Y45+Z45+AA45+AB45+AC45+AD45+AE45+AF45++AG45+AH45+AI45+AK45</f>
        <v>2872</v>
      </c>
      <c r="X45" s="541"/>
      <c r="Y45" s="889"/>
      <c r="Z45" s="591"/>
      <c r="AA45" s="890">
        <v>2872</v>
      </c>
      <c r="AB45" s="591"/>
      <c r="AC45" s="591"/>
      <c r="AD45" s="891"/>
      <c r="AE45" s="678"/>
      <c r="AF45" s="591"/>
      <c r="AG45" s="871"/>
      <c r="AH45" s="871"/>
      <c r="AI45" s="736"/>
      <c r="AJ45" s="736"/>
      <c r="AK45" s="736"/>
      <c r="AL45" s="47">
        <f>S45-W45</f>
        <v>27850.48</v>
      </c>
      <c r="AM45" s="47">
        <f>T45/S45*100</f>
        <v>90.249127023599669</v>
      </c>
      <c r="AN45" s="47">
        <f>S45-T45</f>
        <v>2995.7099999999991</v>
      </c>
      <c r="AO45" s="47">
        <v>4</v>
      </c>
      <c r="AP45" s="15"/>
    </row>
    <row r="46" spans="1:52" x14ac:dyDescent="0.25">
      <c r="A46" s="32">
        <v>2</v>
      </c>
      <c r="B46" s="32"/>
      <c r="C46" s="42" t="s">
        <v>146</v>
      </c>
      <c r="D46" s="705">
        <v>1960</v>
      </c>
      <c r="E46" s="705">
        <v>2</v>
      </c>
      <c r="F46" s="866">
        <v>16</v>
      </c>
      <c r="G46" s="867">
        <v>27</v>
      </c>
      <c r="H46" s="770">
        <v>647.29999999999995</v>
      </c>
      <c r="I46" s="1634"/>
      <c r="J46" s="1634"/>
      <c r="K46" s="1634"/>
      <c r="L46" s="1634"/>
      <c r="M46" s="1634"/>
      <c r="N46" s="1634"/>
      <c r="O46" s="1634"/>
      <c r="P46" s="1634"/>
      <c r="Q46" s="1634"/>
      <c r="R46" s="1634"/>
      <c r="S46" s="524">
        <v>31078.400000000001</v>
      </c>
      <c r="T46" s="524">
        <v>24042.98</v>
      </c>
      <c r="U46" s="945"/>
      <c r="V46" s="945"/>
      <c r="W46" s="524">
        <f t="shared" ref="W46:W66" si="31">X46+Y46+Z46+AA46+AB46+AC46+AD46+AE46+AF46++AG46+AH46+AI46+AK46</f>
        <v>0</v>
      </c>
      <c r="X46" s="541"/>
      <c r="Y46" s="889"/>
      <c r="Z46" s="591"/>
      <c r="AA46" s="890"/>
      <c r="AB46" s="591"/>
      <c r="AC46" s="591"/>
      <c r="AD46" s="891"/>
      <c r="AE46" s="678"/>
      <c r="AF46" s="591"/>
      <c r="AG46" s="871"/>
      <c r="AH46" s="871"/>
      <c r="AI46" s="736"/>
      <c r="AJ46" s="736"/>
      <c r="AK46" s="736"/>
      <c r="AL46" s="47">
        <f t="shared" ref="AL46:AL67" si="32">S46-W46</f>
        <v>31078.400000000001</v>
      </c>
      <c r="AM46" s="47">
        <f t="shared" ref="AM46:AM67" si="33">T46/S46*100</f>
        <v>77.362348126029644</v>
      </c>
      <c r="AN46" s="47">
        <f t="shared" ref="AN46:AN67" si="34">S46-T46</f>
        <v>7035.4200000000019</v>
      </c>
      <c r="AO46" s="47">
        <v>4</v>
      </c>
      <c r="AP46" s="15"/>
    </row>
    <row r="47" spans="1:52" x14ac:dyDescent="0.25">
      <c r="A47" s="32">
        <v>3</v>
      </c>
      <c r="B47" s="32"/>
      <c r="C47" s="42" t="s">
        <v>147</v>
      </c>
      <c r="D47" s="705">
        <v>1960</v>
      </c>
      <c r="E47" s="705">
        <v>2</v>
      </c>
      <c r="F47" s="866">
        <v>16</v>
      </c>
      <c r="G47" s="867">
        <v>27</v>
      </c>
      <c r="H47" s="770">
        <v>640.79999999999995</v>
      </c>
      <c r="I47" s="1634"/>
      <c r="J47" s="1634"/>
      <c r="K47" s="1634"/>
      <c r="L47" s="1634"/>
      <c r="M47" s="1634"/>
      <c r="N47" s="1634"/>
      <c r="O47" s="1634"/>
      <c r="P47" s="1634"/>
      <c r="Q47" s="1634"/>
      <c r="R47" s="1634"/>
      <c r="S47" s="524">
        <v>37844.400000000001</v>
      </c>
      <c r="T47" s="524">
        <v>37284.400000000001</v>
      </c>
      <c r="U47" s="945"/>
      <c r="V47" s="945"/>
      <c r="W47" s="524">
        <f t="shared" si="31"/>
        <v>0</v>
      </c>
      <c r="X47" s="541"/>
      <c r="Y47" s="889"/>
      <c r="Z47" s="591"/>
      <c r="AA47" s="890"/>
      <c r="AB47" s="591"/>
      <c r="AC47" s="591"/>
      <c r="AD47" s="891"/>
      <c r="AE47" s="678"/>
      <c r="AF47" s="591"/>
      <c r="AG47" s="871"/>
      <c r="AH47" s="871"/>
      <c r="AI47" s="736"/>
      <c r="AJ47" s="736"/>
      <c r="AK47" s="736"/>
      <c r="AL47" s="47">
        <f t="shared" si="32"/>
        <v>37844.400000000001</v>
      </c>
      <c r="AM47" s="47">
        <f t="shared" si="33"/>
        <v>98.520256629778785</v>
      </c>
      <c r="AN47" s="47">
        <f t="shared" si="34"/>
        <v>560</v>
      </c>
      <c r="AO47" s="47">
        <v>4.92</v>
      </c>
      <c r="AP47" s="15"/>
    </row>
    <row r="48" spans="1:52" x14ac:dyDescent="0.25">
      <c r="A48" s="32">
        <v>4</v>
      </c>
      <c r="B48" s="32"/>
      <c r="C48" s="42" t="s">
        <v>148</v>
      </c>
      <c r="D48" s="705">
        <v>1960</v>
      </c>
      <c r="E48" s="705">
        <v>2</v>
      </c>
      <c r="F48" s="866">
        <v>16</v>
      </c>
      <c r="G48" s="867">
        <v>27</v>
      </c>
      <c r="H48" s="770">
        <v>634</v>
      </c>
      <c r="I48" s="1634"/>
      <c r="J48" s="1634"/>
      <c r="K48" s="1634"/>
      <c r="L48" s="1634"/>
      <c r="M48" s="1634"/>
      <c r="N48" s="1634"/>
      <c r="O48" s="1634"/>
      <c r="P48" s="1634"/>
      <c r="Q48" s="1634"/>
      <c r="R48" s="1634"/>
      <c r="S48" s="524">
        <v>30528</v>
      </c>
      <c r="T48" s="524">
        <v>29497.88</v>
      </c>
      <c r="U48" s="945"/>
      <c r="V48" s="945"/>
      <c r="W48" s="524">
        <f t="shared" si="31"/>
        <v>18093.579999999998</v>
      </c>
      <c r="X48" s="541"/>
      <c r="Y48" s="889"/>
      <c r="Z48" s="591"/>
      <c r="AA48" s="890">
        <v>2872</v>
      </c>
      <c r="AB48" s="591"/>
      <c r="AC48" s="591"/>
      <c r="AD48" s="891"/>
      <c r="AE48" s="678">
        <v>673.37</v>
      </c>
      <c r="AF48" s="591"/>
      <c r="AG48" s="871">
        <v>14548.21</v>
      </c>
      <c r="AH48" s="871"/>
      <c r="AI48" s="736"/>
      <c r="AJ48" s="736"/>
      <c r="AK48" s="736"/>
      <c r="AL48" s="47">
        <f t="shared" si="32"/>
        <v>12434.420000000002</v>
      </c>
      <c r="AM48" s="47">
        <f t="shared" si="33"/>
        <v>96.62565513626835</v>
      </c>
      <c r="AN48" s="47">
        <f t="shared" si="34"/>
        <v>1030.119999999999</v>
      </c>
      <c r="AO48" s="47">
        <v>4</v>
      </c>
      <c r="AP48" s="15"/>
    </row>
    <row r="49" spans="1:42" x14ac:dyDescent="0.25">
      <c r="A49" s="32">
        <v>5</v>
      </c>
      <c r="B49" s="32"/>
      <c r="C49" s="42" t="s">
        <v>149</v>
      </c>
      <c r="D49" s="705">
        <v>1960</v>
      </c>
      <c r="E49" s="705">
        <v>2</v>
      </c>
      <c r="F49" s="866">
        <v>16</v>
      </c>
      <c r="G49" s="867">
        <v>22</v>
      </c>
      <c r="H49" s="770">
        <v>634.1</v>
      </c>
      <c r="I49" s="1634"/>
      <c r="J49" s="1634"/>
      <c r="K49" s="1634"/>
      <c r="L49" s="1634"/>
      <c r="M49" s="1634"/>
      <c r="N49" s="1634"/>
      <c r="O49" s="1634"/>
      <c r="P49" s="1634"/>
      <c r="Q49" s="1634"/>
      <c r="R49" s="1634"/>
      <c r="S49" s="524">
        <v>30292.14</v>
      </c>
      <c r="T49" s="524">
        <v>29830.400000000001</v>
      </c>
      <c r="U49" s="945"/>
      <c r="V49" s="945"/>
      <c r="W49" s="524">
        <f t="shared" si="31"/>
        <v>0</v>
      </c>
      <c r="X49" s="541"/>
      <c r="Y49" s="889"/>
      <c r="Z49" s="591"/>
      <c r="AA49" s="890"/>
      <c r="AB49" s="591"/>
      <c r="AC49" s="591"/>
      <c r="AD49" s="891"/>
      <c r="AE49" s="678"/>
      <c r="AF49" s="591"/>
      <c r="AG49" s="871"/>
      <c r="AH49" s="871"/>
      <c r="AI49" s="736"/>
      <c r="AJ49" s="736"/>
      <c r="AK49" s="736"/>
      <c r="AL49" s="47">
        <f t="shared" si="32"/>
        <v>30292.14</v>
      </c>
      <c r="AM49" s="47">
        <f t="shared" si="33"/>
        <v>98.475710200731953</v>
      </c>
      <c r="AN49" s="47">
        <f t="shared" si="34"/>
        <v>461.73999999999796</v>
      </c>
      <c r="AO49" s="47">
        <v>4</v>
      </c>
      <c r="AP49" s="15"/>
    </row>
    <row r="50" spans="1:42" x14ac:dyDescent="0.25">
      <c r="A50" s="32">
        <v>6</v>
      </c>
      <c r="B50" s="32"/>
      <c r="C50" s="42" t="s">
        <v>150</v>
      </c>
      <c r="D50" s="705">
        <v>1966</v>
      </c>
      <c r="E50" s="690">
        <v>3</v>
      </c>
      <c r="F50" s="706">
        <v>36</v>
      </c>
      <c r="G50" s="869">
        <v>65</v>
      </c>
      <c r="H50" s="676">
        <v>1490.6</v>
      </c>
      <c r="I50" s="1634"/>
      <c r="J50" s="1634"/>
      <c r="K50" s="1634"/>
      <c r="L50" s="1634"/>
      <c r="M50" s="1634"/>
      <c r="N50" s="1634"/>
      <c r="O50" s="1634"/>
      <c r="P50" s="1634"/>
      <c r="Q50" s="1634"/>
      <c r="R50" s="1634"/>
      <c r="S50" s="524">
        <v>71297.600000000006</v>
      </c>
      <c r="T50" s="524">
        <v>66637.75</v>
      </c>
      <c r="U50" s="945"/>
      <c r="V50" s="945"/>
      <c r="W50" s="524">
        <f t="shared" si="31"/>
        <v>19206.23</v>
      </c>
      <c r="X50" s="892"/>
      <c r="Y50" s="889"/>
      <c r="Z50" s="591">
        <v>3000</v>
      </c>
      <c r="AA50" s="890"/>
      <c r="AB50" s="591"/>
      <c r="AC50" s="591"/>
      <c r="AD50" s="891"/>
      <c r="AE50" s="678"/>
      <c r="AF50" s="591"/>
      <c r="AG50" s="871"/>
      <c r="AH50" s="871">
        <v>16206.23</v>
      </c>
      <c r="AI50" s="736"/>
      <c r="AJ50" s="736"/>
      <c r="AK50" s="736"/>
      <c r="AL50" s="47">
        <f t="shared" si="32"/>
        <v>52091.37000000001</v>
      </c>
      <c r="AM50" s="47">
        <f t="shared" si="33"/>
        <v>93.464226004802399</v>
      </c>
      <c r="AN50" s="47">
        <f t="shared" si="34"/>
        <v>4659.8500000000058</v>
      </c>
      <c r="AO50" s="47">
        <v>4</v>
      </c>
      <c r="AP50" s="15"/>
    </row>
    <row r="51" spans="1:42" x14ac:dyDescent="0.25">
      <c r="A51" s="32">
        <v>7</v>
      </c>
      <c r="B51" s="32"/>
      <c r="C51" s="42" t="s">
        <v>151</v>
      </c>
      <c r="D51" s="705">
        <v>1966</v>
      </c>
      <c r="E51" s="690">
        <v>3</v>
      </c>
      <c r="F51" s="706">
        <v>36</v>
      </c>
      <c r="G51" s="869">
        <v>68</v>
      </c>
      <c r="H51" s="676">
        <v>1481.39</v>
      </c>
      <c r="I51" s="1634"/>
      <c r="J51" s="1634"/>
      <c r="K51" s="1634"/>
      <c r="L51" s="1634"/>
      <c r="M51" s="1634"/>
      <c r="N51" s="1634"/>
      <c r="O51" s="1634"/>
      <c r="P51" s="1634"/>
      <c r="Q51" s="1634"/>
      <c r="R51" s="1634"/>
      <c r="S51" s="524">
        <v>71263.92</v>
      </c>
      <c r="T51" s="524">
        <v>67141.149999999994</v>
      </c>
      <c r="U51" s="945"/>
      <c r="V51" s="945"/>
      <c r="W51" s="524">
        <f t="shared" si="31"/>
        <v>98.11</v>
      </c>
      <c r="X51" s="892"/>
      <c r="Y51" s="889"/>
      <c r="Z51" s="591"/>
      <c r="AA51" s="890"/>
      <c r="AB51" s="591"/>
      <c r="AC51" s="591"/>
      <c r="AD51" s="891"/>
      <c r="AE51" s="678"/>
      <c r="AF51" s="591">
        <v>98.11</v>
      </c>
      <c r="AG51" s="871"/>
      <c r="AH51" s="871"/>
      <c r="AI51" s="736"/>
      <c r="AJ51" s="736"/>
      <c r="AK51" s="736"/>
      <c r="AL51" s="47">
        <f t="shared" si="32"/>
        <v>71165.81</v>
      </c>
      <c r="AM51" s="47">
        <f t="shared" si="33"/>
        <v>94.214786388399617</v>
      </c>
      <c r="AN51" s="47">
        <f t="shared" si="34"/>
        <v>4122.7700000000041</v>
      </c>
      <c r="AO51" s="47">
        <v>4</v>
      </c>
      <c r="AP51" s="15"/>
    </row>
    <row r="52" spans="1:42" x14ac:dyDescent="0.25">
      <c r="A52" s="32">
        <v>8</v>
      </c>
      <c r="B52" s="32"/>
      <c r="C52" s="42" t="s">
        <v>152</v>
      </c>
      <c r="D52" s="705">
        <v>1955</v>
      </c>
      <c r="E52" s="690">
        <v>2</v>
      </c>
      <c r="F52" s="706">
        <v>12</v>
      </c>
      <c r="G52" s="869">
        <v>33</v>
      </c>
      <c r="H52" s="676">
        <v>855.6</v>
      </c>
      <c r="I52" s="1634"/>
      <c r="J52" s="1634"/>
      <c r="K52" s="1634"/>
      <c r="L52" s="1634"/>
      <c r="M52" s="1634"/>
      <c r="N52" s="1634"/>
      <c r="O52" s="1634"/>
      <c r="P52" s="1634"/>
      <c r="Q52" s="1634"/>
      <c r="R52" s="1634"/>
      <c r="S52" s="524">
        <v>30741.84</v>
      </c>
      <c r="T52" s="524">
        <v>27537.78</v>
      </c>
      <c r="U52" s="945"/>
      <c r="V52" s="945"/>
      <c r="W52" s="524">
        <f t="shared" si="31"/>
        <v>0</v>
      </c>
      <c r="X52" s="892"/>
      <c r="Y52" s="889"/>
      <c r="Z52" s="591"/>
      <c r="AA52" s="890"/>
      <c r="AB52" s="591"/>
      <c r="AC52" s="591"/>
      <c r="AD52" s="891"/>
      <c r="AE52" s="678"/>
      <c r="AF52" s="591"/>
      <c r="AG52" s="871"/>
      <c r="AH52" s="871"/>
      <c r="AI52" s="736"/>
      <c r="AJ52" s="736"/>
      <c r="AK52" s="736"/>
      <c r="AL52" s="47">
        <f t="shared" si="32"/>
        <v>30741.84</v>
      </c>
      <c r="AM52" s="47">
        <f t="shared" si="33"/>
        <v>89.577526914459256</v>
      </c>
      <c r="AN52" s="47">
        <f t="shared" si="34"/>
        <v>3204.0600000000013</v>
      </c>
      <c r="AO52" s="47">
        <v>3.22</v>
      </c>
      <c r="AP52" s="15"/>
    </row>
    <row r="53" spans="1:42" x14ac:dyDescent="0.25">
      <c r="A53" s="32">
        <v>9</v>
      </c>
      <c r="B53" s="32"/>
      <c r="C53" s="42" t="s">
        <v>153</v>
      </c>
      <c r="D53" s="705">
        <v>1955</v>
      </c>
      <c r="E53" s="690">
        <v>2</v>
      </c>
      <c r="F53" s="706">
        <v>12</v>
      </c>
      <c r="G53" s="869">
        <v>31</v>
      </c>
      <c r="H53" s="676">
        <v>804</v>
      </c>
      <c r="I53" s="1634"/>
      <c r="J53" s="1634"/>
      <c r="K53" s="1634"/>
      <c r="L53" s="1634"/>
      <c r="M53" s="1634"/>
      <c r="N53" s="1634"/>
      <c r="O53" s="1634"/>
      <c r="P53" s="1634"/>
      <c r="Q53" s="1634"/>
      <c r="R53" s="1634"/>
      <c r="S53" s="524">
        <v>30807.72</v>
      </c>
      <c r="T53" s="524">
        <v>30852.080000000002</v>
      </c>
      <c r="U53" s="945"/>
      <c r="V53" s="945"/>
      <c r="W53" s="524">
        <f t="shared" si="31"/>
        <v>0</v>
      </c>
      <c r="X53" s="892"/>
      <c r="Y53" s="889"/>
      <c r="Z53" s="591"/>
      <c r="AA53" s="890"/>
      <c r="AB53" s="591"/>
      <c r="AC53" s="591"/>
      <c r="AD53" s="891"/>
      <c r="AE53" s="678"/>
      <c r="AF53" s="591"/>
      <c r="AG53" s="871"/>
      <c r="AH53" s="871"/>
      <c r="AI53" s="736"/>
      <c r="AJ53" s="736"/>
      <c r="AK53" s="736"/>
      <c r="AL53" s="47">
        <f t="shared" si="32"/>
        <v>30807.72</v>
      </c>
      <c r="AM53" s="47">
        <f t="shared" si="33"/>
        <v>100.14398988305528</v>
      </c>
      <c r="AN53" s="47">
        <f t="shared" si="34"/>
        <v>-44.360000000000582</v>
      </c>
      <c r="AO53" s="47">
        <v>3.22</v>
      </c>
      <c r="AP53" s="15"/>
    </row>
    <row r="54" spans="1:42" x14ac:dyDescent="0.25">
      <c r="A54" s="32">
        <v>10</v>
      </c>
      <c r="B54" s="32"/>
      <c r="C54" s="42" t="s">
        <v>154</v>
      </c>
      <c r="D54" s="705">
        <v>1955</v>
      </c>
      <c r="E54" s="690">
        <v>2</v>
      </c>
      <c r="F54" s="706">
        <v>6</v>
      </c>
      <c r="G54" s="869">
        <v>14</v>
      </c>
      <c r="H54" s="676">
        <v>385.7</v>
      </c>
      <c r="I54" s="1634"/>
      <c r="J54" s="1634"/>
      <c r="K54" s="1634"/>
      <c r="L54" s="1634"/>
      <c r="M54" s="1634"/>
      <c r="N54" s="1634"/>
      <c r="O54" s="1634"/>
      <c r="P54" s="1634"/>
      <c r="Q54" s="1634"/>
      <c r="R54" s="1634"/>
      <c r="S54" s="524">
        <v>12543.24</v>
      </c>
      <c r="T54" s="524">
        <v>13854.09</v>
      </c>
      <c r="U54" s="945"/>
      <c r="V54" s="945"/>
      <c r="W54" s="524">
        <f t="shared" si="31"/>
        <v>345.19</v>
      </c>
      <c r="X54" s="892"/>
      <c r="Y54" s="889"/>
      <c r="Z54" s="591"/>
      <c r="AA54" s="890"/>
      <c r="AB54" s="591"/>
      <c r="AC54" s="591"/>
      <c r="AD54" s="891"/>
      <c r="AE54" s="678">
        <v>345.19</v>
      </c>
      <c r="AF54" s="591"/>
      <c r="AG54" s="871"/>
      <c r="AH54" s="871"/>
      <c r="AI54" s="736"/>
      <c r="AJ54" s="736"/>
      <c r="AK54" s="736"/>
      <c r="AL54" s="47">
        <f t="shared" si="32"/>
        <v>12198.05</v>
      </c>
      <c r="AM54" s="47">
        <f t="shared" si="33"/>
        <v>110.45064911458284</v>
      </c>
      <c r="AN54" s="47">
        <f t="shared" si="34"/>
        <v>-1310.8500000000004</v>
      </c>
      <c r="AO54" s="47">
        <v>3.18</v>
      </c>
      <c r="AP54" s="15"/>
    </row>
    <row r="55" spans="1:42" x14ac:dyDescent="0.25">
      <c r="A55" s="32">
        <v>11</v>
      </c>
      <c r="B55" s="32"/>
      <c r="C55" s="42" t="s">
        <v>155</v>
      </c>
      <c r="D55" s="705">
        <v>1979</v>
      </c>
      <c r="E55" s="690">
        <v>5</v>
      </c>
      <c r="F55" s="706">
        <v>81</v>
      </c>
      <c r="G55" s="869">
        <v>168</v>
      </c>
      <c r="H55" s="676">
        <v>3924.61</v>
      </c>
      <c r="I55" s="1634"/>
      <c r="J55" s="1634"/>
      <c r="K55" s="1634"/>
      <c r="L55" s="1634"/>
      <c r="M55" s="1634"/>
      <c r="N55" s="1634"/>
      <c r="O55" s="1634"/>
      <c r="P55" s="1634"/>
      <c r="Q55" s="1634"/>
      <c r="R55" s="1634"/>
      <c r="S55" s="524">
        <v>189177.12</v>
      </c>
      <c r="T55" s="524">
        <v>182386.37</v>
      </c>
      <c r="U55" s="945"/>
      <c r="V55" s="945"/>
      <c r="W55" s="524">
        <f t="shared" si="31"/>
        <v>85286.12000000001</v>
      </c>
      <c r="X55" s="892">
        <v>16664.16</v>
      </c>
      <c r="Y55" s="890"/>
      <c r="Z55" s="591"/>
      <c r="AA55" s="890"/>
      <c r="AB55" s="591"/>
      <c r="AC55" s="591">
        <v>64007</v>
      </c>
      <c r="AD55" s="891"/>
      <c r="AE55" s="678"/>
      <c r="AF55" s="591"/>
      <c r="AG55" s="871"/>
      <c r="AH55" s="871">
        <v>585.5</v>
      </c>
      <c r="AI55" s="736">
        <v>4029.46</v>
      </c>
      <c r="AJ55" s="736"/>
      <c r="AK55" s="736"/>
      <c r="AL55" s="47">
        <f t="shared" si="32"/>
        <v>103890.99999999999</v>
      </c>
      <c r="AM55" s="47">
        <f t="shared" si="33"/>
        <v>96.410374573838524</v>
      </c>
      <c r="AN55" s="47">
        <f t="shared" si="34"/>
        <v>6790.75</v>
      </c>
      <c r="AO55" s="47">
        <v>4</v>
      </c>
      <c r="AP55" s="15">
        <v>60200</v>
      </c>
    </row>
    <row r="56" spans="1:42" x14ac:dyDescent="0.25">
      <c r="A56" s="32">
        <v>12</v>
      </c>
      <c r="B56" s="32"/>
      <c r="C56" s="42" t="s">
        <v>157</v>
      </c>
      <c r="D56" s="705">
        <v>1955</v>
      </c>
      <c r="E56" s="690">
        <v>2</v>
      </c>
      <c r="F56" s="706">
        <v>15</v>
      </c>
      <c r="G56" s="869">
        <v>33</v>
      </c>
      <c r="H56" s="676">
        <v>796.8</v>
      </c>
      <c r="I56" s="1634"/>
      <c r="J56" s="1634"/>
      <c r="K56" s="1634"/>
      <c r="L56" s="1634"/>
      <c r="M56" s="1634"/>
      <c r="N56" s="1634"/>
      <c r="O56" s="1634"/>
      <c r="P56" s="1634"/>
      <c r="Q56" s="1634"/>
      <c r="R56" s="1634"/>
      <c r="S56" s="524">
        <v>41573.160000000003</v>
      </c>
      <c r="T56" s="524">
        <v>36193.839999999997</v>
      </c>
      <c r="U56" s="945"/>
      <c r="V56" s="945"/>
      <c r="W56" s="524">
        <f t="shared" si="31"/>
        <v>0</v>
      </c>
      <c r="X56" s="892"/>
      <c r="Y56" s="890"/>
      <c r="Z56" s="591"/>
      <c r="AA56" s="890"/>
      <c r="AB56" s="591"/>
      <c r="AC56" s="591"/>
      <c r="AD56" s="891"/>
      <c r="AE56" s="678"/>
      <c r="AF56" s="591"/>
      <c r="AG56" s="871"/>
      <c r="AH56" s="871"/>
      <c r="AI56" s="736"/>
      <c r="AJ56" s="736"/>
      <c r="AK56" s="736"/>
      <c r="AL56" s="47">
        <f t="shared" si="32"/>
        <v>41573.160000000003</v>
      </c>
      <c r="AM56" s="47">
        <f t="shared" si="33"/>
        <v>87.060593902412023</v>
      </c>
      <c r="AN56" s="47">
        <f t="shared" si="34"/>
        <v>5379.320000000007</v>
      </c>
      <c r="AO56" s="47">
        <v>4.33</v>
      </c>
      <c r="AP56" s="15"/>
    </row>
    <row r="57" spans="1:42" x14ac:dyDescent="0.25">
      <c r="A57" s="32">
        <v>13</v>
      </c>
      <c r="B57" s="32"/>
      <c r="C57" s="42" t="s">
        <v>158</v>
      </c>
      <c r="D57" s="705">
        <v>1955</v>
      </c>
      <c r="E57" s="690">
        <v>2</v>
      </c>
      <c r="F57" s="706">
        <v>12</v>
      </c>
      <c r="G57" s="869">
        <v>29</v>
      </c>
      <c r="H57" s="676">
        <v>842</v>
      </c>
      <c r="I57" s="1634"/>
      <c r="J57" s="1634"/>
      <c r="K57" s="1634"/>
      <c r="L57" s="1634"/>
      <c r="M57" s="1634"/>
      <c r="N57" s="1634"/>
      <c r="O57" s="1634"/>
      <c r="P57" s="1634"/>
      <c r="Q57" s="1634"/>
      <c r="R57" s="1634"/>
      <c r="S57" s="524">
        <v>43647.16</v>
      </c>
      <c r="T57" s="524">
        <v>43064.38</v>
      </c>
      <c r="U57" s="945"/>
      <c r="V57" s="945"/>
      <c r="W57" s="524">
        <f t="shared" si="31"/>
        <v>184.5</v>
      </c>
      <c r="X57" s="892"/>
      <c r="Y57" s="890"/>
      <c r="Z57" s="591"/>
      <c r="AA57" s="890"/>
      <c r="AB57" s="591">
        <v>184.5</v>
      </c>
      <c r="AC57" s="591"/>
      <c r="AD57" s="891"/>
      <c r="AE57" s="678"/>
      <c r="AF57" s="591"/>
      <c r="AG57" s="871"/>
      <c r="AH57" s="871"/>
      <c r="AI57" s="736"/>
      <c r="AJ57" s="736"/>
      <c r="AK57" s="736"/>
      <c r="AL57" s="47">
        <f t="shared" si="32"/>
        <v>43462.66</v>
      </c>
      <c r="AM57" s="47">
        <f t="shared" si="33"/>
        <v>98.664792852501719</v>
      </c>
      <c r="AN57" s="47">
        <f t="shared" si="34"/>
        <v>582.78000000000611</v>
      </c>
      <c r="AO57" s="47">
        <v>4.3499999999999996</v>
      </c>
      <c r="AP57" s="15"/>
    </row>
    <row r="58" spans="1:42" x14ac:dyDescent="0.25">
      <c r="A58" s="32">
        <v>14</v>
      </c>
      <c r="B58" s="32"/>
      <c r="C58" s="42" t="s">
        <v>159</v>
      </c>
      <c r="D58" s="705">
        <v>1955</v>
      </c>
      <c r="E58" s="690">
        <v>2</v>
      </c>
      <c r="F58" s="706">
        <v>12</v>
      </c>
      <c r="G58" s="869">
        <v>29</v>
      </c>
      <c r="H58" s="676">
        <v>803.43</v>
      </c>
      <c r="I58" s="1634"/>
      <c r="J58" s="1634"/>
      <c r="K58" s="1634"/>
      <c r="L58" s="1634"/>
      <c r="M58" s="1634"/>
      <c r="N58" s="1634"/>
      <c r="O58" s="1634"/>
      <c r="P58" s="1634"/>
      <c r="Q58" s="1634"/>
      <c r="R58" s="1634"/>
      <c r="S58" s="524">
        <v>38115.839999999997</v>
      </c>
      <c r="T58" s="524">
        <v>34531.57</v>
      </c>
      <c r="U58" s="945"/>
      <c r="V58" s="945"/>
      <c r="W58" s="524">
        <f t="shared" si="31"/>
        <v>29.1</v>
      </c>
      <c r="X58" s="892"/>
      <c r="Y58" s="890"/>
      <c r="Z58" s="591"/>
      <c r="AA58" s="890"/>
      <c r="AB58" s="591"/>
      <c r="AC58" s="591"/>
      <c r="AD58" s="891"/>
      <c r="AE58" s="678"/>
      <c r="AF58" s="591">
        <v>29.1</v>
      </c>
      <c r="AG58" s="871"/>
      <c r="AH58" s="871"/>
      <c r="AI58" s="736"/>
      <c r="AJ58" s="736"/>
      <c r="AK58" s="736"/>
      <c r="AL58" s="47">
        <f t="shared" si="32"/>
        <v>38086.74</v>
      </c>
      <c r="AM58" s="47">
        <f t="shared" si="33"/>
        <v>90.596376729464708</v>
      </c>
      <c r="AN58" s="47">
        <f t="shared" si="34"/>
        <v>3584.2699999999968</v>
      </c>
      <c r="AO58" s="47">
        <v>4</v>
      </c>
      <c r="AP58" s="15"/>
    </row>
    <row r="59" spans="1:42" x14ac:dyDescent="0.25">
      <c r="A59" s="32">
        <v>15</v>
      </c>
      <c r="B59" s="32"/>
      <c r="C59" s="42" t="s">
        <v>160</v>
      </c>
      <c r="D59" s="705">
        <v>1955</v>
      </c>
      <c r="E59" s="690">
        <v>2</v>
      </c>
      <c r="F59" s="706">
        <v>12</v>
      </c>
      <c r="G59" s="869">
        <v>31</v>
      </c>
      <c r="H59" s="676">
        <v>836.38</v>
      </c>
      <c r="I59" s="1634"/>
      <c r="J59" s="1634"/>
      <c r="K59" s="1634"/>
      <c r="L59" s="1634"/>
      <c r="M59" s="1634"/>
      <c r="N59" s="1634"/>
      <c r="O59" s="1634"/>
      <c r="P59" s="1634"/>
      <c r="Q59" s="1634"/>
      <c r="R59" s="1634"/>
      <c r="S59" s="524">
        <v>44955.839999999997</v>
      </c>
      <c r="T59" s="524">
        <v>42871.95</v>
      </c>
      <c r="U59" s="945"/>
      <c r="V59" s="945"/>
      <c r="W59" s="524">
        <f t="shared" si="31"/>
        <v>4650.1000000000004</v>
      </c>
      <c r="X59" s="892"/>
      <c r="Y59" s="890"/>
      <c r="Z59" s="591"/>
      <c r="AA59" s="890">
        <v>4650.1000000000004</v>
      </c>
      <c r="AB59" s="591"/>
      <c r="AC59" s="591"/>
      <c r="AD59" s="891"/>
      <c r="AE59" s="678"/>
      <c r="AF59" s="591"/>
      <c r="AG59" s="871"/>
      <c r="AH59" s="871"/>
      <c r="AI59" s="736"/>
      <c r="AJ59" s="736"/>
      <c r="AK59" s="736"/>
      <c r="AL59" s="47">
        <f t="shared" si="32"/>
        <v>40305.74</v>
      </c>
      <c r="AM59" s="47">
        <f t="shared" si="33"/>
        <v>95.364584445535883</v>
      </c>
      <c r="AN59" s="47">
        <f t="shared" si="34"/>
        <v>2083.8899999999994</v>
      </c>
      <c r="AO59" s="47">
        <v>4.46</v>
      </c>
      <c r="AP59" s="15"/>
    </row>
    <row r="60" spans="1:42" x14ac:dyDescent="0.25">
      <c r="A60" s="32">
        <v>16</v>
      </c>
      <c r="B60" s="583">
        <v>42569</v>
      </c>
      <c r="C60" s="42" t="s">
        <v>161</v>
      </c>
      <c r="D60" s="705">
        <v>1955</v>
      </c>
      <c r="E60" s="690">
        <v>2</v>
      </c>
      <c r="F60" s="706">
        <v>12</v>
      </c>
      <c r="G60" s="869">
        <v>31</v>
      </c>
      <c r="H60" s="676">
        <v>752.9</v>
      </c>
      <c r="I60" s="1634"/>
      <c r="J60" s="1634"/>
      <c r="K60" s="1634"/>
      <c r="L60" s="1634"/>
      <c r="M60" s="1634"/>
      <c r="N60" s="1634"/>
      <c r="O60" s="1634"/>
      <c r="P60" s="1634"/>
      <c r="Q60" s="1634"/>
      <c r="R60" s="1634"/>
      <c r="S60" s="524">
        <v>39138.949999999997</v>
      </c>
      <c r="T60" s="524">
        <v>29344.400000000001</v>
      </c>
      <c r="U60" s="945"/>
      <c r="V60" s="945"/>
      <c r="W60" s="524">
        <f t="shared" si="31"/>
        <v>0</v>
      </c>
      <c r="X60" s="892"/>
      <c r="Y60" s="890"/>
      <c r="Z60" s="591"/>
      <c r="AA60" s="890"/>
      <c r="AB60" s="591"/>
      <c r="AC60" s="591"/>
      <c r="AD60" s="891"/>
      <c r="AE60" s="678"/>
      <c r="AF60" s="591"/>
      <c r="AG60" s="871"/>
      <c r="AH60" s="871"/>
      <c r="AI60" s="736"/>
      <c r="AJ60" s="736"/>
      <c r="AK60" s="736"/>
      <c r="AL60" s="47">
        <f t="shared" si="32"/>
        <v>39138.949999999997</v>
      </c>
      <c r="AM60" s="47">
        <f t="shared" si="33"/>
        <v>74.974929066824743</v>
      </c>
      <c r="AN60" s="47">
        <f t="shared" si="34"/>
        <v>9794.5499999999956</v>
      </c>
      <c r="AO60" s="47">
        <v>4</v>
      </c>
      <c r="AP60" s="15"/>
    </row>
    <row r="61" spans="1:42" x14ac:dyDescent="0.25">
      <c r="A61" s="32">
        <v>17</v>
      </c>
      <c r="B61" s="32"/>
      <c r="C61" s="42" t="s">
        <v>162</v>
      </c>
      <c r="D61" s="705">
        <v>1985</v>
      </c>
      <c r="E61" s="690">
        <v>5</v>
      </c>
      <c r="F61" s="706">
        <v>76</v>
      </c>
      <c r="G61" s="869">
        <v>158</v>
      </c>
      <c r="H61" s="676">
        <v>4051.07</v>
      </c>
      <c r="I61" s="1634"/>
      <c r="J61" s="1634"/>
      <c r="K61" s="1634"/>
      <c r="L61" s="1634"/>
      <c r="M61" s="1634"/>
      <c r="N61" s="1634"/>
      <c r="O61" s="1634"/>
      <c r="P61" s="1634"/>
      <c r="Q61" s="1634"/>
      <c r="R61" s="1634"/>
      <c r="S61" s="524">
        <v>120831.72</v>
      </c>
      <c r="T61" s="524">
        <v>121005.52</v>
      </c>
      <c r="U61" s="945"/>
      <c r="V61" s="945"/>
      <c r="W61" s="524">
        <f t="shared" si="31"/>
        <v>47786.13</v>
      </c>
      <c r="X61" s="892">
        <v>10193.43</v>
      </c>
      <c r="Y61" s="890">
        <v>26081.439999999999</v>
      </c>
      <c r="Z61" s="591"/>
      <c r="AA61" s="890"/>
      <c r="AB61" s="591">
        <v>891.5</v>
      </c>
      <c r="AC61" s="591"/>
      <c r="AD61" s="891"/>
      <c r="AE61" s="678"/>
      <c r="AF61" s="591"/>
      <c r="AG61" s="871"/>
      <c r="AH61" s="871"/>
      <c r="AI61" s="736"/>
      <c r="AJ61" s="736"/>
      <c r="AK61" s="736">
        <v>10619.76</v>
      </c>
      <c r="AL61" s="47">
        <f t="shared" si="32"/>
        <v>73045.59</v>
      </c>
      <c r="AM61" s="47">
        <f t="shared" si="33"/>
        <v>100.14383640322259</v>
      </c>
      <c r="AN61" s="47">
        <f t="shared" si="34"/>
        <v>-173.80000000000291</v>
      </c>
      <c r="AO61" s="47">
        <v>2.5</v>
      </c>
      <c r="AP61" s="15"/>
    </row>
    <row r="62" spans="1:42" x14ac:dyDescent="0.25">
      <c r="A62" s="32">
        <v>18</v>
      </c>
      <c r="B62" s="583">
        <v>42569</v>
      </c>
      <c r="C62" s="42" t="s">
        <v>163</v>
      </c>
      <c r="D62" s="705">
        <v>1955</v>
      </c>
      <c r="E62" s="690">
        <v>2</v>
      </c>
      <c r="F62" s="706">
        <v>12</v>
      </c>
      <c r="G62" s="869">
        <v>21</v>
      </c>
      <c r="H62" s="676">
        <v>538</v>
      </c>
      <c r="I62" s="1634"/>
      <c r="J62" s="1634"/>
      <c r="K62" s="1634"/>
      <c r="L62" s="1634"/>
      <c r="M62" s="1634"/>
      <c r="N62" s="1634"/>
      <c r="O62" s="1634"/>
      <c r="P62" s="1634"/>
      <c r="Q62" s="1634"/>
      <c r="R62" s="1634"/>
      <c r="S62" s="524">
        <v>29102.400000000001</v>
      </c>
      <c r="T62" s="524">
        <v>20075.259999999998</v>
      </c>
      <c r="U62" s="945"/>
      <c r="V62" s="945"/>
      <c r="W62" s="524">
        <f t="shared" si="31"/>
        <v>0</v>
      </c>
      <c r="X62" s="892"/>
      <c r="Y62" s="890"/>
      <c r="Z62" s="591"/>
      <c r="AA62" s="890"/>
      <c r="AB62" s="591"/>
      <c r="AC62" s="591"/>
      <c r="AD62" s="891"/>
      <c r="AE62" s="678"/>
      <c r="AF62" s="591"/>
      <c r="AG62" s="871"/>
      <c r="AH62" s="871"/>
      <c r="AI62" s="736"/>
      <c r="AJ62" s="736"/>
      <c r="AK62" s="736"/>
      <c r="AL62" s="47">
        <f t="shared" si="32"/>
        <v>29102.400000000001</v>
      </c>
      <c r="AM62" s="47">
        <f t="shared" si="33"/>
        <v>68.981458573863321</v>
      </c>
      <c r="AN62" s="47">
        <f t="shared" si="34"/>
        <v>9027.1400000000031</v>
      </c>
      <c r="AO62" s="47">
        <v>4</v>
      </c>
      <c r="AP62" s="15"/>
    </row>
    <row r="63" spans="1:42" x14ac:dyDescent="0.25">
      <c r="A63" s="32">
        <v>19</v>
      </c>
      <c r="B63" s="32"/>
      <c r="C63" s="42" t="s">
        <v>164</v>
      </c>
      <c r="D63" s="705">
        <v>1989</v>
      </c>
      <c r="E63" s="690">
        <v>5</v>
      </c>
      <c r="F63" s="706">
        <v>75</v>
      </c>
      <c r="G63" s="869">
        <v>146</v>
      </c>
      <c r="H63" s="676">
        <v>3468.54</v>
      </c>
      <c r="I63" s="1634"/>
      <c r="J63" s="1634"/>
      <c r="K63" s="1634"/>
      <c r="L63" s="1634"/>
      <c r="M63" s="1634"/>
      <c r="N63" s="1634"/>
      <c r="O63" s="1634"/>
      <c r="P63" s="1634"/>
      <c r="Q63" s="1634"/>
      <c r="R63" s="1634"/>
      <c r="S63" s="524">
        <v>150635.25</v>
      </c>
      <c r="T63" s="524">
        <v>150806.25</v>
      </c>
      <c r="U63" s="945"/>
      <c r="V63" s="945"/>
      <c r="W63" s="524">
        <f t="shared" si="31"/>
        <v>34621.94</v>
      </c>
      <c r="X63" s="892">
        <v>9577.67</v>
      </c>
      <c r="Y63" s="890">
        <v>16068.03</v>
      </c>
      <c r="Z63" s="591"/>
      <c r="AA63" s="890"/>
      <c r="AB63" s="591"/>
      <c r="AC63" s="591"/>
      <c r="AD63" s="891">
        <v>8976.24</v>
      </c>
      <c r="AE63" s="678"/>
      <c r="AF63" s="591"/>
      <c r="AG63" s="871"/>
      <c r="AH63" s="871"/>
      <c r="AI63" s="736"/>
      <c r="AJ63" s="736"/>
      <c r="AK63" s="736"/>
      <c r="AL63" s="47">
        <f t="shared" si="32"/>
        <v>116013.31</v>
      </c>
      <c r="AM63" s="47">
        <f t="shared" si="33"/>
        <v>100.11351924599322</v>
      </c>
      <c r="AN63" s="47">
        <f t="shared" si="34"/>
        <v>-171</v>
      </c>
      <c r="AO63" s="47">
        <v>3.66</v>
      </c>
      <c r="AP63" s="15"/>
    </row>
    <row r="64" spans="1:42" x14ac:dyDescent="0.25">
      <c r="A64" s="32">
        <v>20</v>
      </c>
      <c r="B64" s="32"/>
      <c r="C64" s="42" t="s">
        <v>165</v>
      </c>
      <c r="D64" s="705">
        <v>1989</v>
      </c>
      <c r="E64" s="690">
        <v>5</v>
      </c>
      <c r="F64" s="706">
        <v>75</v>
      </c>
      <c r="G64" s="869">
        <v>137</v>
      </c>
      <c r="H64" s="676">
        <v>3459.49</v>
      </c>
      <c r="I64" s="1634"/>
      <c r="J64" s="1634"/>
      <c r="K64" s="1634"/>
      <c r="L64" s="1634"/>
      <c r="M64" s="1634"/>
      <c r="N64" s="1634"/>
      <c r="O64" s="1634"/>
      <c r="P64" s="1634"/>
      <c r="Q64" s="1634"/>
      <c r="R64" s="1634"/>
      <c r="S64" s="524">
        <v>163868.88</v>
      </c>
      <c r="T64" s="524">
        <v>162272.82999999999</v>
      </c>
      <c r="U64" s="945"/>
      <c r="V64" s="945"/>
      <c r="W64" s="524">
        <f t="shared" si="31"/>
        <v>72503</v>
      </c>
      <c r="X64" s="892">
        <v>4655</v>
      </c>
      <c r="Y64" s="890"/>
      <c r="Z64" s="591"/>
      <c r="AA64" s="890"/>
      <c r="AB64" s="591"/>
      <c r="AC64" s="591">
        <v>67608</v>
      </c>
      <c r="AD64" s="891">
        <v>240</v>
      </c>
      <c r="AE64" s="678"/>
      <c r="AF64" s="591"/>
      <c r="AG64" s="871"/>
      <c r="AH64" s="871"/>
      <c r="AI64" s="736"/>
      <c r="AJ64" s="736"/>
      <c r="AK64" s="736"/>
      <c r="AL64" s="47">
        <f t="shared" si="32"/>
        <v>91365.88</v>
      </c>
      <c r="AM64" s="47">
        <f t="shared" si="33"/>
        <v>99.026020071657285</v>
      </c>
      <c r="AN64" s="47">
        <f t="shared" si="34"/>
        <v>1596.0500000000175</v>
      </c>
      <c r="AO64" s="47">
        <v>3.95</v>
      </c>
      <c r="AP64" s="15"/>
    </row>
    <row r="65" spans="1:42" x14ac:dyDescent="0.25">
      <c r="A65" s="32">
        <v>21</v>
      </c>
      <c r="B65" s="32"/>
      <c r="C65" s="42" t="s">
        <v>166</v>
      </c>
      <c r="D65" s="705">
        <v>1993</v>
      </c>
      <c r="E65" s="690">
        <v>5</v>
      </c>
      <c r="F65" s="706">
        <v>100</v>
      </c>
      <c r="G65" s="869">
        <v>227</v>
      </c>
      <c r="H65" s="676">
        <v>6033.82</v>
      </c>
      <c r="I65" s="1634"/>
      <c r="J65" s="1634"/>
      <c r="K65" s="1634"/>
      <c r="L65" s="1634"/>
      <c r="M65" s="1634"/>
      <c r="N65" s="1634"/>
      <c r="O65" s="1634"/>
      <c r="P65" s="1634"/>
      <c r="Q65" s="1634"/>
      <c r="R65" s="1634"/>
      <c r="S65" s="524">
        <v>183904.5</v>
      </c>
      <c r="T65" s="524">
        <v>185021.83</v>
      </c>
      <c r="U65" s="945"/>
      <c r="V65" s="945"/>
      <c r="W65" s="524">
        <f t="shared" si="31"/>
        <v>77532.5</v>
      </c>
      <c r="X65" s="892">
        <v>1524.75</v>
      </c>
      <c r="Y65" s="890">
        <v>5821.75</v>
      </c>
      <c r="Z65" s="591"/>
      <c r="AA65" s="890"/>
      <c r="AB65" s="591">
        <v>6800</v>
      </c>
      <c r="AC65" s="591">
        <v>63386</v>
      </c>
      <c r="AD65" s="891"/>
      <c r="AE65" s="678"/>
      <c r="AF65" s="591"/>
      <c r="AG65" s="871"/>
      <c r="AH65" s="871"/>
      <c r="AI65" s="736"/>
      <c r="AJ65" s="736"/>
      <c r="AK65" s="736"/>
      <c r="AL65" s="47">
        <f t="shared" si="32"/>
        <v>106372</v>
      </c>
      <c r="AM65" s="47">
        <f t="shared" si="33"/>
        <v>100.60755990201436</v>
      </c>
      <c r="AN65" s="47">
        <f t="shared" si="34"/>
        <v>-1117.3299999999872</v>
      </c>
      <c r="AO65" s="47">
        <v>2.5299999999999998</v>
      </c>
      <c r="AP65" s="15"/>
    </row>
    <row r="66" spans="1:42" x14ac:dyDescent="0.25">
      <c r="A66" s="32">
        <v>22</v>
      </c>
      <c r="B66" s="32"/>
      <c r="C66" s="42" t="s">
        <v>167</v>
      </c>
      <c r="D66" s="705">
        <v>1989</v>
      </c>
      <c r="E66" s="690">
        <v>5</v>
      </c>
      <c r="F66" s="706">
        <v>76</v>
      </c>
      <c r="G66" s="869">
        <v>141</v>
      </c>
      <c r="H66" s="676">
        <v>3519.3</v>
      </c>
      <c r="I66" s="1634"/>
      <c r="J66" s="1634"/>
      <c r="K66" s="1634"/>
      <c r="L66" s="1634"/>
      <c r="M66" s="1634"/>
      <c r="N66" s="1634"/>
      <c r="O66" s="1634"/>
      <c r="P66" s="1634"/>
      <c r="Q66" s="1634"/>
      <c r="R66" s="1634"/>
      <c r="S66" s="524">
        <v>167172.56</v>
      </c>
      <c r="T66" s="524">
        <v>147358.25</v>
      </c>
      <c r="U66" s="945"/>
      <c r="V66" s="945"/>
      <c r="W66" s="524">
        <f t="shared" si="31"/>
        <v>71439.5</v>
      </c>
      <c r="X66" s="892"/>
      <c r="Y66" s="890">
        <v>6287.5</v>
      </c>
      <c r="Z66" s="591"/>
      <c r="AA66" s="890"/>
      <c r="AB66" s="591"/>
      <c r="AC66" s="591">
        <v>64802</v>
      </c>
      <c r="AD66" s="891"/>
      <c r="AE66" s="678">
        <v>350</v>
      </c>
      <c r="AF66" s="591"/>
      <c r="AG66" s="871"/>
      <c r="AH66" s="871"/>
      <c r="AI66" s="736"/>
      <c r="AJ66" s="736"/>
      <c r="AK66" s="736"/>
      <c r="AL66" s="47">
        <f t="shared" si="32"/>
        <v>95733.06</v>
      </c>
      <c r="AM66" s="47">
        <f t="shared" si="33"/>
        <v>88.147390935450176</v>
      </c>
      <c r="AN66" s="47">
        <f t="shared" si="34"/>
        <v>19814.309999999998</v>
      </c>
      <c r="AO66" s="47">
        <v>4</v>
      </c>
      <c r="AP66" s="15"/>
    </row>
    <row r="67" spans="1:42" x14ac:dyDescent="0.25">
      <c r="A67" s="38"/>
      <c r="B67" s="38"/>
      <c r="C67" s="7" t="s">
        <v>52</v>
      </c>
      <c r="D67" s="1642"/>
      <c r="E67" s="1642"/>
      <c r="F67" s="1642">
        <f>SUM(F45:F66)</f>
        <v>740</v>
      </c>
      <c r="G67" s="1642">
        <f>SUM(G45:G66)</f>
        <v>1500</v>
      </c>
      <c r="H67" s="1642">
        <f>SUM(H45:H66)</f>
        <v>37239.030000000006</v>
      </c>
      <c r="I67" s="1635"/>
      <c r="J67" s="1635"/>
      <c r="K67" s="1635"/>
      <c r="L67" s="1635"/>
      <c r="M67" s="1635"/>
      <c r="N67" s="1635"/>
      <c r="O67" s="1635"/>
      <c r="P67" s="1635"/>
      <c r="Q67" s="1635"/>
      <c r="R67" s="1635"/>
      <c r="S67" s="1636">
        <f>SUM(S45:S66)</f>
        <v>1589243.12</v>
      </c>
      <c r="T67" s="1636">
        <f>SUM(T45:T66)</f>
        <v>1509337.73</v>
      </c>
      <c r="U67" s="947"/>
      <c r="V67" s="947"/>
      <c r="W67" s="1418">
        <f>SUM(W45:W66)</f>
        <v>434648</v>
      </c>
      <c r="X67" s="1418">
        <f>SUM(X45:X66)</f>
        <v>42615.01</v>
      </c>
      <c r="Y67" s="1744">
        <f>SUM(Y45:Y66)</f>
        <v>54258.720000000001</v>
      </c>
      <c r="Z67" s="1744">
        <f>SUM(Z45:Z66)</f>
        <v>3000</v>
      </c>
      <c r="AA67" s="1426">
        <f>SUM(AA45:AA66)</f>
        <v>10394.1</v>
      </c>
      <c r="AB67" s="1426">
        <f t="shared" ref="AB67:AE67" si="35">SUM(AB45:AB66)</f>
        <v>7876</v>
      </c>
      <c r="AC67" s="1426">
        <f t="shared" si="35"/>
        <v>259803</v>
      </c>
      <c r="AD67" s="1426">
        <f t="shared" si="35"/>
        <v>9216.24</v>
      </c>
      <c r="AE67" s="1426">
        <f t="shared" si="35"/>
        <v>1368.56</v>
      </c>
      <c r="AF67" s="1426">
        <f t="shared" ref="AF67" si="36">SUM(AF45:AF66)</f>
        <v>127.21000000000001</v>
      </c>
      <c r="AG67" s="1426">
        <f t="shared" ref="AG67:AH67" si="37">SUM(AG45:AG66)</f>
        <v>14548.21</v>
      </c>
      <c r="AH67" s="1426">
        <f t="shared" si="37"/>
        <v>16791.73</v>
      </c>
      <c r="AI67" s="1426">
        <f t="shared" ref="AI67" si="38">SUM(AI45:AI66)</f>
        <v>4029.46</v>
      </c>
      <c r="AJ67" s="1426">
        <f t="shared" ref="AJ67" si="39">SUM(AJ45:AJ66)</f>
        <v>0</v>
      </c>
      <c r="AK67" s="1426">
        <f t="shared" ref="AK67" si="40">SUM(AK45:AK66)</f>
        <v>10619.76</v>
      </c>
      <c r="AL67" s="1785">
        <f t="shared" si="32"/>
        <v>1154595.1200000001</v>
      </c>
      <c r="AM67" s="1785">
        <f t="shared" si="33"/>
        <v>94.972110371634017</v>
      </c>
      <c r="AN67" s="1785">
        <f t="shared" si="34"/>
        <v>79905.39000000013</v>
      </c>
      <c r="AO67" s="1464"/>
      <c r="AP67" s="1464"/>
    </row>
    <row r="68" spans="1:42" x14ac:dyDescent="0.25">
      <c r="A68" s="15"/>
      <c r="B68" s="15"/>
      <c r="C68" s="507" t="s">
        <v>540</v>
      </c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  <c r="Q68" s="661"/>
      <c r="R68" s="661"/>
      <c r="S68" s="899">
        <v>7176</v>
      </c>
      <c r="T68" s="864">
        <v>4386.8599999999997</v>
      </c>
      <c r="U68" s="948"/>
      <c r="V68" s="948"/>
      <c r="W68" s="879"/>
      <c r="X68" s="661"/>
      <c r="Y68" s="881"/>
      <c r="Z68" s="661"/>
      <c r="AA68" s="661"/>
      <c r="AB68" s="661"/>
      <c r="AC68" s="661"/>
      <c r="AD68" s="661"/>
      <c r="AE68" s="732"/>
      <c r="AF68" s="736"/>
      <c r="AG68" s="661"/>
      <c r="AH68" s="661"/>
      <c r="AI68" s="881"/>
      <c r="AJ68" s="790"/>
      <c r="AK68" s="736"/>
      <c r="AL68" s="15"/>
      <c r="AM68" s="15"/>
      <c r="AN68" s="15"/>
      <c r="AO68" s="15"/>
      <c r="AP68" s="15"/>
    </row>
    <row r="69" spans="1:42" ht="18.75" x14ac:dyDescent="0.3">
      <c r="C69" s="507" t="s">
        <v>539</v>
      </c>
      <c r="D69" s="1620"/>
      <c r="E69" s="1620"/>
      <c r="F69" s="1620"/>
      <c r="G69" s="1620"/>
      <c r="H69" s="1620"/>
      <c r="I69" s="1724"/>
      <c r="J69" s="1724"/>
      <c r="K69" s="1620"/>
      <c r="L69" s="1620"/>
      <c r="M69" s="1620"/>
      <c r="N69" s="1620"/>
      <c r="O69" s="1620"/>
      <c r="P69" s="1620"/>
      <c r="Q69" s="1620"/>
      <c r="R69" s="1620"/>
      <c r="S69" s="901">
        <f>S67+S68</f>
        <v>1596419.12</v>
      </c>
      <c r="T69" s="901">
        <f>T67+T68</f>
        <v>1513724.59</v>
      </c>
      <c r="U69" s="901"/>
      <c r="V69" s="901"/>
      <c r="W69" s="1743" t="s">
        <v>180</v>
      </c>
      <c r="X69" s="902"/>
      <c r="Y69" s="1620"/>
      <c r="Z69" s="1620"/>
      <c r="AA69" s="1620"/>
      <c r="AB69" s="1620"/>
      <c r="AC69" s="1620"/>
      <c r="AD69" s="903"/>
      <c r="AE69" s="850"/>
      <c r="AF69" s="904"/>
      <c r="AG69" s="904"/>
      <c r="AH69" s="904"/>
      <c r="AI69" s="790"/>
      <c r="AJ69" s="790"/>
      <c r="AK69" s="349"/>
    </row>
    <row r="70" spans="1:42" x14ac:dyDescent="0.25">
      <c r="C70" s="565" t="s">
        <v>289</v>
      </c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 t="s">
        <v>180</v>
      </c>
      <c r="T70" s="375"/>
      <c r="U70" s="787" t="s">
        <v>571</v>
      </c>
      <c r="V70" s="375"/>
      <c r="W70" s="375"/>
      <c r="X70" s="375"/>
      <c r="Y70" s="1910" t="s">
        <v>571</v>
      </c>
      <c r="Z70" s="375"/>
      <c r="AA70" s="375"/>
      <c r="AB70" s="375"/>
      <c r="AC70" s="375"/>
      <c r="AD70" s="375"/>
      <c r="AE70" s="375"/>
      <c r="AF70" s="349"/>
      <c r="AG70" s="349"/>
      <c r="AH70" s="349"/>
      <c r="AI70" s="349"/>
      <c r="AJ70" s="349"/>
      <c r="AK70" s="349"/>
    </row>
    <row r="71" spans="1:42" ht="15" customHeight="1" x14ac:dyDescent="0.25">
      <c r="C71" s="147"/>
      <c r="D71" s="378"/>
      <c r="E71" s="378"/>
      <c r="F71" s="378"/>
      <c r="G71" s="378"/>
      <c r="H71" s="378"/>
      <c r="I71" s="378"/>
      <c r="J71" s="378"/>
      <c r="K71" s="378"/>
      <c r="L71" s="378"/>
      <c r="M71" s="378"/>
      <c r="N71" s="378"/>
      <c r="O71" s="378"/>
      <c r="P71" s="378"/>
      <c r="Q71" s="378"/>
      <c r="R71" s="378"/>
      <c r="S71" s="378"/>
      <c r="T71" s="378"/>
      <c r="U71" s="378"/>
      <c r="V71" s="378"/>
      <c r="W71" s="378"/>
      <c r="X71" s="378"/>
      <c r="Y71" s="378"/>
      <c r="Z71" s="378"/>
      <c r="AA71" s="378"/>
      <c r="AB71" s="378"/>
      <c r="AC71" s="378"/>
      <c r="AD71" s="375"/>
      <c r="AE71" s="375"/>
      <c r="AF71" s="375"/>
      <c r="AG71" s="375"/>
      <c r="AH71" s="375"/>
      <c r="AI71" s="375"/>
      <c r="AJ71" s="375"/>
      <c r="AK71" s="375"/>
    </row>
    <row r="72" spans="1:42" ht="15.75" customHeight="1" x14ac:dyDescent="0.25">
      <c r="C72" s="250"/>
      <c r="D72" s="250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0"/>
    </row>
    <row r="73" spans="1:42" ht="15.75" customHeight="1" x14ac:dyDescent="0.25">
      <c r="C73" s="250"/>
      <c r="D73" s="250"/>
      <c r="E73" s="250"/>
      <c r="F73" s="250"/>
      <c r="G73" s="250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0"/>
      <c r="S73" s="250"/>
      <c r="T73" s="250"/>
      <c r="U73" s="250"/>
      <c r="V73" s="250"/>
      <c r="W73" s="250"/>
      <c r="X73" s="250"/>
      <c r="Y73" s="250"/>
      <c r="Z73" s="250"/>
      <c r="AA73" s="250"/>
      <c r="AB73" s="250"/>
      <c r="AC73" s="250"/>
      <c r="AD73" s="250"/>
      <c r="AE73" s="250"/>
      <c r="AF73" s="250"/>
      <c r="AG73" s="250"/>
      <c r="AH73" s="250"/>
      <c r="AI73" s="250"/>
      <c r="AJ73" s="250"/>
      <c r="AK73" s="250"/>
    </row>
    <row r="74" spans="1:42" x14ac:dyDescent="0.25">
      <c r="C74" s="250"/>
      <c r="D74" s="250"/>
      <c r="E74" s="250"/>
      <c r="F74" s="250"/>
      <c r="G74" s="250"/>
      <c r="H74" s="250"/>
      <c r="I74" s="250"/>
      <c r="J74" s="250"/>
      <c r="K74" s="250"/>
      <c r="L74" s="250"/>
      <c r="M74" s="250"/>
      <c r="N74" s="250"/>
      <c r="O74" s="250"/>
      <c r="P74" s="250"/>
      <c r="Q74" s="250"/>
      <c r="R74" s="250"/>
      <c r="S74" s="250"/>
      <c r="T74" s="250"/>
      <c r="U74" s="250"/>
      <c r="V74" s="250"/>
      <c r="W74" s="250"/>
      <c r="X74" s="250"/>
      <c r="Y74" s="250"/>
      <c r="Z74" s="250"/>
      <c r="AA74" s="250"/>
      <c r="AB74" s="250"/>
      <c r="AC74" s="250"/>
      <c r="AD74" s="250"/>
      <c r="AE74" s="250"/>
      <c r="AF74" s="250"/>
      <c r="AG74" s="250"/>
      <c r="AH74" s="250"/>
      <c r="AI74" s="250"/>
      <c r="AJ74" s="250"/>
      <c r="AK74" s="250"/>
    </row>
    <row r="75" spans="1:42" ht="27" customHeight="1" x14ac:dyDescent="0.25">
      <c r="A75" s="2083" t="s">
        <v>0</v>
      </c>
      <c r="B75" s="2014" t="s">
        <v>290</v>
      </c>
      <c r="C75" s="2083" t="s">
        <v>184</v>
      </c>
      <c r="D75" s="2084" t="s">
        <v>54</v>
      </c>
      <c r="E75" s="2085" t="s">
        <v>55</v>
      </c>
      <c r="F75" s="2084" t="s">
        <v>56</v>
      </c>
      <c r="G75" s="2084" t="s">
        <v>57</v>
      </c>
      <c r="H75" s="2085" t="s">
        <v>6</v>
      </c>
      <c r="I75" s="949"/>
      <c r="J75" s="949"/>
      <c r="K75" s="2087"/>
      <c r="L75" s="2088"/>
      <c r="M75" s="250"/>
      <c r="N75" s="250"/>
      <c r="O75" s="250"/>
      <c r="P75" s="250"/>
      <c r="Q75" s="250"/>
      <c r="R75" s="250"/>
      <c r="S75" s="1745"/>
      <c r="T75" s="129"/>
      <c r="U75" s="250"/>
      <c r="V75" s="250"/>
      <c r="W75" s="250"/>
      <c r="X75" s="250"/>
      <c r="Y75" s="250"/>
      <c r="Z75" s="250"/>
      <c r="AA75" s="250"/>
      <c r="AB75" s="250"/>
      <c r="AC75" s="250"/>
      <c r="AD75" s="250"/>
      <c r="AE75" s="250"/>
      <c r="AF75" s="250"/>
      <c r="AG75" s="250"/>
      <c r="AH75" s="250"/>
      <c r="AI75" s="250"/>
      <c r="AJ75" s="250"/>
      <c r="AK75" s="250"/>
    </row>
    <row r="76" spans="1:42" ht="37.5" customHeight="1" x14ac:dyDescent="0.25">
      <c r="A76" s="2083"/>
      <c r="B76" s="2015"/>
      <c r="C76" s="2083"/>
      <c r="D76" s="2084"/>
      <c r="E76" s="2086"/>
      <c r="F76" s="2084"/>
      <c r="G76" s="2084"/>
      <c r="H76" s="2086"/>
      <c r="I76" s="950"/>
      <c r="J76" s="950"/>
      <c r="K76" s="767"/>
      <c r="L76" s="1742"/>
      <c r="M76" s="250"/>
      <c r="N76" s="250"/>
      <c r="O76" s="250"/>
      <c r="P76" s="250"/>
      <c r="Q76" s="250"/>
      <c r="R76" s="250"/>
      <c r="S76" s="1745"/>
      <c r="T76" s="129"/>
      <c r="U76" s="250"/>
      <c r="V76" s="250"/>
      <c r="W76" s="250"/>
      <c r="X76" s="250"/>
      <c r="Y76" s="250"/>
      <c r="Z76" s="250"/>
      <c r="AA76" s="250"/>
      <c r="AB76" s="250"/>
      <c r="AC76" s="250"/>
      <c r="AD76" s="250"/>
      <c r="AE76" s="250"/>
      <c r="AF76" s="250"/>
      <c r="AG76" s="250"/>
      <c r="AH76" s="250"/>
      <c r="AI76" s="250"/>
      <c r="AJ76" s="250"/>
      <c r="AK76" s="250"/>
    </row>
    <row r="77" spans="1:42" x14ac:dyDescent="0.25">
      <c r="A77" s="32">
        <v>1</v>
      </c>
      <c r="B77" s="32"/>
      <c r="C77" s="42" t="s">
        <v>150</v>
      </c>
      <c r="D77" s="675">
        <v>1966</v>
      </c>
      <c r="E77" s="681">
        <v>3</v>
      </c>
      <c r="F77" s="676">
        <v>36</v>
      </c>
      <c r="G77" s="905">
        <v>65</v>
      </c>
      <c r="H77" s="676">
        <v>1460.92</v>
      </c>
      <c r="I77" s="951"/>
      <c r="J77" s="951"/>
      <c r="K77" s="524"/>
      <c r="L77" s="524"/>
      <c r="M77" s="250"/>
      <c r="N77" s="250"/>
      <c r="O77" s="250"/>
      <c r="P77" s="250"/>
      <c r="Q77" s="250"/>
      <c r="R77" s="250"/>
      <c r="S77" s="1745"/>
      <c r="T77" s="129"/>
      <c r="U77" s="250"/>
      <c r="V77" s="250"/>
      <c r="W77" s="250"/>
      <c r="X77" s="250"/>
      <c r="Y77" s="250"/>
      <c r="Z77" s="250"/>
      <c r="AA77" s="250"/>
      <c r="AB77" s="250"/>
      <c r="AC77" s="250"/>
      <c r="AD77" s="250"/>
      <c r="AE77" s="250"/>
      <c r="AF77" s="250"/>
      <c r="AG77" s="250"/>
      <c r="AH77" s="250"/>
      <c r="AI77" s="250"/>
      <c r="AJ77" s="250"/>
      <c r="AK77" s="250"/>
    </row>
    <row r="78" spans="1:42" x14ac:dyDescent="0.25">
      <c r="A78" s="32">
        <v>2</v>
      </c>
      <c r="B78" s="32"/>
      <c r="C78" s="42" t="s">
        <v>151</v>
      </c>
      <c r="D78" s="675">
        <v>1966</v>
      </c>
      <c r="E78" s="681">
        <v>3</v>
      </c>
      <c r="F78" s="676">
        <v>36</v>
      </c>
      <c r="G78" s="905">
        <v>68</v>
      </c>
      <c r="H78" s="676">
        <v>1486.39</v>
      </c>
      <c r="I78" s="951"/>
      <c r="J78" s="951"/>
      <c r="K78" s="524"/>
      <c r="L78" s="524"/>
      <c r="M78" s="250"/>
      <c r="N78" s="250"/>
      <c r="O78" s="250"/>
      <c r="P78" s="250"/>
      <c r="Q78" s="250"/>
      <c r="R78" s="250"/>
      <c r="S78" s="1745"/>
      <c r="T78" s="129"/>
      <c r="U78" s="250"/>
      <c r="V78" s="250"/>
      <c r="W78" s="250"/>
      <c r="X78" s="250"/>
      <c r="Y78" s="250"/>
      <c r="Z78" s="250"/>
      <c r="AA78" s="250"/>
      <c r="AB78" s="250"/>
      <c r="AC78" s="250"/>
      <c r="AD78" s="250"/>
      <c r="AE78" s="250"/>
      <c r="AF78" s="250"/>
      <c r="AG78" s="250"/>
      <c r="AH78" s="250"/>
      <c r="AI78" s="250"/>
      <c r="AJ78" s="250"/>
      <c r="AK78" s="250"/>
    </row>
    <row r="79" spans="1:42" x14ac:dyDescent="0.25">
      <c r="A79" s="32">
        <v>3</v>
      </c>
      <c r="B79" s="32"/>
      <c r="C79" s="42" t="s">
        <v>155</v>
      </c>
      <c r="D79" s="675">
        <v>1979</v>
      </c>
      <c r="E79" s="681">
        <v>5</v>
      </c>
      <c r="F79" s="676">
        <v>81</v>
      </c>
      <c r="G79" s="905">
        <v>168</v>
      </c>
      <c r="H79" s="907">
        <v>3928.89</v>
      </c>
      <c r="I79" s="954"/>
      <c r="J79" s="954"/>
      <c r="K79" s="524"/>
      <c r="L79" s="524"/>
      <c r="M79" s="250"/>
      <c r="N79" s="250"/>
      <c r="O79" s="250"/>
      <c r="P79" s="250"/>
      <c r="Q79" s="250"/>
      <c r="R79" s="250"/>
      <c r="S79" s="1745"/>
      <c r="T79" s="129"/>
      <c r="U79" s="250"/>
      <c r="V79" s="250"/>
      <c r="W79" s="250"/>
      <c r="X79" s="250"/>
      <c r="Y79" s="250"/>
      <c r="Z79" s="250"/>
      <c r="AA79" s="250"/>
      <c r="AB79" s="250"/>
      <c r="AC79" s="250"/>
      <c r="AD79" s="250"/>
      <c r="AE79" s="250"/>
      <c r="AF79" s="250"/>
      <c r="AG79" s="250"/>
      <c r="AH79" s="250"/>
      <c r="AI79" s="250"/>
      <c r="AJ79" s="250"/>
      <c r="AK79" s="250"/>
    </row>
    <row r="80" spans="1:42" x14ac:dyDescent="0.25">
      <c r="A80" s="32">
        <v>4</v>
      </c>
      <c r="B80" s="32"/>
      <c r="C80" s="42" t="s">
        <v>162</v>
      </c>
      <c r="D80" s="675">
        <v>1985</v>
      </c>
      <c r="E80" s="681">
        <v>5</v>
      </c>
      <c r="F80" s="676">
        <v>76</v>
      </c>
      <c r="G80" s="905">
        <v>158</v>
      </c>
      <c r="H80" s="676">
        <v>4043.22</v>
      </c>
      <c r="I80" s="951"/>
      <c r="J80" s="951"/>
      <c r="K80" s="524"/>
      <c r="L80" s="524"/>
      <c r="M80" s="250"/>
      <c r="N80" s="250"/>
      <c r="O80" s="250"/>
      <c r="P80" s="250"/>
      <c r="Q80" s="250"/>
      <c r="R80" s="250"/>
      <c r="S80" s="1745"/>
      <c r="T80" s="129"/>
      <c r="U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0"/>
      <c r="AK80" s="250"/>
    </row>
    <row r="81" spans="1:37" x14ac:dyDescent="0.25">
      <c r="A81" s="32">
        <v>5</v>
      </c>
      <c r="B81" s="32"/>
      <c r="C81" s="42" t="s">
        <v>164</v>
      </c>
      <c r="D81" s="675">
        <v>1989</v>
      </c>
      <c r="E81" s="681">
        <v>5</v>
      </c>
      <c r="F81" s="676">
        <v>75</v>
      </c>
      <c r="G81" s="905">
        <v>146</v>
      </c>
      <c r="H81" s="676">
        <v>3492.24</v>
      </c>
      <c r="I81" s="951"/>
      <c r="J81" s="951"/>
      <c r="K81" s="524"/>
      <c r="L81" s="524"/>
      <c r="M81" s="250"/>
      <c r="N81" s="250"/>
      <c r="O81" s="250"/>
      <c r="P81" s="250"/>
      <c r="Q81" s="250"/>
      <c r="R81" s="250"/>
      <c r="S81" s="1745"/>
      <c r="T81" s="129"/>
      <c r="U81" s="250"/>
      <c r="V81" s="250"/>
      <c r="W81" s="250"/>
      <c r="X81" s="250"/>
      <c r="Y81" s="250"/>
      <c r="Z81" s="250"/>
      <c r="AA81" s="250"/>
      <c r="AB81" s="250"/>
      <c r="AC81" s="250"/>
      <c r="AD81" s="250"/>
      <c r="AE81" s="250"/>
      <c r="AF81" s="250"/>
      <c r="AG81" s="250"/>
      <c r="AH81" s="250"/>
      <c r="AI81" s="250"/>
      <c r="AJ81" s="250"/>
      <c r="AK81" s="250"/>
    </row>
    <row r="82" spans="1:37" x14ac:dyDescent="0.25">
      <c r="A82" s="32">
        <v>6</v>
      </c>
      <c r="B82" s="32"/>
      <c r="C82" s="42" t="s">
        <v>165</v>
      </c>
      <c r="D82" s="675">
        <v>1989</v>
      </c>
      <c r="E82" s="681">
        <v>5</v>
      </c>
      <c r="F82" s="676">
        <v>75</v>
      </c>
      <c r="G82" s="905">
        <v>137</v>
      </c>
      <c r="H82" s="676">
        <v>3454.59</v>
      </c>
      <c r="I82" s="951"/>
      <c r="J82" s="951"/>
      <c r="K82" s="524"/>
      <c r="L82" s="524"/>
      <c r="M82" s="250"/>
      <c r="N82" s="250"/>
      <c r="O82" s="250"/>
      <c r="P82" s="250"/>
      <c r="Q82" s="250"/>
      <c r="R82" s="250"/>
      <c r="S82" s="1745"/>
      <c r="T82" s="129"/>
      <c r="U82" s="250"/>
      <c r="V82" s="250"/>
      <c r="W82" s="250"/>
      <c r="X82" s="250"/>
      <c r="Y82" s="250"/>
      <c r="Z82" s="250"/>
      <c r="AA82" s="250"/>
      <c r="AB82" s="250"/>
      <c r="AC82" s="250"/>
      <c r="AD82" s="250"/>
      <c r="AE82" s="250"/>
      <c r="AF82" s="250"/>
      <c r="AG82" s="250"/>
      <c r="AH82" s="250"/>
      <c r="AI82" s="250"/>
      <c r="AJ82" s="250"/>
      <c r="AK82" s="250"/>
    </row>
    <row r="83" spans="1:37" x14ac:dyDescent="0.25">
      <c r="A83" s="32">
        <v>7</v>
      </c>
      <c r="B83" s="32"/>
      <c r="C83" s="42" t="s">
        <v>166</v>
      </c>
      <c r="D83" s="675">
        <v>1993</v>
      </c>
      <c r="E83" s="681">
        <v>5</v>
      </c>
      <c r="F83" s="676">
        <v>100</v>
      </c>
      <c r="G83" s="905">
        <v>227</v>
      </c>
      <c r="H83" s="676">
        <v>6046.32</v>
      </c>
      <c r="I83" s="951"/>
      <c r="J83" s="951"/>
      <c r="K83" s="524"/>
      <c r="L83" s="524"/>
      <c r="M83" s="250"/>
      <c r="N83" s="250"/>
      <c r="O83" s="250"/>
      <c r="P83" s="250"/>
      <c r="Q83" s="250"/>
      <c r="R83" s="250"/>
      <c r="S83" s="1745"/>
      <c r="T83" s="129"/>
      <c r="U83" s="250"/>
      <c r="V83" s="250"/>
      <c r="W83" s="250"/>
      <c r="X83" s="250"/>
      <c r="Y83" s="250"/>
      <c r="Z83" s="250"/>
      <c r="AA83" s="250"/>
      <c r="AB83" s="250"/>
      <c r="AC83" s="250"/>
      <c r="AD83" s="250"/>
      <c r="AE83" s="250"/>
      <c r="AF83" s="250"/>
      <c r="AG83" s="250"/>
      <c r="AH83" s="250"/>
      <c r="AI83" s="250"/>
      <c r="AJ83" s="250"/>
      <c r="AK83" s="250"/>
    </row>
    <row r="84" spans="1:37" x14ac:dyDescent="0.25">
      <c r="A84" s="32">
        <v>8</v>
      </c>
      <c r="B84" s="32"/>
      <c r="C84" s="42" t="s">
        <v>167</v>
      </c>
      <c r="D84" s="675">
        <v>1989</v>
      </c>
      <c r="E84" s="681">
        <v>5</v>
      </c>
      <c r="F84" s="676">
        <v>76</v>
      </c>
      <c r="G84" s="905">
        <v>141</v>
      </c>
      <c r="H84" s="676">
        <v>3481.7</v>
      </c>
      <c r="I84" s="951"/>
      <c r="J84" s="951"/>
      <c r="K84" s="524"/>
      <c r="L84" s="524"/>
      <c r="M84" s="250"/>
      <c r="N84" s="250"/>
      <c r="O84" s="250"/>
      <c r="P84" s="250"/>
      <c r="Q84" s="250"/>
      <c r="R84" s="250"/>
      <c r="S84" s="1745"/>
      <c r="T84" s="129"/>
      <c r="U84" s="250"/>
      <c r="V84" s="250"/>
      <c r="W84" s="250"/>
      <c r="X84" s="250"/>
      <c r="Y84" s="250"/>
      <c r="Z84" s="250"/>
      <c r="AA84" s="250"/>
      <c r="AB84" s="250"/>
      <c r="AC84" s="250"/>
      <c r="AD84" s="250"/>
      <c r="AE84" s="250"/>
      <c r="AF84" s="250"/>
      <c r="AG84" s="250"/>
      <c r="AH84" s="250"/>
      <c r="AI84" s="250"/>
      <c r="AJ84" s="250"/>
      <c r="AK84" s="250"/>
    </row>
    <row r="85" spans="1:37" x14ac:dyDescent="0.25">
      <c r="A85" s="38"/>
      <c r="B85" s="38"/>
      <c r="C85" s="7" t="s">
        <v>52</v>
      </c>
      <c r="D85" s="894"/>
      <c r="E85" s="894"/>
      <c r="F85" s="1656">
        <f>SUM(F77:F84)</f>
        <v>555</v>
      </c>
      <c r="G85" s="1656">
        <f>SUM(G77:G84)</f>
        <v>1110</v>
      </c>
      <c r="H85" s="1656">
        <f>SUM(H77:H84)</f>
        <v>27394.27</v>
      </c>
      <c r="I85" s="955"/>
      <c r="J85" s="955"/>
      <c r="K85" s="535"/>
      <c r="L85" s="535"/>
      <c r="M85" s="250"/>
      <c r="N85" s="250"/>
      <c r="O85" s="250"/>
      <c r="P85" s="250"/>
      <c r="Q85" s="250"/>
      <c r="R85" s="250"/>
      <c r="S85" s="1745"/>
      <c r="T85" s="129"/>
      <c r="U85" s="250"/>
      <c r="V85" s="250"/>
      <c r="W85" s="250"/>
      <c r="X85" s="250"/>
      <c r="Y85" s="250"/>
      <c r="Z85" s="250"/>
      <c r="AA85" s="250"/>
      <c r="AB85" s="250"/>
      <c r="AC85" s="250"/>
      <c r="AD85" s="250"/>
      <c r="AE85" s="250"/>
      <c r="AF85" s="250"/>
      <c r="AG85" s="250"/>
      <c r="AH85" s="250"/>
      <c r="AI85" s="250"/>
      <c r="AJ85" s="250"/>
      <c r="AK85" s="250"/>
    </row>
    <row r="86" spans="1:37" x14ac:dyDescent="0.25">
      <c r="A86" s="15"/>
      <c r="B86" s="15"/>
      <c r="C86" s="564" t="s">
        <v>379</v>
      </c>
      <c r="D86" s="661"/>
      <c r="E86" s="661"/>
      <c r="F86" s="661"/>
      <c r="G86" s="661"/>
      <c r="H86" s="661"/>
      <c r="I86" s="956"/>
      <c r="J86" s="956"/>
      <c r="K86" s="520"/>
      <c r="L86" s="520"/>
      <c r="M86" s="250"/>
      <c r="N86" s="250"/>
      <c r="O86" s="250"/>
      <c r="P86" s="250"/>
      <c r="Q86" s="250"/>
      <c r="R86" s="250"/>
      <c r="S86" s="1745"/>
      <c r="T86" s="129"/>
      <c r="U86" s="250"/>
      <c r="V86" s="250"/>
      <c r="W86" s="250"/>
      <c r="X86" s="250"/>
      <c r="Y86" s="250"/>
      <c r="Z86" s="250"/>
      <c r="AA86" s="250"/>
      <c r="AB86" s="250"/>
      <c r="AC86" s="250"/>
      <c r="AD86" s="250"/>
      <c r="AE86" s="250"/>
      <c r="AF86" s="250"/>
      <c r="AG86" s="250"/>
      <c r="AH86" s="250"/>
      <c r="AI86" s="250"/>
      <c r="AJ86" s="250"/>
      <c r="AK86" s="250"/>
    </row>
    <row r="87" spans="1:37" ht="15" customHeight="1" x14ac:dyDescent="0.3">
      <c r="A87" s="176"/>
      <c r="B87" s="176"/>
      <c r="C87" s="507" t="s">
        <v>539</v>
      </c>
      <c r="D87" s="176"/>
      <c r="E87" s="176"/>
      <c r="F87" s="176"/>
      <c r="G87" s="176"/>
      <c r="H87" s="176"/>
      <c r="I87" s="176"/>
      <c r="J87" s="176"/>
      <c r="K87" s="519"/>
      <c r="L87" s="519"/>
      <c r="M87" s="250"/>
      <c r="N87" s="250"/>
      <c r="O87" s="250"/>
      <c r="P87" s="250"/>
      <c r="Q87" s="250"/>
      <c r="R87" s="250"/>
      <c r="S87" s="250"/>
      <c r="T87" s="250"/>
      <c r="U87" s="250"/>
      <c r="V87" s="250"/>
      <c r="W87" s="250"/>
      <c r="X87" s="250"/>
      <c r="Y87" s="250"/>
      <c r="Z87" s="250"/>
      <c r="AA87" s="250"/>
      <c r="AB87" s="250"/>
      <c r="AC87" s="250"/>
      <c r="AD87" s="250"/>
      <c r="AE87" s="250"/>
      <c r="AF87" s="250"/>
      <c r="AG87" s="250"/>
      <c r="AH87" s="250"/>
      <c r="AI87" s="250"/>
      <c r="AJ87" s="250"/>
      <c r="AK87" s="250"/>
    </row>
    <row r="88" spans="1:37" ht="15" customHeight="1" x14ac:dyDescent="0.3">
      <c r="A88" s="176"/>
      <c r="B88" s="176"/>
      <c r="C88" s="250"/>
      <c r="D88" s="250"/>
      <c r="E88" s="250"/>
      <c r="F88" s="250"/>
      <c r="G88" s="250"/>
      <c r="H88" s="250"/>
      <c r="I88" s="250"/>
      <c r="J88" s="250"/>
      <c r="K88" s="250"/>
      <c r="L88" s="250"/>
      <c r="M88" s="250"/>
      <c r="N88" s="250"/>
      <c r="O88" s="250"/>
      <c r="P88" s="250"/>
      <c r="Q88" s="250"/>
      <c r="R88" s="250"/>
      <c r="S88" s="250"/>
      <c r="T88" s="250"/>
      <c r="U88" s="250"/>
      <c r="V88" s="250"/>
      <c r="W88" s="250"/>
      <c r="X88" s="250"/>
      <c r="Y88" s="250"/>
      <c r="Z88" s="250"/>
      <c r="AA88" s="250"/>
      <c r="AB88" s="250"/>
      <c r="AC88" s="250"/>
      <c r="AD88" s="250"/>
      <c r="AE88" s="250"/>
      <c r="AF88" s="250"/>
      <c r="AG88" s="250"/>
      <c r="AH88" s="250"/>
      <c r="AI88" s="250"/>
      <c r="AJ88" s="250"/>
      <c r="AK88" s="250"/>
    </row>
    <row r="89" spans="1:37" ht="15" customHeight="1" x14ac:dyDescent="0.3">
      <c r="A89" s="176"/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563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76"/>
      <c r="AJ89" s="176"/>
      <c r="AK89" s="176"/>
    </row>
    <row r="90" spans="1:37" ht="15.75" customHeight="1" x14ac:dyDescent="0.3">
      <c r="A90" s="176"/>
      <c r="B90" s="176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</row>
    <row r="91" spans="1:37" ht="15" customHeight="1" x14ac:dyDescent="0.3">
      <c r="A91" s="176"/>
      <c r="B91" s="176"/>
      <c r="C91" s="1771" t="s">
        <v>693</v>
      </c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6"/>
      <c r="AI91" s="176"/>
      <c r="AJ91" s="176"/>
      <c r="AK91" s="176"/>
    </row>
    <row r="92" spans="1:37" ht="15" customHeight="1" x14ac:dyDescent="0.3">
      <c r="A92" s="176"/>
      <c r="B92" s="176"/>
      <c r="C92" s="42" t="s">
        <v>155</v>
      </c>
      <c r="D92" s="1769">
        <v>3928.89</v>
      </c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6"/>
      <c r="AH92" s="176"/>
      <c r="AI92" s="176"/>
      <c r="AJ92" s="176"/>
      <c r="AK92" s="176"/>
    </row>
    <row r="93" spans="1:37" ht="15" customHeight="1" x14ac:dyDescent="0.3">
      <c r="A93" s="176"/>
      <c r="B93" s="176"/>
      <c r="C93" s="42" t="s">
        <v>165</v>
      </c>
      <c r="D93" s="1770">
        <v>3454.59</v>
      </c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  <c r="AG93" s="176"/>
      <c r="AH93" s="176"/>
      <c r="AI93" s="176"/>
      <c r="AJ93" s="176"/>
      <c r="AK93" s="176"/>
    </row>
    <row r="94" spans="1:37" ht="15" customHeight="1" x14ac:dyDescent="0.3">
      <c r="A94" s="176"/>
      <c r="B94" s="176"/>
      <c r="C94" s="42" t="s">
        <v>166</v>
      </c>
      <c r="D94" s="1770">
        <v>6046.32</v>
      </c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76"/>
      <c r="AJ94" s="176"/>
      <c r="AK94" s="176"/>
    </row>
    <row r="95" spans="1:37" ht="15" customHeight="1" x14ac:dyDescent="0.3">
      <c r="A95" s="176"/>
      <c r="B95" s="176"/>
      <c r="C95" s="42" t="s">
        <v>167</v>
      </c>
      <c r="D95" s="1770">
        <v>3481.7</v>
      </c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6"/>
      <c r="AH95" s="176"/>
      <c r="AI95" s="176"/>
      <c r="AJ95" s="176"/>
      <c r="AK95" s="176"/>
    </row>
    <row r="96" spans="1:37" ht="15" customHeight="1" x14ac:dyDescent="0.3">
      <c r="A96" s="176"/>
      <c r="B96" s="176"/>
      <c r="C96" s="1450" t="s">
        <v>842</v>
      </c>
      <c r="D96" s="1462">
        <f>SUM(D92:D95)</f>
        <v>16911.5</v>
      </c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76"/>
      <c r="AH96" s="176"/>
      <c r="AI96" s="176"/>
      <c r="AJ96" s="176"/>
      <c r="AK96" s="176"/>
    </row>
    <row r="97" spans="1:37" ht="15" customHeight="1" x14ac:dyDescent="0.3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76"/>
      <c r="AJ97" s="176"/>
      <c r="AK97" s="176"/>
    </row>
    <row r="98" spans="1:37" ht="15" customHeight="1" x14ac:dyDescent="0.3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  <c r="AJ98" s="176"/>
      <c r="AK98" s="176"/>
    </row>
    <row r="99" spans="1:37" ht="15" customHeight="1" x14ac:dyDescent="0.3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76"/>
      <c r="AJ99" s="176"/>
      <c r="AK99" s="176"/>
    </row>
    <row r="100" spans="1:37" ht="15" customHeight="1" x14ac:dyDescent="0.3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76"/>
      <c r="AH100" s="176"/>
      <c r="AI100" s="176"/>
      <c r="AJ100" s="176"/>
      <c r="AK100" s="176"/>
    </row>
  </sheetData>
  <mergeCells count="85">
    <mergeCell ref="AN43:AN44"/>
    <mergeCell ref="AP43:AP44"/>
    <mergeCell ref="AO43:AO44"/>
    <mergeCell ref="AJ43:AJ44"/>
    <mergeCell ref="AH43:AH44"/>
    <mergeCell ref="AI43:AI44"/>
    <mergeCell ref="AK43:AK44"/>
    <mergeCell ref="AL43:AL44"/>
    <mergeCell ref="AM43:AM44"/>
    <mergeCell ref="D2:AC2"/>
    <mergeCell ref="D3:AC3"/>
    <mergeCell ref="A5:A6"/>
    <mergeCell ref="B5:B6"/>
    <mergeCell ref="C5:C6"/>
    <mergeCell ref="D5:D6"/>
    <mergeCell ref="E5:E6"/>
    <mergeCell ref="F5:F6"/>
    <mergeCell ref="G5:G6"/>
    <mergeCell ref="H5:H6"/>
    <mergeCell ref="S5:T5"/>
    <mergeCell ref="U5:V5"/>
    <mergeCell ref="W5:W6"/>
    <mergeCell ref="X5:X6"/>
    <mergeCell ref="Y5:Y6"/>
    <mergeCell ref="O5:P5"/>
    <mergeCell ref="F43:F44"/>
    <mergeCell ref="AF5:AF6"/>
    <mergeCell ref="AG5:AG6"/>
    <mergeCell ref="AH5:AH6"/>
    <mergeCell ref="AI5:AI6"/>
    <mergeCell ref="Z5:Z6"/>
    <mergeCell ref="AF43:AF44"/>
    <mergeCell ref="AC43:AC44"/>
    <mergeCell ref="AD43:AD44"/>
    <mergeCell ref="AE43:AE44"/>
    <mergeCell ref="AA5:AA6"/>
    <mergeCell ref="AB5:AB6"/>
    <mergeCell ref="AC5:AC6"/>
    <mergeCell ref="AD5:AD6"/>
    <mergeCell ref="AE5:AE6"/>
    <mergeCell ref="AG43:AG44"/>
    <mergeCell ref="A43:A44"/>
    <mergeCell ref="B43:B44"/>
    <mergeCell ref="C43:C44"/>
    <mergeCell ref="D43:D44"/>
    <mergeCell ref="E43:E44"/>
    <mergeCell ref="A75:A76"/>
    <mergeCell ref="B75:B76"/>
    <mergeCell ref="Z43:Z44"/>
    <mergeCell ref="AA43:AA44"/>
    <mergeCell ref="AB43:AB44"/>
    <mergeCell ref="G43:G44"/>
    <mergeCell ref="H43:H44"/>
    <mergeCell ref="S43:T43"/>
    <mergeCell ref="W43:W44"/>
    <mergeCell ref="X43:X44"/>
    <mergeCell ref="Y43:Y44"/>
    <mergeCell ref="C75:C76"/>
    <mergeCell ref="D75:D76"/>
    <mergeCell ref="E75:E76"/>
    <mergeCell ref="F75:F76"/>
    <mergeCell ref="G75:G76"/>
    <mergeCell ref="AL5:AL6"/>
    <mergeCell ref="AM5:AM6"/>
    <mergeCell ref="I5:J5"/>
    <mergeCell ref="M5:N5"/>
    <mergeCell ref="K5:L5"/>
    <mergeCell ref="Q5:R5"/>
    <mergeCell ref="AK5:AK6"/>
    <mergeCell ref="H75:H76"/>
    <mergeCell ref="K75:L75"/>
    <mergeCell ref="AX5:AX6"/>
    <mergeCell ref="AY5:AY6"/>
    <mergeCell ref="AZ5:AZ6"/>
    <mergeCell ref="AJ5:AJ6"/>
    <mergeCell ref="AS5:AS6"/>
    <mergeCell ref="AT5:AT6"/>
    <mergeCell ref="AU5:AU6"/>
    <mergeCell ref="AV5:AV6"/>
    <mergeCell ref="AW5:AW6"/>
    <mergeCell ref="AN5:AN6"/>
    <mergeCell ref="AO5:AO6"/>
    <mergeCell ref="AP5:AP6"/>
    <mergeCell ref="AQ5:AQ6"/>
    <mergeCell ref="AR5:AR6"/>
  </mergeCells>
  <pageMargins left="0.17" right="0.17" top="0.31" bottom="0.16" header="0.31496062992125984" footer="0.16"/>
  <pageSetup paperSize="9" orientation="landscape" verticalDpi="0" r:id="rId1"/>
  <ignoredErrors>
    <ignoredError sqref="U34:V34" formula="1"/>
  </ignoredError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1"/>
  <sheetViews>
    <sheetView topLeftCell="A13" workbookViewId="0">
      <selection activeCell="A32" sqref="A32:AM35"/>
    </sheetView>
  </sheetViews>
  <sheetFormatPr defaultRowHeight="15" x14ac:dyDescent="0.25"/>
  <cols>
    <col min="1" max="1" width="3.7109375" customWidth="1"/>
    <col min="2" max="2" width="19.28515625" customWidth="1"/>
    <col min="3" max="3" width="9.28515625" hidden="1" customWidth="1"/>
    <col min="4" max="4" width="8" hidden="1" customWidth="1"/>
    <col min="5" max="5" width="8.5703125" hidden="1" customWidth="1"/>
    <col min="6" max="6" width="7.85546875" hidden="1" customWidth="1"/>
    <col min="7" max="7" width="9.5703125" hidden="1" customWidth="1"/>
    <col min="8" max="8" width="11.28515625" hidden="1" customWidth="1"/>
    <col min="9" max="9" width="11" hidden="1" customWidth="1"/>
    <col min="10" max="10" width="10.28515625" hidden="1" customWidth="1"/>
    <col min="11" max="11" width="10.42578125" hidden="1" customWidth="1"/>
    <col min="12" max="12" width="11.42578125" hidden="1" customWidth="1"/>
    <col min="13" max="13" width="12.85546875" hidden="1" customWidth="1"/>
    <col min="14" max="14" width="11.28515625" hidden="1" customWidth="1"/>
    <col min="15" max="15" width="11.140625" hidden="1" customWidth="1"/>
    <col min="16" max="16" width="10.28515625" hidden="1" customWidth="1"/>
    <col min="17" max="17" width="11.5703125" hidden="1" customWidth="1"/>
    <col min="18" max="18" width="11.7109375" customWidth="1"/>
    <col min="19" max="19" width="11.28515625" customWidth="1"/>
    <col min="20" max="20" width="11" customWidth="1"/>
    <col min="21" max="21" width="13" customWidth="1"/>
    <col min="22" max="22" width="9.140625" customWidth="1"/>
    <col min="23" max="23" width="11.7109375" customWidth="1"/>
    <col min="24" max="24" width="9.140625" customWidth="1"/>
    <col min="25" max="25" width="10.140625" hidden="1" customWidth="1"/>
    <col min="26" max="26" width="10.28515625" hidden="1" customWidth="1"/>
    <col min="27" max="27" width="10.85546875" hidden="1" customWidth="1"/>
    <col min="28" max="28" width="10.7109375" hidden="1" customWidth="1"/>
    <col min="29" max="29" width="11" customWidth="1"/>
    <col min="30" max="30" width="10.7109375" hidden="1" customWidth="1"/>
    <col min="31" max="31" width="11.28515625" customWidth="1"/>
    <col min="32" max="32" width="8.85546875" hidden="1" customWidth="1"/>
    <col min="33" max="33" width="9.42578125" hidden="1" customWidth="1"/>
    <col min="34" max="34" width="10.28515625" hidden="1" customWidth="1"/>
    <col min="35" max="35" width="11.42578125" hidden="1" customWidth="1"/>
    <col min="36" max="36" width="12.140625" customWidth="1"/>
    <col min="37" max="37" width="10.5703125" customWidth="1"/>
    <col min="38" max="38" width="11.5703125" customWidth="1"/>
    <col min="39" max="39" width="10.7109375" customWidth="1"/>
  </cols>
  <sheetData>
    <row r="1" spans="1:39" ht="15" customHeight="1" x14ac:dyDescent="0.25">
      <c r="A1" s="378"/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  <c r="AB1" s="378"/>
      <c r="AC1" s="378"/>
      <c r="AD1" s="378"/>
      <c r="AE1" s="378"/>
      <c r="AF1" s="378"/>
      <c r="AG1" s="378"/>
      <c r="AH1" s="378"/>
      <c r="AI1" s="378"/>
      <c r="AJ1" s="378"/>
      <c r="AK1" s="378"/>
    </row>
    <row r="2" spans="1:39" ht="15" customHeight="1" x14ac:dyDescent="0.2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W2" s="378"/>
      <c r="X2" s="378"/>
      <c r="Y2" s="378"/>
      <c r="Z2" s="378"/>
      <c r="AA2" s="378"/>
      <c r="AB2" s="378"/>
      <c r="AC2" s="378"/>
      <c r="AD2" s="378"/>
      <c r="AE2" s="378"/>
      <c r="AF2" s="378"/>
      <c r="AG2" s="378"/>
      <c r="AH2" s="378"/>
      <c r="AI2" s="378"/>
      <c r="AJ2" s="378"/>
      <c r="AK2" s="378"/>
    </row>
    <row r="3" spans="1:39" ht="15" customHeight="1" x14ac:dyDescent="0.25">
      <c r="A3" s="378"/>
      <c r="B3" s="378"/>
      <c r="C3" s="378"/>
      <c r="D3" s="378"/>
      <c r="E3" s="378"/>
      <c r="F3" s="378"/>
      <c r="G3" s="378"/>
      <c r="H3" s="378" t="s">
        <v>291</v>
      </c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378"/>
      <c r="X3" s="378"/>
      <c r="Y3" s="378"/>
      <c r="Z3" s="378"/>
      <c r="AA3" s="378"/>
      <c r="AB3" s="378"/>
      <c r="AC3" s="378"/>
      <c r="AD3" s="378"/>
      <c r="AE3" s="378"/>
      <c r="AF3" s="378"/>
      <c r="AG3" s="378"/>
      <c r="AH3" s="378"/>
      <c r="AI3" s="378"/>
      <c r="AJ3" s="378"/>
      <c r="AK3" s="378"/>
    </row>
    <row r="4" spans="1:39" ht="15.75" customHeight="1" x14ac:dyDescent="0.25">
      <c r="A4" s="378"/>
      <c r="B4" s="378"/>
      <c r="C4" s="378"/>
      <c r="D4" s="378"/>
      <c r="E4" s="378"/>
      <c r="F4" s="378"/>
      <c r="G4" s="378"/>
      <c r="H4" s="378"/>
      <c r="I4" s="378" t="s">
        <v>627</v>
      </c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8"/>
      <c r="W4" s="378"/>
      <c r="X4" s="378"/>
      <c r="Y4" s="378"/>
      <c r="Z4" s="378"/>
      <c r="AA4" s="378"/>
      <c r="AB4" s="378"/>
      <c r="AC4" s="378"/>
      <c r="AD4" s="378"/>
      <c r="AE4" s="378"/>
      <c r="AF4" s="378"/>
      <c r="AG4" s="378"/>
      <c r="AH4" s="378"/>
      <c r="AI4" s="378"/>
      <c r="AJ4" s="378"/>
      <c r="AK4" s="378"/>
    </row>
    <row r="5" spans="1:39" ht="15.75" customHeight="1" x14ac:dyDescent="0.25">
      <c r="A5" s="378"/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</row>
    <row r="6" spans="1:39" ht="15" customHeight="1" x14ac:dyDescent="0.25">
      <c r="A6" s="378"/>
      <c r="B6" s="378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378"/>
      <c r="X6" s="378"/>
      <c r="Y6" s="378"/>
      <c r="Z6" s="378"/>
      <c r="AA6" s="378"/>
      <c r="AB6" s="378"/>
      <c r="AC6" s="378"/>
      <c r="AD6" s="378"/>
      <c r="AE6" s="378"/>
      <c r="AF6" s="378"/>
      <c r="AG6" s="378"/>
      <c r="AH6" s="378"/>
      <c r="AI6" s="378"/>
      <c r="AJ6" s="378"/>
      <c r="AK6" s="378"/>
    </row>
    <row r="7" spans="1:39" ht="22.5" customHeight="1" x14ac:dyDescent="0.25">
      <c r="A7" s="2112" t="s">
        <v>0</v>
      </c>
      <c r="B7" s="2112" t="s">
        <v>1</v>
      </c>
      <c r="C7" s="2112" t="s">
        <v>2</v>
      </c>
      <c r="D7" s="2130" t="s">
        <v>3</v>
      </c>
      <c r="E7" s="2112" t="s">
        <v>4</v>
      </c>
      <c r="F7" s="2112" t="s">
        <v>5</v>
      </c>
      <c r="G7" s="2130" t="s">
        <v>293</v>
      </c>
      <c r="H7" s="2126" t="s">
        <v>325</v>
      </c>
      <c r="I7" s="2127"/>
      <c r="J7" s="2126" t="s">
        <v>290</v>
      </c>
      <c r="K7" s="2127"/>
      <c r="L7" s="2126" t="s">
        <v>284</v>
      </c>
      <c r="M7" s="2127"/>
      <c r="N7" s="2126" t="s">
        <v>287</v>
      </c>
      <c r="O7" s="2127"/>
      <c r="P7" s="2128" t="s">
        <v>292</v>
      </c>
      <c r="Q7" s="2128" t="s">
        <v>295</v>
      </c>
      <c r="R7" s="2128" t="s">
        <v>294</v>
      </c>
      <c r="S7" s="2113" t="s">
        <v>181</v>
      </c>
      <c r="T7" s="2123" t="s">
        <v>7</v>
      </c>
      <c r="U7" s="2113" t="s">
        <v>8</v>
      </c>
      <c r="V7" s="2125" t="s">
        <v>177</v>
      </c>
      <c r="W7" s="2119" t="s">
        <v>9</v>
      </c>
      <c r="X7" s="2119" t="s">
        <v>10</v>
      </c>
      <c r="Y7" s="2119" t="s">
        <v>173</v>
      </c>
      <c r="Z7" s="2119" t="s">
        <v>172</v>
      </c>
      <c r="AA7" s="2119" t="s">
        <v>11</v>
      </c>
      <c r="AB7" s="2121" t="s">
        <v>12</v>
      </c>
      <c r="AC7" s="2115" t="s">
        <v>13</v>
      </c>
      <c r="AD7" s="2113" t="s">
        <v>554</v>
      </c>
      <c r="AE7" s="2115" t="s">
        <v>175</v>
      </c>
      <c r="AF7" s="2115" t="s">
        <v>315</v>
      </c>
      <c r="AG7" s="2117" t="s">
        <v>182</v>
      </c>
      <c r="AH7" s="2110" t="s">
        <v>434</v>
      </c>
      <c r="AI7" s="2110" t="s">
        <v>435</v>
      </c>
      <c r="AJ7" s="2110" t="s">
        <v>436</v>
      </c>
      <c r="AK7" s="2010" t="s">
        <v>566</v>
      </c>
    </row>
    <row r="8" spans="1:39" ht="42" customHeight="1" x14ac:dyDescent="0.25">
      <c r="A8" s="2112"/>
      <c r="B8" s="2112"/>
      <c r="C8" s="2112"/>
      <c r="D8" s="2131"/>
      <c r="E8" s="2112"/>
      <c r="F8" s="2112"/>
      <c r="G8" s="2131"/>
      <c r="H8" s="170" t="s">
        <v>15</v>
      </c>
      <c r="I8" s="1203" t="s">
        <v>16</v>
      </c>
      <c r="J8" s="172" t="s">
        <v>15</v>
      </c>
      <c r="K8" s="173" t="s">
        <v>286</v>
      </c>
      <c r="L8" s="172" t="s">
        <v>15</v>
      </c>
      <c r="M8" s="173" t="s">
        <v>16</v>
      </c>
      <c r="N8" s="172" t="s">
        <v>15</v>
      </c>
      <c r="O8" s="173" t="s">
        <v>16</v>
      </c>
      <c r="P8" s="2129"/>
      <c r="Q8" s="2129"/>
      <c r="R8" s="2129"/>
      <c r="S8" s="2124"/>
      <c r="T8" s="2123"/>
      <c r="U8" s="2124"/>
      <c r="V8" s="2125"/>
      <c r="W8" s="2120"/>
      <c r="X8" s="2114"/>
      <c r="Y8" s="2120"/>
      <c r="Z8" s="2120"/>
      <c r="AA8" s="2120"/>
      <c r="AB8" s="2122"/>
      <c r="AC8" s="2116"/>
      <c r="AD8" s="2114"/>
      <c r="AE8" s="2116"/>
      <c r="AF8" s="2116"/>
      <c r="AG8" s="2118"/>
      <c r="AH8" s="2111"/>
      <c r="AI8" s="2111"/>
      <c r="AJ8" s="2111"/>
      <c r="AK8" s="2011"/>
    </row>
    <row r="9" spans="1:39" x14ac:dyDescent="0.25">
      <c r="A9" s="174">
        <v>6</v>
      </c>
      <c r="B9" s="377" t="s">
        <v>179</v>
      </c>
      <c r="C9" s="858">
        <v>1977</v>
      </c>
      <c r="D9" s="858">
        <v>3</v>
      </c>
      <c r="E9" s="859">
        <v>36</v>
      </c>
      <c r="F9" s="860">
        <v>7</v>
      </c>
      <c r="G9" s="861">
        <v>320.55</v>
      </c>
      <c r="H9" s="862">
        <v>7620.72</v>
      </c>
      <c r="I9" s="861">
        <v>4426.88</v>
      </c>
      <c r="J9" s="861">
        <v>2490.42</v>
      </c>
      <c r="K9" s="861">
        <v>1446.66</v>
      </c>
      <c r="L9" s="861">
        <v>3393</v>
      </c>
      <c r="M9" s="861">
        <v>1970.99</v>
      </c>
      <c r="N9" s="861">
        <f>H9+J9+L9</f>
        <v>13504.14</v>
      </c>
      <c r="O9" s="861">
        <f>I9+K9+M9</f>
        <v>7844.53</v>
      </c>
      <c r="P9" s="861"/>
      <c r="Q9" s="861">
        <f>N9+P9</f>
        <v>13504.14</v>
      </c>
      <c r="R9" s="861">
        <f>O9+P9</f>
        <v>7844.53</v>
      </c>
      <c r="S9" s="862">
        <f>T9+U9+V9+W9+X9+Y9+Z9+AA9+AB9+AC9+AD9</f>
        <v>307927.65071999998</v>
      </c>
      <c r="T9" s="863">
        <v>1654.3</v>
      </c>
      <c r="U9" s="864"/>
      <c r="V9" s="861"/>
      <c r="W9" s="862"/>
      <c r="X9" s="864"/>
      <c r="Y9" s="861"/>
      <c r="Z9" s="862"/>
      <c r="AA9" s="862">
        <v>12649.56</v>
      </c>
      <c r="AB9" s="862"/>
      <c r="AC9" s="865">
        <v>244279.36</v>
      </c>
      <c r="AD9" s="865">
        <f>AC9*0.202</f>
        <v>49344.430720000004</v>
      </c>
      <c r="AE9" s="838">
        <f>Q9-S9</f>
        <v>-294423.51071999996</v>
      </c>
      <c r="AF9" s="838">
        <f>R9/Q9*100</f>
        <v>58.089815419567628</v>
      </c>
      <c r="AG9" s="838">
        <f>S9/G9/6</f>
        <v>160.10380633286536</v>
      </c>
      <c r="AH9" s="838">
        <v>11.23</v>
      </c>
      <c r="AI9" s="647">
        <v>5</v>
      </c>
      <c r="AJ9" s="647">
        <v>3.67</v>
      </c>
      <c r="AK9" s="647">
        <f>N9-O9</f>
        <v>5659.61</v>
      </c>
    </row>
    <row r="10" spans="1:39" x14ac:dyDescent="0.25">
      <c r="A10" s="169"/>
      <c r="B10" s="169"/>
      <c r="C10" s="169"/>
      <c r="D10" s="169"/>
      <c r="E10" s="169"/>
      <c r="F10" s="169"/>
      <c r="G10" s="169"/>
      <c r="H10" s="169" t="s">
        <v>180</v>
      </c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75"/>
      <c r="AD10" s="169"/>
      <c r="AE10" s="169"/>
      <c r="AF10" s="169"/>
      <c r="AG10" s="169"/>
      <c r="AH10" s="169"/>
    </row>
    <row r="11" spans="1:39" x14ac:dyDescent="0.25"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1216">
        <f>AC9+AD9</f>
        <v>293623.79071999999</v>
      </c>
      <c r="AD11" s="34"/>
      <c r="AE11" s="34"/>
    </row>
    <row r="12" spans="1:39" ht="15" customHeight="1" x14ac:dyDescent="0.3">
      <c r="A12" s="164"/>
      <c r="B12" s="164"/>
      <c r="C12" s="164"/>
      <c r="D12" s="164"/>
      <c r="E12" s="164"/>
      <c r="F12" s="164"/>
      <c r="G12" s="596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</row>
    <row r="13" spans="1:39" ht="15" customHeight="1" x14ac:dyDescent="0.3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</row>
    <row r="14" spans="1:39" ht="15" customHeight="1" x14ac:dyDescent="0.3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</row>
    <row r="15" spans="1:39" ht="15" customHeight="1" x14ac:dyDescent="0.25">
      <c r="A15" s="378"/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 t="s">
        <v>291</v>
      </c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</row>
    <row r="16" spans="1:39" ht="18.75" customHeight="1" x14ac:dyDescent="0.25">
      <c r="A16" s="378"/>
      <c r="B16" s="378"/>
      <c r="C16" s="378"/>
      <c r="D16" s="378"/>
      <c r="E16" s="378"/>
      <c r="F16" s="378"/>
      <c r="G16" s="378"/>
      <c r="H16" s="378"/>
      <c r="I16" s="378"/>
      <c r="J16" s="378"/>
      <c r="K16" s="378"/>
      <c r="L16" s="378"/>
      <c r="M16" s="378" t="s">
        <v>662</v>
      </c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</row>
    <row r="17" spans="1:42" ht="15.75" customHeight="1" x14ac:dyDescent="0.25">
      <c r="A17" s="378"/>
      <c r="B17" s="378"/>
      <c r="C17" s="378"/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</row>
    <row r="18" spans="1:42" ht="15.75" customHeight="1" x14ac:dyDescent="0.25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</row>
    <row r="19" spans="1:42" ht="52.5" customHeight="1" x14ac:dyDescent="0.25">
      <c r="A19" s="2112" t="s">
        <v>0</v>
      </c>
      <c r="B19" s="1619" t="s">
        <v>1</v>
      </c>
      <c r="C19" s="2113" t="s">
        <v>2</v>
      </c>
      <c r="D19" s="2113" t="s">
        <v>3</v>
      </c>
      <c r="E19" s="2113" t="s">
        <v>4</v>
      </c>
      <c r="F19" s="2113" t="s">
        <v>5</v>
      </c>
      <c r="G19" s="2113" t="s">
        <v>293</v>
      </c>
      <c r="H19" s="2156" t="s">
        <v>663</v>
      </c>
      <c r="I19" s="2157"/>
      <c r="J19" s="2156" t="s">
        <v>656</v>
      </c>
      <c r="K19" s="2157"/>
      <c r="L19" s="2126" t="s">
        <v>664</v>
      </c>
      <c r="M19" s="2127"/>
      <c r="N19" s="2126" t="s">
        <v>290</v>
      </c>
      <c r="O19" s="2127"/>
      <c r="P19" s="2126" t="s">
        <v>284</v>
      </c>
      <c r="Q19" s="2127"/>
      <c r="R19" s="2126" t="s">
        <v>287</v>
      </c>
      <c r="S19" s="2127"/>
      <c r="T19" s="2128" t="s">
        <v>292</v>
      </c>
      <c r="U19" s="2128" t="s">
        <v>295</v>
      </c>
      <c r="V19" s="2128" t="s">
        <v>294</v>
      </c>
      <c r="W19" s="2113" t="s">
        <v>181</v>
      </c>
      <c r="X19" s="2113" t="s">
        <v>7</v>
      </c>
      <c r="Y19" s="2113" t="s">
        <v>8</v>
      </c>
      <c r="Z19" s="2119" t="s">
        <v>177</v>
      </c>
      <c r="AA19" s="2119" t="s">
        <v>9</v>
      </c>
      <c r="AB19" s="2119" t="s">
        <v>10</v>
      </c>
      <c r="AC19" s="2119" t="s">
        <v>11</v>
      </c>
      <c r="AD19" s="2119" t="s">
        <v>12</v>
      </c>
      <c r="AE19" s="2113" t="s">
        <v>13</v>
      </c>
      <c r="AF19" s="2113" t="s">
        <v>554</v>
      </c>
      <c r="AG19" s="2113" t="s">
        <v>175</v>
      </c>
      <c r="AH19" s="2113" t="s">
        <v>315</v>
      </c>
      <c r="AI19" s="2117" t="s">
        <v>182</v>
      </c>
      <c r="AJ19" s="2110" t="s">
        <v>434</v>
      </c>
      <c r="AK19" s="2110" t="s">
        <v>435</v>
      </c>
      <c r="AL19" s="2110" t="s">
        <v>436</v>
      </c>
      <c r="AM19" s="2010" t="s">
        <v>566</v>
      </c>
    </row>
    <row r="20" spans="1:42" ht="30.75" customHeight="1" x14ac:dyDescent="0.25">
      <c r="A20" s="2112"/>
      <c r="B20" s="1619"/>
      <c r="C20" s="2124"/>
      <c r="D20" s="2124"/>
      <c r="E20" s="2124"/>
      <c r="F20" s="2124"/>
      <c r="G20" s="2124"/>
      <c r="H20" s="1326" t="s">
        <v>15</v>
      </c>
      <c r="I20" s="1327" t="s">
        <v>16</v>
      </c>
      <c r="J20" s="1326" t="s">
        <v>15</v>
      </c>
      <c r="K20" s="1327" t="s">
        <v>16</v>
      </c>
      <c r="L20" s="1326" t="s">
        <v>15</v>
      </c>
      <c r="M20" s="1327" t="s">
        <v>16</v>
      </c>
      <c r="N20" s="172" t="s">
        <v>15</v>
      </c>
      <c r="O20" s="173" t="s">
        <v>286</v>
      </c>
      <c r="P20" s="172" t="s">
        <v>15</v>
      </c>
      <c r="Q20" s="173" t="s">
        <v>16</v>
      </c>
      <c r="R20" s="172" t="s">
        <v>15</v>
      </c>
      <c r="S20" s="173" t="s">
        <v>16</v>
      </c>
      <c r="T20" s="2129"/>
      <c r="U20" s="2129"/>
      <c r="V20" s="2129"/>
      <c r="W20" s="2124"/>
      <c r="X20" s="2124"/>
      <c r="Y20" s="2124"/>
      <c r="Z20" s="2120"/>
      <c r="AA20" s="2120"/>
      <c r="AB20" s="2120"/>
      <c r="AC20" s="2120"/>
      <c r="AD20" s="2120"/>
      <c r="AE20" s="2124"/>
      <c r="AF20" s="2124"/>
      <c r="AG20" s="2124"/>
      <c r="AH20" s="2124"/>
      <c r="AI20" s="2118"/>
      <c r="AJ20" s="2111"/>
      <c r="AK20" s="2111"/>
      <c r="AL20" s="2111"/>
      <c r="AM20" s="2011"/>
    </row>
    <row r="21" spans="1:42" ht="15" customHeight="1" x14ac:dyDescent="0.25">
      <c r="A21" s="174">
        <v>6</v>
      </c>
      <c r="B21" s="377" t="s">
        <v>179</v>
      </c>
      <c r="C21" s="858">
        <v>1977</v>
      </c>
      <c r="D21" s="858">
        <v>3</v>
      </c>
      <c r="E21" s="859">
        <v>36</v>
      </c>
      <c r="F21" s="860">
        <v>7</v>
      </c>
      <c r="G21" s="861">
        <v>320.55</v>
      </c>
      <c r="H21" s="861">
        <v>1207.98</v>
      </c>
      <c r="I21" s="861">
        <v>883.21</v>
      </c>
      <c r="J21" s="861">
        <v>109.56</v>
      </c>
      <c r="K21" s="861">
        <v>81.59</v>
      </c>
      <c r="L21" s="862">
        <v>11902.74</v>
      </c>
      <c r="M21" s="861">
        <v>6846.84</v>
      </c>
      <c r="N21" s="861">
        <v>2512.44</v>
      </c>
      <c r="O21" s="861">
        <v>1870.59</v>
      </c>
      <c r="P21" s="861">
        <v>5299.5</v>
      </c>
      <c r="Q21" s="861">
        <v>3048.44</v>
      </c>
      <c r="R21" s="861">
        <f>H21+J21+L21+N21+P21</f>
        <v>21032.22</v>
      </c>
      <c r="S21" s="861">
        <f>I21+K21+M21+O21+Q21</f>
        <v>12730.67</v>
      </c>
      <c r="T21" s="861">
        <v>419127.8</v>
      </c>
      <c r="U21" s="861">
        <f>R21+T21</f>
        <v>440160.02</v>
      </c>
      <c r="V21" s="861">
        <f>S21</f>
        <v>12730.67</v>
      </c>
      <c r="W21" s="862">
        <f>X21+Y21+Z21+AA21+AB21+AC21+AD21+AE21+AF21</f>
        <v>481278.77426000003</v>
      </c>
      <c r="X21" s="863">
        <v>1779.47</v>
      </c>
      <c r="Y21" s="864"/>
      <c r="Z21" s="861"/>
      <c r="AA21" s="862"/>
      <c r="AB21" s="864"/>
      <c r="AC21" s="862">
        <v>12649.56</v>
      </c>
      <c r="AD21" s="862"/>
      <c r="AE21" s="865">
        <v>388394.13</v>
      </c>
      <c r="AF21" s="865">
        <f>AE21*0.202</f>
        <v>78455.614260000002</v>
      </c>
      <c r="AG21" s="838">
        <f>U21-W21</f>
        <v>-41118.754260000016</v>
      </c>
      <c r="AH21" s="838">
        <f>V21/U21*100</f>
        <v>2.8922822204524619</v>
      </c>
      <c r="AI21" s="838">
        <f>W21/302.55/9</f>
        <v>176.74903110964212</v>
      </c>
      <c r="AJ21" s="838">
        <v>11.23</v>
      </c>
      <c r="AK21" s="647">
        <v>5</v>
      </c>
      <c r="AL21" s="647">
        <v>3.67</v>
      </c>
      <c r="AM21" s="647">
        <f>U21-V21</f>
        <v>427429.35000000003</v>
      </c>
    </row>
    <row r="22" spans="1:42" ht="15" customHeight="1" x14ac:dyDescent="0.3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330"/>
      <c r="S22" s="1330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</row>
    <row r="23" spans="1:42" ht="15" customHeight="1" x14ac:dyDescent="0.25"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E23" s="1484">
        <f>AE21+AF21</f>
        <v>466849.74426000001</v>
      </c>
    </row>
    <row r="24" spans="1:42" ht="15" customHeight="1" x14ac:dyDescent="0.3">
      <c r="A24" s="164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</row>
    <row r="25" spans="1:42" ht="15" customHeight="1" x14ac:dyDescent="0.3">
      <c r="A25" s="164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</row>
    <row r="26" spans="1:42" ht="15" customHeight="1" x14ac:dyDescent="0.3">
      <c r="A26" s="164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</row>
    <row r="27" spans="1:42" ht="15" customHeight="1" x14ac:dyDescent="0.3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</row>
    <row r="28" spans="1:42" ht="15" customHeight="1" x14ac:dyDescent="0.3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</row>
    <row r="29" spans="1:42" ht="15" customHeight="1" x14ac:dyDescent="0.25">
      <c r="A29" s="378"/>
      <c r="B29" s="378"/>
      <c r="C29" s="378"/>
      <c r="D29" s="378"/>
      <c r="E29" s="378"/>
      <c r="F29" s="378"/>
      <c r="G29" s="378"/>
      <c r="H29" s="378"/>
      <c r="I29" s="378"/>
      <c r="J29" s="378"/>
      <c r="K29" s="378"/>
      <c r="L29" s="378" t="s">
        <v>291</v>
      </c>
      <c r="M29" s="378"/>
      <c r="N29" s="378"/>
      <c r="O29" s="378"/>
      <c r="P29" s="378"/>
      <c r="Q29" s="378"/>
      <c r="R29" s="378"/>
      <c r="S29" s="378"/>
      <c r="T29" s="378"/>
      <c r="U29" s="378"/>
      <c r="V29" s="378"/>
      <c r="W29" s="378"/>
      <c r="X29" s="378"/>
      <c r="Y29" s="378"/>
      <c r="Z29" s="378"/>
      <c r="AA29" s="378"/>
      <c r="AB29" s="378"/>
      <c r="AC29" s="378"/>
      <c r="AD29" s="378"/>
      <c r="AE29" s="378"/>
      <c r="AF29" s="378"/>
      <c r="AG29" s="378"/>
      <c r="AH29" s="378"/>
      <c r="AI29" s="378"/>
      <c r="AJ29" s="378"/>
      <c r="AK29" s="378"/>
      <c r="AL29" s="378"/>
      <c r="AM29" s="378"/>
    </row>
    <row r="30" spans="1:42" ht="15" customHeight="1" x14ac:dyDescent="0.25">
      <c r="A30" s="378"/>
      <c r="B30" s="378"/>
      <c r="C30" s="378"/>
      <c r="D30" s="378"/>
      <c r="E30" s="378"/>
      <c r="F30" s="378"/>
      <c r="G30" s="378"/>
      <c r="H30" s="378"/>
      <c r="I30" s="378"/>
      <c r="J30" s="378"/>
      <c r="K30" s="378"/>
      <c r="L30" s="378"/>
      <c r="M30" s="378" t="s">
        <v>786</v>
      </c>
      <c r="N30" s="378"/>
      <c r="O30" s="378"/>
      <c r="P30" s="378"/>
      <c r="Q30" s="378"/>
      <c r="R30" s="378"/>
      <c r="S30" s="378"/>
      <c r="T30" s="378"/>
      <c r="U30" s="378"/>
      <c r="V30" s="378"/>
      <c r="W30" s="378"/>
      <c r="X30" s="378"/>
      <c r="Y30" s="378"/>
      <c r="Z30" s="378"/>
      <c r="AA30" s="378"/>
      <c r="AB30" s="378"/>
      <c r="AC30" s="378"/>
      <c r="AD30" s="378"/>
      <c r="AE30" s="378"/>
      <c r="AF30" s="378"/>
      <c r="AG30" s="378"/>
      <c r="AH30" s="378"/>
      <c r="AI30" s="378"/>
      <c r="AJ30" s="378"/>
      <c r="AK30" s="378"/>
      <c r="AL30" s="378"/>
      <c r="AM30" s="378"/>
      <c r="AN30" s="1638"/>
      <c r="AO30" s="1638"/>
      <c r="AP30" s="1638"/>
    </row>
    <row r="31" spans="1:42" ht="15" customHeight="1" x14ac:dyDescent="0.25">
      <c r="A31" s="378"/>
      <c r="B31" s="378"/>
      <c r="C31" s="378"/>
      <c r="D31" s="378"/>
      <c r="E31" s="378"/>
      <c r="F31" s="378"/>
      <c r="G31" s="378"/>
      <c r="H31" s="378"/>
      <c r="I31" s="378"/>
      <c r="J31" s="378"/>
      <c r="K31" s="378"/>
      <c r="L31" s="378"/>
      <c r="M31" s="378"/>
      <c r="N31" s="378"/>
      <c r="O31" s="378"/>
      <c r="P31" s="378"/>
      <c r="Q31" s="378"/>
      <c r="R31" s="378"/>
      <c r="S31" s="378"/>
      <c r="T31" s="378"/>
      <c r="U31" s="378"/>
      <c r="V31" s="378"/>
      <c r="W31" s="378"/>
      <c r="X31" s="378"/>
      <c r="Y31" s="378"/>
      <c r="Z31" s="378"/>
      <c r="AA31" s="378"/>
      <c r="AB31" s="378"/>
      <c r="AC31" s="378"/>
      <c r="AD31" s="378"/>
      <c r="AE31" s="378"/>
      <c r="AF31" s="378"/>
      <c r="AG31" s="378"/>
      <c r="AH31" s="378"/>
      <c r="AI31" s="378"/>
      <c r="AJ31" s="378"/>
      <c r="AK31" s="378"/>
      <c r="AL31" s="378"/>
      <c r="AM31" s="378"/>
      <c r="AN31" s="1638"/>
      <c r="AO31" s="1638"/>
      <c r="AP31" s="1638"/>
    </row>
    <row r="32" spans="1:42" ht="15" customHeight="1" x14ac:dyDescent="0.25">
      <c r="A32" s="378"/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  <c r="N32" s="378"/>
      <c r="O32" s="378"/>
      <c r="P32" s="378"/>
      <c r="Q32" s="378"/>
      <c r="R32" s="378"/>
      <c r="S32" s="378"/>
      <c r="T32" s="378"/>
      <c r="U32" s="378"/>
      <c r="V32" s="378"/>
      <c r="W32" s="378"/>
      <c r="X32" s="378"/>
      <c r="Y32" s="378"/>
      <c r="Z32" s="378"/>
      <c r="AA32" s="378"/>
      <c r="AB32" s="378"/>
      <c r="AC32" s="378"/>
      <c r="AD32" s="378"/>
      <c r="AE32" s="378"/>
      <c r="AF32" s="378"/>
      <c r="AG32" s="378"/>
      <c r="AH32" s="378"/>
      <c r="AI32" s="378"/>
      <c r="AJ32" s="378"/>
      <c r="AK32" s="378"/>
      <c r="AL32" s="378"/>
      <c r="AM32" s="378"/>
      <c r="AN32" s="1638"/>
      <c r="AO32" s="1638"/>
      <c r="AP32" s="1638"/>
    </row>
    <row r="33" spans="1:42" ht="36.75" customHeight="1" x14ac:dyDescent="0.25">
      <c r="A33" s="2112" t="s">
        <v>0</v>
      </c>
      <c r="B33" s="1619" t="s">
        <v>1</v>
      </c>
      <c r="C33" s="2113" t="s">
        <v>2</v>
      </c>
      <c r="D33" s="2113" t="s">
        <v>3</v>
      </c>
      <c r="E33" s="2113" t="s">
        <v>4</v>
      </c>
      <c r="F33" s="2113" t="s">
        <v>5</v>
      </c>
      <c r="G33" s="2113" t="s">
        <v>293</v>
      </c>
      <c r="H33" s="2156" t="s">
        <v>663</v>
      </c>
      <c r="I33" s="2157"/>
      <c r="J33" s="2156" t="s">
        <v>656</v>
      </c>
      <c r="K33" s="2157"/>
      <c r="L33" s="2126" t="s">
        <v>664</v>
      </c>
      <c r="M33" s="2127"/>
      <c r="N33" s="2158" t="s">
        <v>787</v>
      </c>
      <c r="O33" s="2159"/>
      <c r="P33" s="2126" t="s">
        <v>284</v>
      </c>
      <c r="Q33" s="2127"/>
      <c r="R33" s="2126" t="s">
        <v>287</v>
      </c>
      <c r="S33" s="2127"/>
      <c r="T33" s="2128" t="s">
        <v>292</v>
      </c>
      <c r="U33" s="2128" t="s">
        <v>295</v>
      </c>
      <c r="V33" s="2128" t="s">
        <v>294</v>
      </c>
      <c r="W33" s="2113" t="s">
        <v>181</v>
      </c>
      <c r="X33" s="2113" t="s">
        <v>7</v>
      </c>
      <c r="Y33" s="2113" t="s">
        <v>8</v>
      </c>
      <c r="Z33" s="2119" t="s">
        <v>177</v>
      </c>
      <c r="AA33" s="2119" t="s">
        <v>9</v>
      </c>
      <c r="AB33" s="2119" t="s">
        <v>10</v>
      </c>
      <c r="AC33" s="2119" t="s">
        <v>11</v>
      </c>
      <c r="AD33" s="2119" t="s">
        <v>12</v>
      </c>
      <c r="AE33" s="2113" t="s">
        <v>867</v>
      </c>
      <c r="AF33" s="2113"/>
      <c r="AG33" s="2113" t="s">
        <v>175</v>
      </c>
      <c r="AH33" s="2113" t="s">
        <v>315</v>
      </c>
      <c r="AI33" s="2117" t="s">
        <v>182</v>
      </c>
      <c r="AJ33" s="2110" t="s">
        <v>434</v>
      </c>
      <c r="AK33" s="2110" t="s">
        <v>435</v>
      </c>
      <c r="AL33" s="2110" t="s">
        <v>436</v>
      </c>
      <c r="AM33" s="2001" t="s">
        <v>566</v>
      </c>
      <c r="AN33" s="1638"/>
      <c r="AO33" s="1638"/>
      <c r="AP33" s="1638"/>
    </row>
    <row r="34" spans="1:42" ht="42.75" customHeight="1" x14ac:dyDescent="0.25">
      <c r="A34" s="2112"/>
      <c r="B34" s="1619"/>
      <c r="C34" s="2124"/>
      <c r="D34" s="2124"/>
      <c r="E34" s="2124"/>
      <c r="F34" s="2124"/>
      <c r="G34" s="2124"/>
      <c r="H34" s="1326" t="s">
        <v>15</v>
      </c>
      <c r="I34" s="1327" t="s">
        <v>16</v>
      </c>
      <c r="J34" s="1326" t="s">
        <v>15</v>
      </c>
      <c r="K34" s="1327" t="s">
        <v>16</v>
      </c>
      <c r="L34" s="1326" t="s">
        <v>15</v>
      </c>
      <c r="M34" s="1327" t="s">
        <v>16</v>
      </c>
      <c r="N34" s="172" t="s">
        <v>15</v>
      </c>
      <c r="O34" s="173" t="s">
        <v>286</v>
      </c>
      <c r="P34" s="172" t="s">
        <v>15</v>
      </c>
      <c r="Q34" s="173" t="s">
        <v>16</v>
      </c>
      <c r="R34" s="172" t="s">
        <v>15</v>
      </c>
      <c r="S34" s="173" t="s">
        <v>16</v>
      </c>
      <c r="T34" s="2129"/>
      <c r="U34" s="2129"/>
      <c r="V34" s="2129"/>
      <c r="W34" s="2124"/>
      <c r="X34" s="2124"/>
      <c r="Y34" s="2124"/>
      <c r="Z34" s="2120"/>
      <c r="AA34" s="2120"/>
      <c r="AB34" s="2120"/>
      <c r="AC34" s="2120"/>
      <c r="AD34" s="2120"/>
      <c r="AE34" s="2124"/>
      <c r="AF34" s="2124"/>
      <c r="AG34" s="2124"/>
      <c r="AH34" s="2124"/>
      <c r="AI34" s="2118"/>
      <c r="AJ34" s="2111"/>
      <c r="AK34" s="2111"/>
      <c r="AL34" s="2111"/>
      <c r="AM34" s="2002"/>
      <c r="AN34" s="1638"/>
      <c r="AO34" s="1638"/>
      <c r="AP34" s="1638"/>
    </row>
    <row r="35" spans="1:42" ht="13.5" customHeight="1" x14ac:dyDescent="0.25">
      <c r="A35" s="174">
        <v>6</v>
      </c>
      <c r="B35" s="377" t="s">
        <v>179</v>
      </c>
      <c r="C35" s="858">
        <v>1977</v>
      </c>
      <c r="D35" s="858">
        <v>3</v>
      </c>
      <c r="E35" s="859">
        <v>36</v>
      </c>
      <c r="F35" s="860">
        <v>7</v>
      </c>
      <c r="G35" s="861">
        <v>320.55</v>
      </c>
      <c r="H35" s="861">
        <v>1207.98</v>
      </c>
      <c r="I35" s="861">
        <v>900.28</v>
      </c>
      <c r="J35" s="861">
        <v>109.56</v>
      </c>
      <c r="K35" s="861">
        <v>82.55</v>
      </c>
      <c r="L35" s="862">
        <v>16117.38</v>
      </c>
      <c r="M35" s="861">
        <v>9852.9699999999993</v>
      </c>
      <c r="N35" s="861">
        <v>2512.44</v>
      </c>
      <c r="O35" s="861">
        <v>1892.61</v>
      </c>
      <c r="P35" s="861">
        <v>7176</v>
      </c>
      <c r="Q35" s="861">
        <v>4386.8599999999997</v>
      </c>
      <c r="R35" s="861">
        <f>H35+J35+L35+N35+P35</f>
        <v>27123.359999999997</v>
      </c>
      <c r="S35" s="861">
        <f>I35+K35+M35+O35+Q35</f>
        <v>17115.27</v>
      </c>
      <c r="T35" s="861">
        <v>500000</v>
      </c>
      <c r="U35" s="861">
        <f>R35+T35</f>
        <v>527123.36</v>
      </c>
      <c r="V35" s="861">
        <f>S35</f>
        <v>17115.27</v>
      </c>
      <c r="W35" s="862">
        <f>X35+Y35+Z35+AA35+AB35+AC35+AD35+AE35</f>
        <v>630891</v>
      </c>
      <c r="X35" s="863">
        <v>1779.47</v>
      </c>
      <c r="Y35" s="864"/>
      <c r="Z35" s="861"/>
      <c r="AA35" s="862"/>
      <c r="AB35" s="864"/>
      <c r="AC35" s="862">
        <v>12649.56</v>
      </c>
      <c r="AD35" s="862"/>
      <c r="AE35" s="865">
        <v>616461.97</v>
      </c>
      <c r="AF35" s="865"/>
      <c r="AG35" s="838"/>
      <c r="AH35" s="838"/>
      <c r="AI35" s="838"/>
      <c r="AJ35" s="838">
        <v>11.23</v>
      </c>
      <c r="AK35" s="647">
        <v>5</v>
      </c>
      <c r="AL35" s="647">
        <v>3.67</v>
      </c>
      <c r="AM35" s="647">
        <f>U35-V35</f>
        <v>510008.08999999997</v>
      </c>
      <c r="AN35" s="1638"/>
      <c r="AO35" s="1638"/>
      <c r="AP35" s="1638"/>
    </row>
    <row r="36" spans="1:42" ht="15" customHeight="1" x14ac:dyDescent="0.3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330"/>
      <c r="S36" s="1330"/>
      <c r="T36" s="164"/>
      <c r="U36" s="164"/>
      <c r="V36" s="164"/>
      <c r="W36" s="1330" t="s">
        <v>868</v>
      </c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38"/>
      <c r="AO36" s="1638"/>
      <c r="AP36" s="1638"/>
    </row>
    <row r="37" spans="1:42" ht="15" customHeight="1" x14ac:dyDescent="0.25"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E37" s="1484"/>
      <c r="AN37" s="1638"/>
      <c r="AO37" s="1638"/>
      <c r="AP37" s="1638"/>
    </row>
    <row r="38" spans="1:42" ht="15" customHeight="1" x14ac:dyDescent="0.25">
      <c r="A38" s="1638"/>
      <c r="B38" s="1638"/>
      <c r="C38" s="1638"/>
      <c r="D38" s="1638"/>
      <c r="E38" s="1638"/>
      <c r="F38" s="1638"/>
      <c r="G38" s="1638"/>
      <c r="H38" s="1638"/>
      <c r="I38" s="1638"/>
      <c r="J38" s="1638"/>
      <c r="K38" s="1638"/>
      <c r="L38" s="1638"/>
      <c r="M38" s="1638"/>
      <c r="N38" s="1638"/>
      <c r="O38" s="1638"/>
      <c r="P38" s="1638"/>
      <c r="Q38" s="1638"/>
      <c r="R38" s="1638"/>
      <c r="S38" s="1638"/>
      <c r="T38" s="1638"/>
      <c r="U38" s="1638"/>
      <c r="V38" s="1638"/>
      <c r="W38" s="1638"/>
      <c r="X38" s="1638"/>
      <c r="Y38" s="1638"/>
      <c r="Z38" s="1638"/>
      <c r="AA38" s="1638"/>
      <c r="AB38" s="1638"/>
      <c r="AC38" s="1638"/>
      <c r="AD38" s="1638"/>
      <c r="AE38" s="1638"/>
      <c r="AF38" s="1638"/>
      <c r="AG38" s="1638"/>
      <c r="AH38" s="1638"/>
      <c r="AI38" s="1638"/>
      <c r="AJ38" s="1638"/>
      <c r="AK38" s="1638"/>
      <c r="AL38" s="1638"/>
      <c r="AM38" s="1638"/>
      <c r="AN38" s="1638"/>
      <c r="AO38" s="1638"/>
      <c r="AP38" s="1638"/>
    </row>
    <row r="39" spans="1:42" ht="15" customHeight="1" x14ac:dyDescent="0.3">
      <c r="A39" s="164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</row>
    <row r="40" spans="1:42" ht="15" customHeight="1" x14ac:dyDescent="0.3">
      <c r="A40" s="164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</row>
    <row r="41" spans="1:42" ht="15" customHeight="1" x14ac:dyDescent="0.3">
      <c r="A41" s="164"/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</row>
    <row r="42" spans="1:42" ht="15" customHeight="1" x14ac:dyDescent="0.3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</row>
    <row r="43" spans="1:42" ht="15" customHeight="1" x14ac:dyDescent="0.3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</row>
    <row r="44" spans="1:42" ht="15" customHeight="1" x14ac:dyDescent="0.3">
      <c r="A44" s="164"/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</row>
    <row r="45" spans="1:42" ht="15" customHeight="1" x14ac:dyDescent="0.3">
      <c r="A45" s="164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</row>
    <row r="46" spans="1:42" ht="15" customHeight="1" x14ac:dyDescent="0.3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</row>
    <row r="47" spans="1:42" ht="15" customHeight="1" x14ac:dyDescent="0.3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</row>
    <row r="48" spans="1:42" ht="15" customHeight="1" x14ac:dyDescent="0.3">
      <c r="A48" s="164"/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</row>
    <row r="49" spans="1:37" ht="15" customHeight="1" x14ac:dyDescent="0.3">
      <c r="A49" s="164"/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</row>
    <row r="50" spans="1:37" ht="15" customHeight="1" x14ac:dyDescent="0.3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</row>
    <row r="51" spans="1:37" ht="15" customHeight="1" x14ac:dyDescent="0.3">
      <c r="A51" s="164"/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</row>
    <row r="52" spans="1:37" ht="15" customHeight="1" x14ac:dyDescent="0.3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</row>
    <row r="53" spans="1:37" ht="15" customHeight="1" x14ac:dyDescent="0.3">
      <c r="A53" s="164"/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</row>
    <row r="54" spans="1:37" ht="15.75" customHeight="1" x14ac:dyDescent="0.3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</row>
    <row r="55" spans="1:37" ht="15" customHeight="1" x14ac:dyDescent="0.3">
      <c r="A55" s="164"/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</row>
    <row r="56" spans="1:37" ht="15" customHeight="1" x14ac:dyDescent="0.3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</row>
    <row r="57" spans="1:37" ht="15" customHeight="1" x14ac:dyDescent="0.3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</row>
    <row r="58" spans="1:37" ht="15" customHeight="1" x14ac:dyDescent="0.3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</row>
    <row r="59" spans="1:37" ht="15" customHeight="1" x14ac:dyDescent="0.3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</row>
    <row r="60" spans="1:37" ht="15" customHeight="1" x14ac:dyDescent="0.3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</row>
    <row r="61" spans="1:37" ht="15" customHeight="1" x14ac:dyDescent="0.3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</row>
    <row r="62" spans="1:37" ht="15" customHeight="1" x14ac:dyDescent="0.3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</row>
    <row r="63" spans="1:37" ht="15" customHeight="1" x14ac:dyDescent="0.3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</row>
    <row r="64" spans="1:37" ht="15" customHeight="1" x14ac:dyDescent="0.3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</row>
    <row r="65" spans="1:37" ht="15" customHeight="1" x14ac:dyDescent="0.3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</row>
    <row r="66" spans="1:37" ht="15" customHeight="1" x14ac:dyDescent="0.3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</row>
    <row r="67" spans="1:37" ht="15" customHeight="1" x14ac:dyDescent="0.3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</row>
    <row r="68" spans="1:37" ht="15" customHeight="1" x14ac:dyDescent="0.3">
      <c r="A68" s="164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</row>
    <row r="69" spans="1:37" ht="37.5" customHeight="1" x14ac:dyDescent="0.3">
      <c r="A69" s="164"/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</row>
    <row r="70" spans="1:37" ht="15" customHeight="1" x14ac:dyDescent="0.3">
      <c r="A70" s="164"/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</row>
    <row r="71" spans="1:37" ht="15" customHeight="1" x14ac:dyDescent="0.3">
      <c r="A71" s="164"/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</row>
    <row r="72" spans="1:37" ht="15" customHeight="1" x14ac:dyDescent="0.3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</row>
    <row r="73" spans="1:37" ht="15" customHeight="1" x14ac:dyDescent="0.3">
      <c r="A73" s="164"/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</row>
    <row r="74" spans="1:37" ht="15" customHeight="1" x14ac:dyDescent="0.3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</row>
    <row r="75" spans="1:37" ht="15" customHeight="1" x14ac:dyDescent="0.3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</row>
    <row r="76" spans="1:37" ht="15" customHeight="1" x14ac:dyDescent="0.3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</row>
    <row r="77" spans="1:37" ht="15" customHeight="1" x14ac:dyDescent="0.3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</row>
    <row r="78" spans="1:37" ht="15" customHeight="1" x14ac:dyDescent="0.3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</row>
    <row r="79" spans="1:37" ht="15" customHeight="1" x14ac:dyDescent="0.3">
      <c r="A79" s="164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</row>
    <row r="80" spans="1:37" ht="15" customHeight="1" x14ac:dyDescent="0.3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</row>
    <row r="81" spans="1:37" ht="15" customHeight="1" x14ac:dyDescent="0.3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</row>
    <row r="82" spans="1:37" ht="15" customHeight="1" x14ac:dyDescent="0.3">
      <c r="A82" s="164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</row>
    <row r="83" spans="1:37" ht="15" customHeight="1" x14ac:dyDescent="0.3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</row>
    <row r="84" spans="1:37" ht="15" customHeight="1" x14ac:dyDescent="0.3">
      <c r="A84" s="164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</row>
    <row r="85" spans="1:37" ht="15" customHeight="1" x14ac:dyDescent="0.3">
      <c r="A85" s="164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</row>
    <row r="86" spans="1:37" ht="15" customHeight="1" x14ac:dyDescent="0.3">
      <c r="A86" s="164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</row>
    <row r="87" spans="1:37" ht="15" customHeight="1" x14ac:dyDescent="0.3">
      <c r="A87" s="164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</row>
    <row r="88" spans="1:37" ht="15" customHeight="1" x14ac:dyDescent="0.3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</row>
    <row r="89" spans="1:37" ht="15" customHeight="1" x14ac:dyDescent="0.3">
      <c r="A89" s="164"/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</row>
    <row r="90" spans="1:37" ht="15" customHeight="1" x14ac:dyDescent="0.3">
      <c r="A90" s="164"/>
      <c r="B90" s="164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</row>
    <row r="91" spans="1:37" ht="15" customHeight="1" x14ac:dyDescent="0.3">
      <c r="A91" s="164"/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</row>
    <row r="92" spans="1:37" ht="15" customHeight="1" x14ac:dyDescent="0.3">
      <c r="A92" s="164"/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</row>
    <row r="93" spans="1:37" ht="15" customHeight="1" x14ac:dyDescent="0.3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</row>
    <row r="94" spans="1:37" ht="15" customHeight="1" x14ac:dyDescent="0.3">
      <c r="A94" s="164"/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</row>
    <row r="95" spans="1:37" ht="15" customHeight="1" x14ac:dyDescent="0.3">
      <c r="A95" s="164"/>
      <c r="B95" s="164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</row>
    <row r="96" spans="1:37" ht="15" customHeight="1" x14ac:dyDescent="0.3">
      <c r="A96" s="164"/>
      <c r="B96" s="164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</row>
    <row r="97" spans="1:39" ht="15" customHeight="1" x14ac:dyDescent="0.3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</row>
    <row r="98" spans="1:39" ht="15" customHeight="1" x14ac:dyDescent="0.3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</row>
    <row r="99" spans="1:39" ht="15" customHeight="1" x14ac:dyDescent="0.3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</row>
    <row r="100" spans="1:39" ht="15" customHeight="1" x14ac:dyDescent="0.3">
      <c r="A100" s="164"/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</row>
    <row r="101" spans="1:39" ht="15" customHeight="1" x14ac:dyDescent="0.3">
      <c r="A101" s="164"/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</row>
    <row r="102" spans="1:39" ht="15" customHeight="1" x14ac:dyDescent="0.3">
      <c r="A102" s="164"/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</row>
    <row r="103" spans="1:39" ht="15" customHeight="1" x14ac:dyDescent="0.3">
      <c r="A103" s="164"/>
      <c r="B103" s="164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</row>
    <row r="104" spans="1:39" ht="15" customHeight="1" x14ac:dyDescent="0.3">
      <c r="A104" s="164"/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</row>
    <row r="105" spans="1:39" ht="15" customHeight="1" x14ac:dyDescent="0.3">
      <c r="A105" s="164"/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  <c r="AA105" s="164"/>
      <c r="AB105" s="164"/>
      <c r="AC105" s="164"/>
      <c r="AD105" s="164"/>
      <c r="AE105" s="164"/>
      <c r="AF105" s="164"/>
      <c r="AG105" s="164"/>
      <c r="AH105" s="164"/>
      <c r="AI105" s="164"/>
      <c r="AJ105" s="164"/>
      <c r="AK105" s="164"/>
    </row>
    <row r="106" spans="1:39" ht="15" customHeight="1" x14ac:dyDescent="0.3">
      <c r="A106" s="164"/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  <c r="Y106" s="164"/>
      <c r="Z106" s="164"/>
      <c r="AA106" s="164"/>
      <c r="AB106" s="164"/>
      <c r="AC106" s="164"/>
      <c r="AD106" s="164"/>
      <c r="AE106" s="164"/>
      <c r="AF106" s="164"/>
      <c r="AG106" s="164"/>
      <c r="AH106" s="164"/>
      <c r="AI106" s="164"/>
      <c r="AJ106" s="164"/>
      <c r="AK106" s="164"/>
    </row>
    <row r="107" spans="1:39" ht="15" customHeight="1" x14ac:dyDescent="0.3">
      <c r="A107" s="164"/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4"/>
      <c r="AB107" s="164"/>
      <c r="AC107" s="164"/>
      <c r="AD107" s="164"/>
      <c r="AE107" s="164"/>
      <c r="AF107" s="164"/>
      <c r="AG107" s="164"/>
      <c r="AH107" s="164"/>
      <c r="AI107" s="164"/>
      <c r="AJ107" s="164"/>
      <c r="AK107" s="164"/>
    </row>
    <row r="108" spans="1:39" ht="15" customHeight="1" x14ac:dyDescent="0.3">
      <c r="A108" s="164"/>
      <c r="B108" s="164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64"/>
      <c r="AA108" s="164"/>
      <c r="AB108" s="164"/>
      <c r="AC108" s="164"/>
      <c r="AD108" s="164"/>
      <c r="AE108" s="164"/>
      <c r="AF108" s="164"/>
      <c r="AG108" s="164"/>
      <c r="AH108" s="164"/>
      <c r="AI108" s="164"/>
      <c r="AJ108" s="164"/>
      <c r="AK108" s="164"/>
    </row>
    <row r="109" spans="1:39" ht="15" customHeight="1" x14ac:dyDescent="0.3">
      <c r="A109" s="164"/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  <c r="Y109" s="164"/>
      <c r="Z109" s="164"/>
      <c r="AA109" s="164"/>
      <c r="AB109" s="164"/>
      <c r="AC109" s="164"/>
      <c r="AD109" s="164"/>
      <c r="AE109" s="164"/>
      <c r="AF109" s="164"/>
      <c r="AG109" s="164"/>
      <c r="AH109" s="164"/>
      <c r="AI109" s="164"/>
      <c r="AJ109" s="164"/>
      <c r="AK109" s="164"/>
      <c r="AL109" s="164"/>
      <c r="AM109" s="164"/>
    </row>
    <row r="110" spans="1:39" ht="15" customHeight="1" x14ac:dyDescent="0.3">
      <c r="A110" s="164"/>
      <c r="B110" s="164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4"/>
      <c r="Z110" s="164"/>
      <c r="AA110" s="164"/>
      <c r="AB110" s="164"/>
      <c r="AC110" s="164"/>
      <c r="AD110" s="164"/>
      <c r="AE110" s="164"/>
      <c r="AF110" s="164"/>
      <c r="AG110" s="164"/>
      <c r="AH110" s="164"/>
      <c r="AI110" s="164"/>
      <c r="AJ110" s="164"/>
      <c r="AK110" s="164"/>
      <c r="AL110" s="164"/>
      <c r="AM110" s="164"/>
    </row>
    <row r="111" spans="1:39" ht="15" customHeight="1" x14ac:dyDescent="0.3">
      <c r="A111" s="164"/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  <c r="Z111" s="164"/>
      <c r="AA111" s="164"/>
      <c r="AB111" s="164"/>
      <c r="AC111" s="164"/>
      <c r="AD111" s="164"/>
      <c r="AE111" s="164"/>
      <c r="AF111" s="164"/>
      <c r="AG111" s="164"/>
      <c r="AH111" s="164"/>
      <c r="AI111" s="164"/>
      <c r="AJ111" s="164"/>
      <c r="AK111" s="164"/>
      <c r="AL111" s="164"/>
      <c r="AM111" s="164"/>
    </row>
    <row r="112" spans="1:39" ht="15" customHeight="1" x14ac:dyDescent="0.3">
      <c r="A112" s="164"/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  <c r="Z112" s="164"/>
      <c r="AA112" s="164"/>
      <c r="AB112" s="164"/>
      <c r="AC112" s="164"/>
      <c r="AD112" s="164"/>
      <c r="AE112" s="164"/>
      <c r="AF112" s="164"/>
      <c r="AG112" s="164"/>
      <c r="AH112" s="164"/>
      <c r="AI112" s="164"/>
      <c r="AJ112" s="164"/>
      <c r="AK112" s="164"/>
      <c r="AL112" s="164"/>
      <c r="AM112" s="164"/>
    </row>
    <row r="113" spans="1:39" ht="15" customHeight="1" x14ac:dyDescent="0.3">
      <c r="A113" s="164"/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  <c r="AA113" s="164"/>
      <c r="AB113" s="164"/>
      <c r="AC113" s="164"/>
      <c r="AD113" s="164"/>
      <c r="AE113" s="164"/>
      <c r="AF113" s="164"/>
      <c r="AG113" s="164"/>
      <c r="AH113" s="164"/>
      <c r="AI113" s="164"/>
      <c r="AJ113" s="164"/>
      <c r="AK113" s="164"/>
      <c r="AL113" s="164"/>
      <c r="AM113" s="164"/>
    </row>
    <row r="114" spans="1:39" ht="15" customHeight="1" x14ac:dyDescent="0.3">
      <c r="A114" s="164"/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  <c r="Z114" s="164"/>
      <c r="AA114" s="164"/>
      <c r="AB114" s="164"/>
      <c r="AC114" s="164"/>
      <c r="AD114" s="164"/>
      <c r="AE114" s="164"/>
      <c r="AF114" s="164"/>
      <c r="AG114" s="164"/>
      <c r="AH114" s="164"/>
      <c r="AI114" s="164"/>
      <c r="AJ114" s="164"/>
      <c r="AK114" s="164"/>
      <c r="AL114" s="164"/>
      <c r="AM114" s="164"/>
    </row>
    <row r="115" spans="1:39" ht="15" customHeight="1" x14ac:dyDescent="0.3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/>
      <c r="AF115" s="164"/>
      <c r="AG115" s="164"/>
      <c r="AH115" s="164"/>
      <c r="AI115" s="164"/>
      <c r="AJ115" s="164"/>
      <c r="AK115" s="164"/>
      <c r="AL115" s="164"/>
      <c r="AM115" s="164"/>
    </row>
    <row r="116" spans="1:39" ht="15" customHeight="1" x14ac:dyDescent="0.3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164"/>
      <c r="AA116" s="164"/>
      <c r="AB116" s="164"/>
      <c r="AC116" s="164"/>
      <c r="AD116" s="164"/>
      <c r="AE116" s="164"/>
      <c r="AF116" s="164"/>
      <c r="AG116" s="164"/>
      <c r="AH116" s="164"/>
      <c r="AI116" s="164"/>
      <c r="AJ116" s="164"/>
      <c r="AK116" s="164"/>
      <c r="AL116" s="164"/>
      <c r="AM116" s="164"/>
    </row>
    <row r="117" spans="1:39" ht="15" customHeight="1" x14ac:dyDescent="0.3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164"/>
      <c r="AF117" s="164"/>
      <c r="AG117" s="164"/>
      <c r="AH117" s="164"/>
      <c r="AI117" s="164"/>
      <c r="AJ117" s="164"/>
      <c r="AK117" s="164"/>
      <c r="AL117" s="164"/>
      <c r="AM117" s="164"/>
    </row>
    <row r="118" spans="1:39" ht="15" customHeight="1" x14ac:dyDescent="0.3">
      <c r="A118" s="164"/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  <c r="AF118" s="164"/>
      <c r="AG118" s="164"/>
      <c r="AH118" s="164"/>
      <c r="AI118" s="164"/>
      <c r="AJ118" s="164"/>
      <c r="AK118" s="164"/>
      <c r="AL118" s="164"/>
      <c r="AM118" s="164"/>
    </row>
    <row r="119" spans="1:39" ht="15" customHeight="1" x14ac:dyDescent="0.3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4"/>
      <c r="AG119" s="164"/>
      <c r="AH119" s="164"/>
      <c r="AI119" s="164"/>
      <c r="AJ119" s="164"/>
      <c r="AK119" s="164"/>
      <c r="AL119" s="164"/>
      <c r="AM119" s="164"/>
    </row>
    <row r="120" spans="1:39" ht="15" customHeight="1" x14ac:dyDescent="0.3">
      <c r="A120" s="164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164"/>
      <c r="AF120" s="164"/>
      <c r="AG120" s="164"/>
      <c r="AH120" s="164"/>
      <c r="AI120" s="164"/>
      <c r="AJ120" s="164"/>
      <c r="AK120" s="164"/>
      <c r="AL120" s="164"/>
      <c r="AM120" s="164"/>
    </row>
    <row r="121" spans="1:39" ht="15" customHeight="1" x14ac:dyDescent="0.3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</row>
  </sheetData>
  <mergeCells count="97">
    <mergeCell ref="Z33:Z34"/>
    <mergeCell ref="AB33:AB34"/>
    <mergeCell ref="U19:U20"/>
    <mergeCell ref="V19:V20"/>
    <mergeCell ref="W19:W20"/>
    <mergeCell ref="X19:X20"/>
    <mergeCell ref="Y19:Y20"/>
    <mergeCell ref="Z19:Z20"/>
    <mergeCell ref="AB19:AB20"/>
    <mergeCell ref="U33:U34"/>
    <mergeCell ref="V33:V34"/>
    <mergeCell ref="W33:W34"/>
    <mergeCell ref="X33:X34"/>
    <mergeCell ref="Y33:Y34"/>
    <mergeCell ref="AA7:AA8"/>
    <mergeCell ref="P7:P8"/>
    <mergeCell ref="A7:A8"/>
    <mergeCell ref="B7:B8"/>
    <mergeCell ref="C7:C8"/>
    <mergeCell ref="D7:D8"/>
    <mergeCell ref="E7:E8"/>
    <mergeCell ref="F7:F8"/>
    <mergeCell ref="G7:G8"/>
    <mergeCell ref="H7:I7"/>
    <mergeCell ref="J7:K7"/>
    <mergeCell ref="L7:M7"/>
    <mergeCell ref="N7:O7"/>
    <mergeCell ref="AJ7:AJ8"/>
    <mergeCell ref="AK7:AK8"/>
    <mergeCell ref="AC7:AC8"/>
    <mergeCell ref="AD7:AD8"/>
    <mergeCell ref="AE7:AE8"/>
    <mergeCell ref="AF7:AF8"/>
    <mergeCell ref="AG7:AG8"/>
    <mergeCell ref="AH7:AH8"/>
    <mergeCell ref="A19:A20"/>
    <mergeCell ref="C19:C20"/>
    <mergeCell ref="D19:D20"/>
    <mergeCell ref="E19:E20"/>
    <mergeCell ref="AI7:AI8"/>
    <mergeCell ref="AB7:AB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F19:F20"/>
    <mergeCell ref="G19:G20"/>
    <mergeCell ref="H19:I19"/>
    <mergeCell ref="J19:K19"/>
    <mergeCell ref="L19:M19"/>
    <mergeCell ref="G33:G34"/>
    <mergeCell ref="H33:I33"/>
    <mergeCell ref="J33:K33"/>
    <mergeCell ref="L33:M33"/>
    <mergeCell ref="AF19:AF20"/>
    <mergeCell ref="AA19:AA20"/>
    <mergeCell ref="AC19:AC20"/>
    <mergeCell ref="AD19:AD20"/>
    <mergeCell ref="AE19:AE20"/>
    <mergeCell ref="N19:O19"/>
    <mergeCell ref="P19:Q19"/>
    <mergeCell ref="N33:O33"/>
    <mergeCell ref="P33:Q33"/>
    <mergeCell ref="R33:S33"/>
    <mergeCell ref="T33:T34"/>
    <mergeCell ref="AA33:AA34"/>
    <mergeCell ref="A33:A34"/>
    <mergeCell ref="C33:C34"/>
    <mergeCell ref="D33:D34"/>
    <mergeCell ref="E33:E34"/>
    <mergeCell ref="F33:F34"/>
    <mergeCell ref="AK19:AK20"/>
    <mergeCell ref="AL19:AL20"/>
    <mergeCell ref="AM19:AM20"/>
    <mergeCell ref="R19:S19"/>
    <mergeCell ref="T19:T20"/>
    <mergeCell ref="AG19:AG20"/>
    <mergeCell ref="AH19:AH20"/>
    <mergeCell ref="AI19:AI20"/>
    <mergeCell ref="AJ19:AJ20"/>
    <mergeCell ref="AC33:AC34"/>
    <mergeCell ref="AD33:AD34"/>
    <mergeCell ref="AE33:AE34"/>
    <mergeCell ref="AF33:AF34"/>
    <mergeCell ref="AG33:AG34"/>
    <mergeCell ref="AM33:AM34"/>
    <mergeCell ref="AH33:AH34"/>
    <mergeCell ref="AI33:AI34"/>
    <mergeCell ref="AJ33:AJ34"/>
    <mergeCell ref="AK33:AK34"/>
    <mergeCell ref="AL33:AL34"/>
  </mergeCells>
  <pageMargins left="0.19" right="0.17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H210"/>
  <sheetViews>
    <sheetView zoomScaleNormal="100" workbookViewId="0">
      <selection activeCell="W31" sqref="W31"/>
    </sheetView>
  </sheetViews>
  <sheetFormatPr defaultRowHeight="15" x14ac:dyDescent="0.25"/>
  <cols>
    <col min="1" max="1" width="3.7109375" customWidth="1"/>
    <col min="2" max="2" width="9.5703125" customWidth="1"/>
    <col min="3" max="3" width="16" customWidth="1"/>
    <col min="4" max="4" width="7.5703125" customWidth="1"/>
    <col min="5" max="5" width="7.28515625" customWidth="1"/>
    <col min="6" max="6" width="8.5703125" customWidth="1"/>
    <col min="7" max="7" width="7.42578125" customWidth="1"/>
    <col min="8" max="8" width="9.85546875" customWidth="1"/>
    <col min="9" max="9" width="11.140625" hidden="1" customWidth="1"/>
    <col min="10" max="10" width="11.42578125" hidden="1" customWidth="1"/>
    <col min="11" max="11" width="11.28515625" customWidth="1"/>
    <col min="12" max="12" width="10.5703125" customWidth="1"/>
    <col min="13" max="14" width="12" hidden="1" customWidth="1"/>
    <col min="15" max="15" width="11.7109375" customWidth="1"/>
    <col min="16" max="16" width="9.85546875" hidden="1" customWidth="1"/>
    <col min="17" max="17" width="12.85546875" customWidth="1"/>
    <col min="18" max="18" width="9.5703125" customWidth="1"/>
    <col min="19" max="19" width="11" customWidth="1"/>
    <col min="20" max="20" width="10.140625" customWidth="1"/>
    <col min="21" max="21" width="11.7109375" customWidth="1"/>
    <col min="22" max="22" width="10.5703125" customWidth="1"/>
    <col min="23" max="23" width="9.7109375" customWidth="1"/>
    <col min="24" max="24" width="10.42578125" customWidth="1"/>
    <col min="25" max="26" width="9.42578125" customWidth="1"/>
    <col min="27" max="27" width="10.140625" customWidth="1"/>
    <col min="28" max="28" width="11.5703125" customWidth="1"/>
    <col min="29" max="29" width="12.7109375" customWidth="1"/>
    <col min="30" max="30" width="10.42578125" customWidth="1"/>
    <col min="31" max="31" width="10.28515625" customWidth="1"/>
    <col min="32" max="32" width="9.85546875" customWidth="1"/>
    <col min="33" max="33" width="9.140625" customWidth="1"/>
  </cols>
  <sheetData>
    <row r="2" spans="1:34" ht="15" customHeight="1" x14ac:dyDescent="0.3">
      <c r="A2" s="176"/>
      <c r="B2" s="176"/>
      <c r="C2" s="176"/>
      <c r="D2" s="84" t="s">
        <v>429</v>
      </c>
      <c r="E2" s="84"/>
      <c r="F2" s="84"/>
      <c r="G2" s="84"/>
      <c r="H2" s="84"/>
      <c r="I2" s="84"/>
      <c r="J2" s="84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</row>
    <row r="3" spans="1:34" ht="18.75" customHeight="1" x14ac:dyDescent="0.3">
      <c r="A3" s="176"/>
      <c r="B3" s="176"/>
      <c r="C3" s="176"/>
      <c r="D3" s="1993" t="s">
        <v>561</v>
      </c>
      <c r="E3" s="1994"/>
      <c r="F3" s="1994"/>
      <c r="G3" s="1994"/>
      <c r="H3" s="1994"/>
      <c r="I3" s="610"/>
      <c r="J3" s="610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</row>
    <row r="4" spans="1:34" ht="15.75" customHeight="1" x14ac:dyDescent="0.3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64"/>
      <c r="AC4" s="164"/>
      <c r="AD4" s="164"/>
      <c r="AE4" s="176"/>
      <c r="AF4" s="176"/>
      <c r="AG4" s="176"/>
      <c r="AH4" s="176"/>
    </row>
    <row r="5" spans="1:34" ht="15.75" customHeight="1" x14ac:dyDescent="0.3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64"/>
      <c r="AC5" s="164"/>
      <c r="AD5" s="164"/>
      <c r="AE5" s="176"/>
      <c r="AF5" s="176"/>
      <c r="AG5" s="176"/>
      <c r="AH5" s="176"/>
    </row>
    <row r="6" spans="1:34" ht="41.25" customHeight="1" x14ac:dyDescent="0.25">
      <c r="A6" s="2083" t="s">
        <v>0</v>
      </c>
      <c r="B6" s="2014"/>
      <c r="C6" s="2083" t="s">
        <v>184</v>
      </c>
      <c r="D6" s="2083" t="s">
        <v>54</v>
      </c>
      <c r="E6" s="2014" t="s">
        <v>55</v>
      </c>
      <c r="F6" s="2083" t="s">
        <v>56</v>
      </c>
      <c r="G6" s="2083" t="s">
        <v>57</v>
      </c>
      <c r="H6" s="2014" t="s">
        <v>6</v>
      </c>
      <c r="I6" s="2097" t="s">
        <v>593</v>
      </c>
      <c r="J6" s="2060"/>
      <c r="K6" s="2017" t="s">
        <v>310</v>
      </c>
      <c r="L6" s="2017"/>
      <c r="M6" s="2017" t="s">
        <v>598</v>
      </c>
      <c r="N6" s="2017"/>
      <c r="O6" s="1987" t="s">
        <v>181</v>
      </c>
      <c r="P6" s="2083" t="s">
        <v>572</v>
      </c>
      <c r="Q6" s="1987" t="s">
        <v>573</v>
      </c>
      <c r="R6" s="2003" t="s">
        <v>430</v>
      </c>
      <c r="S6" s="2102" t="s">
        <v>12</v>
      </c>
      <c r="T6" s="2153" t="s">
        <v>321</v>
      </c>
      <c r="U6" s="2153" t="s">
        <v>554</v>
      </c>
      <c r="V6" s="2009" t="s">
        <v>431</v>
      </c>
      <c r="W6" s="1987" t="s">
        <v>328</v>
      </c>
      <c r="X6" s="1987" t="s">
        <v>175</v>
      </c>
      <c r="Y6" s="2005" t="s">
        <v>610</v>
      </c>
      <c r="Z6" s="2005" t="s">
        <v>611</v>
      </c>
      <c r="AA6" s="1999" t="s">
        <v>547</v>
      </c>
      <c r="AB6" s="2009" t="s">
        <v>566</v>
      </c>
      <c r="AC6" s="2161"/>
      <c r="AD6" s="2160"/>
      <c r="AE6" s="259"/>
      <c r="AF6" s="259"/>
      <c r="AG6" s="259"/>
      <c r="AH6" s="259"/>
    </row>
    <row r="7" spans="1:34" ht="37.5" customHeight="1" x14ac:dyDescent="0.25">
      <c r="A7" s="2083"/>
      <c r="B7" s="2015"/>
      <c r="C7" s="2083"/>
      <c r="D7" s="2083"/>
      <c r="E7" s="2015"/>
      <c r="F7" s="2083"/>
      <c r="G7" s="2083"/>
      <c r="H7" s="2015"/>
      <c r="I7" s="150" t="s">
        <v>15</v>
      </c>
      <c r="J7" s="611" t="s">
        <v>16</v>
      </c>
      <c r="K7" s="51" t="s">
        <v>15</v>
      </c>
      <c r="L7" s="258" t="s">
        <v>16</v>
      </c>
      <c r="M7" s="150" t="s">
        <v>15</v>
      </c>
      <c r="N7" s="611" t="s">
        <v>16</v>
      </c>
      <c r="O7" s="1988"/>
      <c r="P7" s="2083"/>
      <c r="Q7" s="1988"/>
      <c r="R7" s="2004"/>
      <c r="S7" s="2102"/>
      <c r="T7" s="2153"/>
      <c r="U7" s="2164"/>
      <c r="V7" s="2009"/>
      <c r="W7" s="2002"/>
      <c r="X7" s="1988"/>
      <c r="Y7" s="2006"/>
      <c r="Z7" s="2006"/>
      <c r="AA7" s="2000"/>
      <c r="AB7" s="2009"/>
      <c r="AC7" s="2161"/>
      <c r="AD7" s="2160"/>
      <c r="AE7" s="259"/>
      <c r="AF7" s="259"/>
      <c r="AG7" s="259"/>
      <c r="AH7" s="259"/>
    </row>
    <row r="8" spans="1:34" x14ac:dyDescent="0.25">
      <c r="A8" s="46">
        <v>1</v>
      </c>
      <c r="B8" s="584">
        <v>42569</v>
      </c>
      <c r="C8" s="52" t="s">
        <v>126</v>
      </c>
      <c r="D8" s="702">
        <v>1965</v>
      </c>
      <c r="E8" s="702">
        <v>2</v>
      </c>
      <c r="F8" s="702">
        <v>16</v>
      </c>
      <c r="G8" s="349">
        <v>35</v>
      </c>
      <c r="H8" s="840">
        <v>653.4</v>
      </c>
      <c r="I8" s="840">
        <v>1305.3599999999999</v>
      </c>
      <c r="J8" s="840">
        <v>589.02</v>
      </c>
      <c r="K8" s="736">
        <v>23420.52</v>
      </c>
      <c r="L8" s="736">
        <v>20221.38</v>
      </c>
      <c r="M8" s="736">
        <f>I8+K8</f>
        <v>24725.88</v>
      </c>
      <c r="N8" s="736">
        <f>J8+L8</f>
        <v>20810.400000000001</v>
      </c>
      <c r="O8" s="736">
        <f>P8+Q8+R8+S8+T8+U8+V8+W8</f>
        <v>17364.137719501632</v>
      </c>
      <c r="P8" s="736">
        <f>2113.4/6252*H8</f>
        <v>220.87261036468331</v>
      </c>
      <c r="Q8" s="736">
        <f>3175.98/6252*H8</f>
        <v>331.92343761996159</v>
      </c>
      <c r="R8" s="736">
        <v>567.21</v>
      </c>
      <c r="S8" s="736">
        <f>67064.62/213553.32*K8</f>
        <v>7355.0168829142995</v>
      </c>
      <c r="T8" s="736">
        <f>37800.58/6252*H8</f>
        <v>3950.5596564299426</v>
      </c>
      <c r="U8" s="736">
        <f>T8*0.202</f>
        <v>798.01305059884851</v>
      </c>
      <c r="V8" s="736">
        <f>7724.88/6252*H8</f>
        <v>807.33150863723597</v>
      </c>
      <c r="W8" s="736">
        <f>31893.53/6252*H8</f>
        <v>3333.2105729366604</v>
      </c>
      <c r="X8" s="736">
        <f>M8-O8</f>
        <v>7361.7422804983689</v>
      </c>
      <c r="Y8" s="736">
        <f>L8/K8*100</f>
        <v>86.340439921914637</v>
      </c>
      <c r="Z8" s="736">
        <f>J8/I8*100</f>
        <v>45.123184408898695</v>
      </c>
      <c r="AA8" s="736">
        <v>8.9499999999999993</v>
      </c>
      <c r="AB8" s="736">
        <f>M8-N8</f>
        <v>3915.4799999999996</v>
      </c>
      <c r="AC8" s="350"/>
      <c r="AD8" s="223"/>
      <c r="AE8" s="223"/>
      <c r="AF8" s="223"/>
      <c r="AG8" s="259"/>
      <c r="AH8" s="259"/>
    </row>
    <row r="9" spans="1:34" x14ac:dyDescent="0.25">
      <c r="A9" s="22">
        <v>2</v>
      </c>
      <c r="B9" s="584">
        <v>42569</v>
      </c>
      <c r="C9" s="43" t="s">
        <v>127</v>
      </c>
      <c r="D9" s="737">
        <v>1965</v>
      </c>
      <c r="E9" s="737">
        <v>2</v>
      </c>
      <c r="F9" s="737">
        <v>16</v>
      </c>
      <c r="G9" s="708">
        <v>31</v>
      </c>
      <c r="H9" s="841">
        <v>658.2</v>
      </c>
      <c r="I9" s="841">
        <v>1305.3</v>
      </c>
      <c r="J9" s="841">
        <v>449.56</v>
      </c>
      <c r="K9" s="736">
        <v>23563.759999999998</v>
      </c>
      <c r="L9" s="736">
        <v>15310.82</v>
      </c>
      <c r="M9" s="736">
        <f t="shared" ref="M9:M26" si="0">I9+K9</f>
        <v>24869.059999999998</v>
      </c>
      <c r="N9" s="736">
        <f t="shared" ref="N9:N26" si="1">J9+L9</f>
        <v>15760.38</v>
      </c>
      <c r="O9" s="736">
        <f t="shared" ref="O9:O26" si="2">P9+Q9+R9+S9+T9+U9+V9+W9</f>
        <v>17540.643097139891</v>
      </c>
      <c r="P9" s="736">
        <f t="shared" ref="P9:P26" si="3">2113.4/6252*H9</f>
        <v>222.49518234165069</v>
      </c>
      <c r="Q9" s="736">
        <f t="shared" ref="Q9:Q26" si="4">3175.98/6252*H9</f>
        <v>334.36180998080613</v>
      </c>
      <c r="R9" s="736">
        <v>629.37</v>
      </c>
      <c r="S9" s="736">
        <f t="shared" ref="S9:S26" si="5">67064.62/213553.32*K9</f>
        <v>7400.0001974738661</v>
      </c>
      <c r="T9" s="736">
        <f t="shared" ref="T9:T26" si="6">37800.58/6252*H9</f>
        <v>3979.5812149712096</v>
      </c>
      <c r="U9" s="736">
        <f t="shared" ref="U9:U26" si="7">T9*0.202</f>
        <v>803.87540542418435</v>
      </c>
      <c r="V9" s="736">
        <f t="shared" ref="V9:V26" si="8">7724.88/6252*H9</f>
        <v>813.26231861804229</v>
      </c>
      <c r="W9" s="736">
        <f t="shared" ref="W9:W26" si="9">31893.53/6252*H9</f>
        <v>3357.6969683301345</v>
      </c>
      <c r="X9" s="736">
        <f t="shared" ref="X9:X26" si="10">M9-O9</f>
        <v>7328.4169028601063</v>
      </c>
      <c r="Y9" s="736">
        <f t="shared" ref="Y9:Y27" si="11">L9/K9*100</f>
        <v>64.9761328412783</v>
      </c>
      <c r="Z9" s="736">
        <f t="shared" ref="Z9:Z27" si="12">J9/I9*100</f>
        <v>34.441124645675323</v>
      </c>
      <c r="AA9" s="736">
        <v>8.9499999999999993</v>
      </c>
      <c r="AB9" s="736">
        <f t="shared" ref="AB9:AB27" si="13">M9-N9</f>
        <v>9108.6799999999985</v>
      </c>
      <c r="AC9" s="350"/>
      <c r="AD9" s="223"/>
      <c r="AE9" s="223"/>
      <c r="AF9" s="223"/>
      <c r="AG9" s="259"/>
      <c r="AH9" s="259"/>
    </row>
    <row r="10" spans="1:34" x14ac:dyDescent="0.25">
      <c r="A10" s="22">
        <v>3</v>
      </c>
      <c r="B10" s="584">
        <v>42569</v>
      </c>
      <c r="C10" s="43" t="s">
        <v>128</v>
      </c>
      <c r="D10" s="737">
        <v>1965</v>
      </c>
      <c r="E10" s="737">
        <v>2</v>
      </c>
      <c r="F10" s="737">
        <v>16</v>
      </c>
      <c r="G10" s="349">
        <v>36</v>
      </c>
      <c r="H10" s="841">
        <v>663.6</v>
      </c>
      <c r="I10" s="841">
        <v>1305.33</v>
      </c>
      <c r="J10" s="841">
        <v>634</v>
      </c>
      <c r="K10" s="736">
        <v>23757.16</v>
      </c>
      <c r="L10" s="736">
        <v>19038.54</v>
      </c>
      <c r="M10" s="736">
        <f t="shared" si="0"/>
        <v>25062.489999999998</v>
      </c>
      <c r="N10" s="736">
        <f t="shared" si="1"/>
        <v>19672.54</v>
      </c>
      <c r="O10" s="736">
        <f t="shared" si="2"/>
        <v>19458.741057839674</v>
      </c>
      <c r="P10" s="736">
        <f t="shared" si="3"/>
        <v>224.32057581573898</v>
      </c>
      <c r="Q10" s="736">
        <f t="shared" si="4"/>
        <v>337.10497888675621</v>
      </c>
      <c r="R10" s="736">
        <v>2408.6999999999998</v>
      </c>
      <c r="S10" s="736">
        <f t="shared" si="5"/>
        <v>7460.7358372101162</v>
      </c>
      <c r="T10" s="736">
        <f t="shared" si="6"/>
        <v>4012.2304683301345</v>
      </c>
      <c r="U10" s="736">
        <f t="shared" si="7"/>
        <v>810.47055460268723</v>
      </c>
      <c r="V10" s="736">
        <f t="shared" si="8"/>
        <v>819.93447984644911</v>
      </c>
      <c r="W10" s="736">
        <f t="shared" si="9"/>
        <v>3385.2441631477927</v>
      </c>
      <c r="X10" s="736">
        <f t="shared" si="10"/>
        <v>5603.7489421603241</v>
      </c>
      <c r="Y10" s="736">
        <f t="shared" si="11"/>
        <v>80.138114151691539</v>
      </c>
      <c r="Z10" s="736">
        <f t="shared" si="12"/>
        <v>48.570093386346755</v>
      </c>
      <c r="AA10" s="736">
        <v>8.9499999999999993</v>
      </c>
      <c r="AB10" s="736">
        <f t="shared" si="13"/>
        <v>5389.9499999999971</v>
      </c>
      <c r="AC10" s="350"/>
      <c r="AD10" s="223"/>
      <c r="AE10" s="223"/>
      <c r="AF10" s="223"/>
      <c r="AG10" s="259"/>
      <c r="AH10" s="259"/>
    </row>
    <row r="11" spans="1:34" x14ac:dyDescent="0.25">
      <c r="A11" s="22">
        <v>4</v>
      </c>
      <c r="B11" s="584">
        <v>42569</v>
      </c>
      <c r="C11" s="43" t="s">
        <v>129</v>
      </c>
      <c r="D11" s="737">
        <v>1965</v>
      </c>
      <c r="E11" s="737">
        <v>2</v>
      </c>
      <c r="F11" s="737">
        <v>16</v>
      </c>
      <c r="G11" s="708">
        <v>39</v>
      </c>
      <c r="H11" s="841">
        <v>654.70000000000005</v>
      </c>
      <c r="I11" s="841">
        <v>1305.42</v>
      </c>
      <c r="J11" s="841">
        <v>546.92999999999995</v>
      </c>
      <c r="K11" s="736">
        <v>23438.44</v>
      </c>
      <c r="L11" s="736">
        <v>17153.21</v>
      </c>
      <c r="M11" s="736">
        <f t="shared" si="0"/>
        <v>24743.86</v>
      </c>
      <c r="N11" s="736">
        <f t="shared" si="1"/>
        <v>17700.14</v>
      </c>
      <c r="O11" s="736">
        <f t="shared" si="2"/>
        <v>19450.190903195613</v>
      </c>
      <c r="P11" s="736">
        <f t="shared" si="3"/>
        <v>221.31205694177865</v>
      </c>
      <c r="Q11" s="736">
        <f t="shared" si="4"/>
        <v>332.58383013435702</v>
      </c>
      <c r="R11" s="736">
        <v>2628.85</v>
      </c>
      <c r="S11" s="736">
        <f t="shared" si="5"/>
        <v>7360.6445078578017</v>
      </c>
      <c r="T11" s="736">
        <f t="shared" si="6"/>
        <v>3958.4196618682026</v>
      </c>
      <c r="U11" s="736">
        <f t="shared" si="7"/>
        <v>799.60077169737701</v>
      </c>
      <c r="V11" s="736">
        <f t="shared" si="8"/>
        <v>808.93776967370445</v>
      </c>
      <c r="W11" s="736">
        <f t="shared" si="9"/>
        <v>3339.8423050223932</v>
      </c>
      <c r="X11" s="736">
        <f t="shared" si="10"/>
        <v>5293.6690968043877</v>
      </c>
      <c r="Y11" s="736">
        <f t="shared" si="11"/>
        <v>73.184094163263424</v>
      </c>
      <c r="Z11" s="736">
        <f t="shared" si="12"/>
        <v>41.896860780438473</v>
      </c>
      <c r="AA11" s="736">
        <v>8.9499999999999993</v>
      </c>
      <c r="AB11" s="736">
        <f t="shared" si="13"/>
        <v>7043.7200000000012</v>
      </c>
      <c r="AC11" s="350"/>
      <c r="AD11" s="223"/>
      <c r="AE11" s="223"/>
      <c r="AF11" s="223"/>
      <c r="AG11" s="259"/>
      <c r="AH11" s="259"/>
    </row>
    <row r="12" spans="1:34" x14ac:dyDescent="0.25">
      <c r="A12" s="22">
        <v>5</v>
      </c>
      <c r="B12" s="584">
        <v>42569</v>
      </c>
      <c r="C12" s="43" t="s">
        <v>130</v>
      </c>
      <c r="D12" s="737">
        <v>1995</v>
      </c>
      <c r="E12" s="737">
        <v>2</v>
      </c>
      <c r="F12" s="737">
        <v>8</v>
      </c>
      <c r="G12" s="349">
        <v>23</v>
      </c>
      <c r="H12" s="841">
        <v>548.70000000000005</v>
      </c>
      <c r="I12" s="841">
        <v>1771.59</v>
      </c>
      <c r="J12" s="841">
        <v>1105.8499999999999</v>
      </c>
      <c r="K12" s="736">
        <v>21816.32</v>
      </c>
      <c r="L12" s="736">
        <v>21878.61</v>
      </c>
      <c r="M12" s="736">
        <f t="shared" si="0"/>
        <v>23587.91</v>
      </c>
      <c r="N12" s="736">
        <f t="shared" si="1"/>
        <v>22984.46</v>
      </c>
      <c r="O12" s="736">
        <f t="shared" si="2"/>
        <v>15295.592231188648</v>
      </c>
      <c r="P12" s="736">
        <f t="shared" si="3"/>
        <v>185.48025911708257</v>
      </c>
      <c r="Q12" s="736">
        <f t="shared" si="4"/>
        <v>278.73644049904033</v>
      </c>
      <c r="R12" s="736">
        <v>515.41</v>
      </c>
      <c r="S12" s="736">
        <f t="shared" si="5"/>
        <v>6851.2313955053469</v>
      </c>
      <c r="T12" s="736">
        <f t="shared" si="6"/>
        <v>3317.526910748561</v>
      </c>
      <c r="U12" s="736">
        <f t="shared" si="7"/>
        <v>670.1404359712094</v>
      </c>
      <c r="V12" s="736">
        <f t="shared" si="8"/>
        <v>677.96571593090209</v>
      </c>
      <c r="W12" s="736">
        <f t="shared" si="9"/>
        <v>2799.101073416507</v>
      </c>
      <c r="X12" s="736">
        <f t="shared" si="10"/>
        <v>8292.3177688113519</v>
      </c>
      <c r="Y12" s="736">
        <f t="shared" si="11"/>
        <v>100.28552019772354</v>
      </c>
      <c r="Z12" s="736">
        <f t="shared" si="12"/>
        <v>62.421327733843611</v>
      </c>
      <c r="AA12" s="736">
        <v>9.94</v>
      </c>
      <c r="AB12" s="736">
        <f t="shared" si="13"/>
        <v>603.45000000000073</v>
      </c>
      <c r="AC12" s="350"/>
      <c r="AD12" s="223"/>
      <c r="AE12" s="223"/>
      <c r="AF12" s="223"/>
      <c r="AG12" s="259"/>
      <c r="AH12" s="259"/>
    </row>
    <row r="13" spans="1:34" x14ac:dyDescent="0.25">
      <c r="A13" s="22">
        <v>6</v>
      </c>
      <c r="B13" s="584">
        <v>42569</v>
      </c>
      <c r="C13" s="43" t="s">
        <v>131</v>
      </c>
      <c r="D13" s="737">
        <v>1995</v>
      </c>
      <c r="E13" s="737">
        <v>2</v>
      </c>
      <c r="F13" s="737">
        <v>8</v>
      </c>
      <c r="G13" s="708">
        <v>27</v>
      </c>
      <c r="H13" s="841">
        <v>548.6</v>
      </c>
      <c r="I13" s="841">
        <v>1771.59</v>
      </c>
      <c r="J13" s="841">
        <v>935.84</v>
      </c>
      <c r="K13" s="736">
        <v>21812.32</v>
      </c>
      <c r="L13" s="736">
        <v>19191.59</v>
      </c>
      <c r="M13" s="736">
        <f t="shared" si="0"/>
        <v>23583.91</v>
      </c>
      <c r="N13" s="736">
        <f t="shared" si="1"/>
        <v>20127.43</v>
      </c>
      <c r="O13" s="736">
        <f t="shared" si="2"/>
        <v>16012.911021925811</v>
      </c>
      <c r="P13" s="736">
        <f t="shared" si="3"/>
        <v>185.44645553422907</v>
      </c>
      <c r="Q13" s="736">
        <f t="shared" si="4"/>
        <v>278.68564107485605</v>
      </c>
      <c r="R13" s="736">
        <v>1235.43</v>
      </c>
      <c r="S13" s="736">
        <f t="shared" si="5"/>
        <v>6849.9752292233143</v>
      </c>
      <c r="T13" s="736">
        <f t="shared" si="6"/>
        <v>3316.9222949456175</v>
      </c>
      <c r="U13" s="736">
        <f t="shared" si="7"/>
        <v>670.01830357901474</v>
      </c>
      <c r="V13" s="736">
        <f t="shared" si="8"/>
        <v>677.8421573896353</v>
      </c>
      <c r="W13" s="736">
        <f t="shared" si="9"/>
        <v>2798.5909401791428</v>
      </c>
      <c r="X13" s="736">
        <f t="shared" si="10"/>
        <v>7570.9989780741889</v>
      </c>
      <c r="Y13" s="736">
        <f t="shared" si="11"/>
        <v>87.985092828273196</v>
      </c>
      <c r="Z13" s="736">
        <f t="shared" si="12"/>
        <v>52.824863540661212</v>
      </c>
      <c r="AA13" s="736">
        <v>9.94</v>
      </c>
      <c r="AB13" s="736">
        <f t="shared" si="13"/>
        <v>3456.4799999999996</v>
      </c>
      <c r="AC13" s="350"/>
      <c r="AD13" s="223"/>
      <c r="AE13" s="223"/>
      <c r="AF13" s="223"/>
      <c r="AG13" s="259"/>
      <c r="AH13" s="259"/>
    </row>
    <row r="14" spans="1:34" x14ac:dyDescent="0.25">
      <c r="A14" s="22">
        <v>7</v>
      </c>
      <c r="B14" s="584">
        <v>42569</v>
      </c>
      <c r="C14" s="43" t="s">
        <v>132</v>
      </c>
      <c r="D14" s="737">
        <v>1995</v>
      </c>
      <c r="E14" s="737">
        <v>2</v>
      </c>
      <c r="F14" s="737">
        <v>8</v>
      </c>
      <c r="G14" s="349">
        <v>30</v>
      </c>
      <c r="H14" s="841">
        <v>544.20000000000005</v>
      </c>
      <c r="I14" s="841">
        <v>1771.59</v>
      </c>
      <c r="J14" s="841">
        <v>651.92999999999995</v>
      </c>
      <c r="K14" s="736">
        <v>21637.4</v>
      </c>
      <c r="L14" s="736">
        <v>12954.99</v>
      </c>
      <c r="M14" s="736">
        <f t="shared" si="0"/>
        <v>23408.99</v>
      </c>
      <c r="N14" s="736">
        <f t="shared" si="1"/>
        <v>13606.92</v>
      </c>
      <c r="O14" s="736">
        <f t="shared" si="2"/>
        <v>15930.656979257081</v>
      </c>
      <c r="P14" s="736">
        <f t="shared" si="3"/>
        <v>183.95909788867564</v>
      </c>
      <c r="Q14" s="736">
        <f t="shared" si="4"/>
        <v>276.45046641074856</v>
      </c>
      <c r="R14" s="736">
        <v>1271.69</v>
      </c>
      <c r="S14" s="736">
        <f t="shared" si="5"/>
        <v>6795.0430777100537</v>
      </c>
      <c r="T14" s="736">
        <f t="shared" si="6"/>
        <v>3290.3191996161231</v>
      </c>
      <c r="U14" s="736">
        <f t="shared" si="7"/>
        <v>664.64447832245696</v>
      </c>
      <c r="V14" s="736">
        <f t="shared" si="8"/>
        <v>672.40558157389637</v>
      </c>
      <c r="W14" s="736">
        <f t="shared" si="9"/>
        <v>2776.1450777351251</v>
      </c>
      <c r="X14" s="736">
        <f t="shared" si="10"/>
        <v>7478.3330207429208</v>
      </c>
      <c r="Y14" s="736">
        <f t="shared" si="11"/>
        <v>59.873136328764076</v>
      </c>
      <c r="Z14" s="736">
        <f t="shared" si="12"/>
        <v>36.799146529388857</v>
      </c>
      <c r="AA14" s="736">
        <v>9.94</v>
      </c>
      <c r="AB14" s="736">
        <f t="shared" si="13"/>
        <v>9802.0700000000015</v>
      </c>
      <c r="AC14" s="350"/>
      <c r="AD14" s="223"/>
      <c r="AE14" s="223"/>
      <c r="AF14" s="223"/>
      <c r="AG14" s="259"/>
      <c r="AH14" s="259"/>
    </row>
    <row r="15" spans="1:34" x14ac:dyDescent="0.25">
      <c r="A15" s="22">
        <v>8</v>
      </c>
      <c r="B15" s="584">
        <v>42569</v>
      </c>
      <c r="C15" s="43" t="s">
        <v>133</v>
      </c>
      <c r="D15" s="737">
        <v>1995</v>
      </c>
      <c r="E15" s="737">
        <v>2</v>
      </c>
      <c r="F15" s="737">
        <v>8</v>
      </c>
      <c r="G15" s="708">
        <v>29</v>
      </c>
      <c r="H15" s="841">
        <v>548.70000000000005</v>
      </c>
      <c r="I15" s="841">
        <v>1771.59</v>
      </c>
      <c r="J15" s="841">
        <v>1028.3699999999999</v>
      </c>
      <c r="K15" s="736">
        <v>21816.32</v>
      </c>
      <c r="L15" s="736">
        <v>21978.01</v>
      </c>
      <c r="M15" s="736">
        <f t="shared" si="0"/>
        <v>23587.91</v>
      </c>
      <c r="N15" s="736">
        <f t="shared" si="1"/>
        <v>23006.379999999997</v>
      </c>
      <c r="O15" s="736">
        <f t="shared" si="2"/>
        <v>15021.052231188649</v>
      </c>
      <c r="P15" s="736">
        <f t="shared" si="3"/>
        <v>185.48025911708257</v>
      </c>
      <c r="Q15" s="736">
        <f t="shared" si="4"/>
        <v>278.73644049904033</v>
      </c>
      <c r="R15" s="736">
        <v>240.87</v>
      </c>
      <c r="S15" s="736">
        <f t="shared" si="5"/>
        <v>6851.2313955053469</v>
      </c>
      <c r="T15" s="736">
        <f t="shared" si="6"/>
        <v>3317.526910748561</v>
      </c>
      <c r="U15" s="736">
        <f t="shared" si="7"/>
        <v>670.1404359712094</v>
      </c>
      <c r="V15" s="736">
        <f t="shared" si="8"/>
        <v>677.96571593090209</v>
      </c>
      <c r="W15" s="736">
        <f t="shared" si="9"/>
        <v>2799.101073416507</v>
      </c>
      <c r="X15" s="736">
        <f t="shared" si="10"/>
        <v>8566.857768811351</v>
      </c>
      <c r="Y15" s="736">
        <f t="shared" si="11"/>
        <v>100.74114241081904</v>
      </c>
      <c r="Z15" s="736">
        <f t="shared" si="12"/>
        <v>58.047855316410676</v>
      </c>
      <c r="AA15" s="736">
        <v>9.94</v>
      </c>
      <c r="AB15" s="736">
        <f t="shared" si="13"/>
        <v>581.53000000000247</v>
      </c>
      <c r="AC15" s="350"/>
      <c r="AD15" s="223"/>
      <c r="AE15" s="223"/>
      <c r="AF15" s="223"/>
      <c r="AG15" s="259"/>
      <c r="AH15" s="259"/>
    </row>
    <row r="16" spans="1:34" x14ac:dyDescent="0.25">
      <c r="A16" s="22">
        <v>9</v>
      </c>
      <c r="B16" s="584">
        <v>42569</v>
      </c>
      <c r="C16" s="43" t="s">
        <v>134</v>
      </c>
      <c r="D16" s="737">
        <v>1958</v>
      </c>
      <c r="E16" s="737">
        <v>1</v>
      </c>
      <c r="F16" s="737">
        <v>3</v>
      </c>
      <c r="G16" s="349">
        <v>7</v>
      </c>
      <c r="H16" s="738">
        <v>111.3</v>
      </c>
      <c r="I16" s="738">
        <v>0</v>
      </c>
      <c r="J16" s="738">
        <v>0</v>
      </c>
      <c r="K16" s="736">
        <v>3107.52</v>
      </c>
      <c r="L16" s="736">
        <v>4482.47</v>
      </c>
      <c r="M16" s="736">
        <f t="shared" si="0"/>
        <v>3107.52</v>
      </c>
      <c r="N16" s="736">
        <f t="shared" si="1"/>
        <v>4482.47</v>
      </c>
      <c r="O16" s="736">
        <f t="shared" si="2"/>
        <v>2584.2232988222927</v>
      </c>
      <c r="P16" s="736">
        <f t="shared" si="3"/>
        <v>37.623387715930903</v>
      </c>
      <c r="Q16" s="736">
        <f t="shared" si="4"/>
        <v>56.539759117082525</v>
      </c>
      <c r="R16" s="736"/>
      <c r="S16" s="736">
        <f t="shared" si="5"/>
        <v>975.89046118505667</v>
      </c>
      <c r="T16" s="736">
        <f t="shared" si="6"/>
        <v>672.93738867562377</v>
      </c>
      <c r="U16" s="736">
        <f t="shared" si="7"/>
        <v>135.93335251247601</v>
      </c>
      <c r="V16" s="736">
        <f t="shared" si="8"/>
        <v>137.52065642994242</v>
      </c>
      <c r="W16" s="736">
        <f t="shared" si="9"/>
        <v>567.77829318618046</v>
      </c>
      <c r="X16" s="736">
        <f t="shared" si="10"/>
        <v>523.29670117770729</v>
      </c>
      <c r="Y16" s="736">
        <f t="shared" si="11"/>
        <v>144.24589383173719</v>
      </c>
      <c r="Z16" s="736">
        <v>0</v>
      </c>
      <c r="AA16" s="736">
        <v>6.98</v>
      </c>
      <c r="AB16" s="736">
        <f t="shared" si="13"/>
        <v>-1374.9500000000003</v>
      </c>
      <c r="AC16" s="350"/>
      <c r="AD16" s="223"/>
      <c r="AE16" s="223"/>
      <c r="AF16" s="223"/>
      <c r="AG16" s="259"/>
      <c r="AH16" s="259"/>
    </row>
    <row r="17" spans="1:34" x14ac:dyDescent="0.25">
      <c r="A17" s="22">
        <v>10</v>
      </c>
      <c r="B17" s="585">
        <v>42401</v>
      </c>
      <c r="C17" s="43" t="s">
        <v>135</v>
      </c>
      <c r="D17" s="737">
        <v>1958</v>
      </c>
      <c r="E17" s="737">
        <v>1</v>
      </c>
      <c r="F17" s="737">
        <v>3</v>
      </c>
      <c r="G17" s="708">
        <v>10</v>
      </c>
      <c r="H17" s="738">
        <v>118</v>
      </c>
      <c r="I17" s="738">
        <v>0</v>
      </c>
      <c r="J17" s="738">
        <v>0</v>
      </c>
      <c r="K17" s="736">
        <v>2246.7199999999998</v>
      </c>
      <c r="L17" s="736">
        <v>2078.21</v>
      </c>
      <c r="M17" s="736">
        <f t="shared" si="0"/>
        <v>2246.7199999999998</v>
      </c>
      <c r="N17" s="736">
        <f t="shared" si="1"/>
        <v>2078.21</v>
      </c>
      <c r="O17" s="736">
        <f t="shared" si="2"/>
        <v>2410.7141946430074</v>
      </c>
      <c r="P17" s="736">
        <f t="shared" si="3"/>
        <v>39.888227767114522</v>
      </c>
      <c r="Q17" s="736">
        <f t="shared" si="4"/>
        <v>59.943320537428022</v>
      </c>
      <c r="R17" s="736"/>
      <c r="S17" s="736">
        <f t="shared" si="5"/>
        <v>705.56347729176002</v>
      </c>
      <c r="T17" s="736">
        <f t="shared" si="6"/>
        <v>713.44664747280876</v>
      </c>
      <c r="U17" s="736">
        <f t="shared" si="7"/>
        <v>144.11622278950739</v>
      </c>
      <c r="V17" s="736">
        <f t="shared" si="8"/>
        <v>145.79907869481764</v>
      </c>
      <c r="W17" s="736">
        <f t="shared" si="9"/>
        <v>601.95722008957136</v>
      </c>
      <c r="X17" s="736">
        <f t="shared" si="10"/>
        <v>-163.99419464300763</v>
      </c>
      <c r="Y17" s="736">
        <f t="shared" si="11"/>
        <v>92.499732944025084</v>
      </c>
      <c r="Z17" s="736">
        <v>0</v>
      </c>
      <c r="AA17" s="736">
        <v>4.76</v>
      </c>
      <c r="AB17" s="736">
        <f t="shared" si="13"/>
        <v>168.50999999999976</v>
      </c>
      <c r="AC17" s="350" t="s">
        <v>548</v>
      </c>
      <c r="AD17" s="223"/>
      <c r="AE17" s="223"/>
      <c r="AF17" s="223"/>
      <c r="AG17" s="259"/>
      <c r="AH17" s="259"/>
    </row>
    <row r="18" spans="1:34" x14ac:dyDescent="0.25">
      <c r="A18" s="22">
        <v>11</v>
      </c>
      <c r="B18" s="584">
        <v>42569</v>
      </c>
      <c r="C18" s="43" t="s">
        <v>136</v>
      </c>
      <c r="D18" s="737">
        <v>1958</v>
      </c>
      <c r="E18" s="737">
        <v>1</v>
      </c>
      <c r="F18" s="737">
        <v>4</v>
      </c>
      <c r="G18" s="349">
        <v>4</v>
      </c>
      <c r="H18" s="738">
        <v>115.8</v>
      </c>
      <c r="I18" s="738">
        <v>0</v>
      </c>
      <c r="J18" s="738">
        <v>0</v>
      </c>
      <c r="K18" s="736">
        <v>3233.12</v>
      </c>
      <c r="L18" s="736">
        <v>1371.08</v>
      </c>
      <c r="M18" s="736">
        <f t="shared" si="0"/>
        <v>3233.12</v>
      </c>
      <c r="N18" s="736">
        <f t="shared" si="1"/>
        <v>1371.08</v>
      </c>
      <c r="O18" s="736">
        <f t="shared" si="2"/>
        <v>2688.6938542143753</v>
      </c>
      <c r="P18" s="736">
        <f t="shared" si="3"/>
        <v>39.144548944337814</v>
      </c>
      <c r="Q18" s="736">
        <f t="shared" si="4"/>
        <v>58.825733205374277</v>
      </c>
      <c r="R18" s="736"/>
      <c r="S18" s="736">
        <f t="shared" si="5"/>
        <v>1015.3340824408629</v>
      </c>
      <c r="T18" s="736">
        <f t="shared" si="6"/>
        <v>700.14509980806145</v>
      </c>
      <c r="U18" s="736">
        <f t="shared" si="7"/>
        <v>141.42931016122841</v>
      </c>
      <c r="V18" s="736">
        <f t="shared" si="8"/>
        <v>143.08079078694817</v>
      </c>
      <c r="W18" s="736">
        <f t="shared" si="9"/>
        <v>590.73428886756244</v>
      </c>
      <c r="X18" s="736">
        <f t="shared" si="10"/>
        <v>544.42614578562461</v>
      </c>
      <c r="Y18" s="736">
        <f t="shared" si="11"/>
        <v>42.407334092146286</v>
      </c>
      <c r="Z18" s="736">
        <v>0</v>
      </c>
      <c r="AA18" s="736">
        <v>6.98</v>
      </c>
      <c r="AB18" s="736">
        <f t="shared" si="13"/>
        <v>1862.04</v>
      </c>
      <c r="AC18" s="350"/>
      <c r="AD18" s="223"/>
      <c r="AE18" s="223"/>
      <c r="AF18" s="223"/>
      <c r="AG18" s="259"/>
      <c r="AH18" s="259"/>
    </row>
    <row r="19" spans="1:34" x14ac:dyDescent="0.25">
      <c r="A19" s="22">
        <v>12</v>
      </c>
      <c r="B19" s="585">
        <v>42401</v>
      </c>
      <c r="C19" s="43" t="s">
        <v>137</v>
      </c>
      <c r="D19" s="737">
        <v>1958</v>
      </c>
      <c r="E19" s="737">
        <v>1</v>
      </c>
      <c r="F19" s="737">
        <v>4</v>
      </c>
      <c r="G19" s="708">
        <v>9</v>
      </c>
      <c r="H19" s="738">
        <v>162.1</v>
      </c>
      <c r="I19" s="738">
        <v>0</v>
      </c>
      <c r="J19" s="738">
        <v>0</v>
      </c>
      <c r="K19" s="736">
        <v>3086.4</v>
      </c>
      <c r="L19" s="736">
        <v>-1116.8499999999999</v>
      </c>
      <c r="M19" s="736">
        <f t="shared" si="0"/>
        <v>3086.4</v>
      </c>
      <c r="N19" s="736">
        <f t="shared" si="1"/>
        <v>-1116.8499999999999</v>
      </c>
      <c r="O19" s="736">
        <f t="shared" si="2"/>
        <v>3311.6725751026838</v>
      </c>
      <c r="P19" s="736">
        <f t="shared" si="3"/>
        <v>54.795607805502236</v>
      </c>
      <c r="Q19" s="736">
        <f t="shared" si="4"/>
        <v>82.345866602687124</v>
      </c>
      <c r="R19" s="736"/>
      <c r="S19" s="736">
        <f t="shared" si="5"/>
        <v>969.2579032159274</v>
      </c>
      <c r="T19" s="736">
        <f t="shared" si="6"/>
        <v>980.08221657069737</v>
      </c>
      <c r="U19" s="736">
        <f t="shared" si="7"/>
        <v>197.97660774728089</v>
      </c>
      <c r="V19" s="736">
        <f t="shared" si="8"/>
        <v>200.28839539347408</v>
      </c>
      <c r="W19" s="736">
        <f t="shared" si="9"/>
        <v>826.92597776711455</v>
      </c>
      <c r="X19" s="736">
        <f t="shared" si="10"/>
        <v>-225.27257510268373</v>
      </c>
      <c r="Y19" s="736">
        <f t="shared" si="11"/>
        <v>-36.186171591498187</v>
      </c>
      <c r="Z19" s="736">
        <v>0</v>
      </c>
      <c r="AA19" s="736">
        <v>4.76</v>
      </c>
      <c r="AB19" s="736">
        <f t="shared" si="13"/>
        <v>4203.25</v>
      </c>
      <c r="AC19" s="350"/>
      <c r="AD19" s="223"/>
      <c r="AE19" s="223"/>
      <c r="AF19" s="223"/>
      <c r="AG19" s="259"/>
      <c r="AH19" s="259"/>
    </row>
    <row r="20" spans="1:34" x14ac:dyDescent="0.25">
      <c r="A20" s="22">
        <v>13</v>
      </c>
      <c r="B20" s="585">
        <v>42461</v>
      </c>
      <c r="C20" s="43" t="s">
        <v>138</v>
      </c>
      <c r="D20" s="737">
        <v>1959</v>
      </c>
      <c r="E20" s="737">
        <v>1</v>
      </c>
      <c r="F20" s="737">
        <v>4</v>
      </c>
      <c r="G20" s="349">
        <v>8</v>
      </c>
      <c r="H20" s="738">
        <v>135.6</v>
      </c>
      <c r="I20" s="738">
        <v>0</v>
      </c>
      <c r="J20" s="738">
        <v>0</v>
      </c>
      <c r="K20" s="736">
        <v>2581.8000000000002</v>
      </c>
      <c r="L20" s="736">
        <v>2480.5700000000002</v>
      </c>
      <c r="M20" s="736">
        <f t="shared" si="0"/>
        <v>2581.8000000000002</v>
      </c>
      <c r="N20" s="736">
        <f t="shared" si="1"/>
        <v>2480.5700000000002</v>
      </c>
      <c r="O20" s="736">
        <f t="shared" si="2"/>
        <v>2770.270808710713</v>
      </c>
      <c r="P20" s="736">
        <f t="shared" si="3"/>
        <v>45.837658349328215</v>
      </c>
      <c r="Q20" s="736">
        <f t="shared" si="4"/>
        <v>68.884019193857952</v>
      </c>
      <c r="R20" s="736"/>
      <c r="S20" s="736">
        <f t="shared" si="5"/>
        <v>810.79252673758481</v>
      </c>
      <c r="T20" s="736">
        <f t="shared" si="6"/>
        <v>819.85902879078697</v>
      </c>
      <c r="U20" s="736">
        <f t="shared" si="7"/>
        <v>165.61152381573899</v>
      </c>
      <c r="V20" s="736">
        <f t="shared" si="8"/>
        <v>167.54538195777349</v>
      </c>
      <c r="W20" s="736">
        <f t="shared" si="9"/>
        <v>691.74066986564299</v>
      </c>
      <c r="X20" s="736">
        <f t="shared" si="10"/>
        <v>-188.47080871071284</v>
      </c>
      <c r="Y20" s="736">
        <f t="shared" si="11"/>
        <v>96.079092106282431</v>
      </c>
      <c r="Z20" s="736">
        <v>0</v>
      </c>
      <c r="AA20" s="736">
        <v>12</v>
      </c>
      <c r="AB20" s="736">
        <f t="shared" si="13"/>
        <v>101.23000000000002</v>
      </c>
      <c r="AC20" s="350"/>
      <c r="AD20" s="223"/>
      <c r="AE20" s="223"/>
      <c r="AF20" s="223"/>
      <c r="AG20" s="259"/>
      <c r="AH20" s="259"/>
    </row>
    <row r="21" spans="1:34" x14ac:dyDescent="0.25">
      <c r="A21" s="22">
        <v>14</v>
      </c>
      <c r="B21" s="584">
        <v>42569</v>
      </c>
      <c r="C21" s="43" t="s">
        <v>139</v>
      </c>
      <c r="D21" s="737">
        <v>1958</v>
      </c>
      <c r="E21" s="737">
        <v>1</v>
      </c>
      <c r="F21" s="737">
        <v>4</v>
      </c>
      <c r="G21" s="708">
        <v>12</v>
      </c>
      <c r="H21" s="738">
        <v>115.2</v>
      </c>
      <c r="I21" s="738">
        <v>0</v>
      </c>
      <c r="J21" s="738">
        <v>0</v>
      </c>
      <c r="K21" s="736">
        <v>3216.4</v>
      </c>
      <c r="L21" s="736">
        <v>1527.86</v>
      </c>
      <c r="M21" s="736">
        <f t="shared" si="0"/>
        <v>3216.4</v>
      </c>
      <c r="N21" s="736">
        <f t="shared" si="1"/>
        <v>1527.86</v>
      </c>
      <c r="O21" s="736">
        <f t="shared" si="2"/>
        <v>2674.7728212706447</v>
      </c>
      <c r="P21" s="736">
        <f t="shared" si="3"/>
        <v>38.941727447216891</v>
      </c>
      <c r="Q21" s="736">
        <f t="shared" si="4"/>
        <v>58.52093666026871</v>
      </c>
      <c r="R21" s="736"/>
      <c r="S21" s="736">
        <f t="shared" si="5"/>
        <v>1010.083307381969</v>
      </c>
      <c r="T21" s="736">
        <f t="shared" si="6"/>
        <v>696.51740499040318</v>
      </c>
      <c r="U21" s="736">
        <f t="shared" si="7"/>
        <v>140.69651580806146</v>
      </c>
      <c r="V21" s="736">
        <f t="shared" si="8"/>
        <v>142.33943953934741</v>
      </c>
      <c r="W21" s="736">
        <f t="shared" si="9"/>
        <v>587.67348944337812</v>
      </c>
      <c r="X21" s="736">
        <f t="shared" si="10"/>
        <v>541.62717872935536</v>
      </c>
      <c r="Y21" s="736">
        <f t="shared" si="11"/>
        <v>47.502176346225589</v>
      </c>
      <c r="Z21" s="736">
        <v>0</v>
      </c>
      <c r="AA21" s="736">
        <v>6.98</v>
      </c>
      <c r="AB21" s="736">
        <f t="shared" si="13"/>
        <v>1688.5400000000002</v>
      </c>
      <c r="AC21" s="350"/>
      <c r="AD21" s="223"/>
      <c r="AE21" s="223"/>
      <c r="AF21" s="223"/>
      <c r="AG21" s="259"/>
      <c r="AH21" s="259"/>
    </row>
    <row r="22" spans="1:34" x14ac:dyDescent="0.25">
      <c r="A22" s="22">
        <v>15</v>
      </c>
      <c r="B22" s="585">
        <v>42401</v>
      </c>
      <c r="C22" s="43" t="s">
        <v>140</v>
      </c>
      <c r="D22" s="737">
        <v>1958</v>
      </c>
      <c r="E22" s="737">
        <v>1</v>
      </c>
      <c r="F22" s="737">
        <v>3</v>
      </c>
      <c r="G22" s="349">
        <v>7</v>
      </c>
      <c r="H22" s="738">
        <v>122.3</v>
      </c>
      <c r="I22" s="738">
        <v>0</v>
      </c>
      <c r="J22" s="738">
        <v>0</v>
      </c>
      <c r="K22" s="736">
        <v>2328.56</v>
      </c>
      <c r="L22" s="736">
        <v>1686.92</v>
      </c>
      <c r="M22" s="736">
        <f t="shared" si="0"/>
        <v>2328.56</v>
      </c>
      <c r="N22" s="736">
        <f t="shared" si="1"/>
        <v>1686.92</v>
      </c>
      <c r="O22" s="736">
        <f t="shared" si="2"/>
        <v>2498.5522049480478</v>
      </c>
      <c r="P22" s="736">
        <f t="shared" si="3"/>
        <v>41.341781829814458</v>
      </c>
      <c r="Q22" s="736">
        <f t="shared" si="4"/>
        <v>62.127695777351242</v>
      </c>
      <c r="R22" s="736"/>
      <c r="S22" s="736">
        <f t="shared" si="5"/>
        <v>731.26463942213582</v>
      </c>
      <c r="T22" s="736">
        <f t="shared" si="6"/>
        <v>739.44512699936024</v>
      </c>
      <c r="U22" s="736">
        <f t="shared" si="7"/>
        <v>149.36791565387077</v>
      </c>
      <c r="V22" s="736">
        <f t="shared" si="8"/>
        <v>151.11209596928981</v>
      </c>
      <c r="W22" s="736">
        <f t="shared" si="9"/>
        <v>623.8929492962252</v>
      </c>
      <c r="X22" s="736">
        <f t="shared" si="10"/>
        <v>-169.99220494804786</v>
      </c>
      <c r="Y22" s="736">
        <f t="shared" si="11"/>
        <v>72.444772735080903</v>
      </c>
      <c r="Z22" s="736">
        <v>0</v>
      </c>
      <c r="AA22" s="736">
        <v>4.76</v>
      </c>
      <c r="AB22" s="736">
        <f t="shared" si="13"/>
        <v>641.63999999999987</v>
      </c>
      <c r="AC22" s="350"/>
      <c r="AD22" s="223"/>
      <c r="AE22" s="223"/>
      <c r="AF22" s="223"/>
      <c r="AG22" s="259"/>
      <c r="AH22" s="259"/>
    </row>
    <row r="23" spans="1:34" x14ac:dyDescent="0.25">
      <c r="A23" s="22">
        <v>16</v>
      </c>
      <c r="B23" s="585">
        <v>42401</v>
      </c>
      <c r="C23" s="43" t="s">
        <v>141</v>
      </c>
      <c r="D23" s="737">
        <v>1958</v>
      </c>
      <c r="E23" s="737">
        <v>1</v>
      </c>
      <c r="F23" s="737">
        <v>4</v>
      </c>
      <c r="G23" s="661">
        <v>7</v>
      </c>
      <c r="H23" s="738">
        <v>154.6</v>
      </c>
      <c r="I23" s="738">
        <v>0</v>
      </c>
      <c r="J23" s="738">
        <v>0</v>
      </c>
      <c r="K23" s="736">
        <v>2943.56</v>
      </c>
      <c r="L23" s="736">
        <v>1987.76</v>
      </c>
      <c r="M23" s="736">
        <f t="shared" si="0"/>
        <v>2943.56</v>
      </c>
      <c r="N23" s="736">
        <f t="shared" si="1"/>
        <v>1987.76</v>
      </c>
      <c r="O23" s="736">
        <f t="shared" si="2"/>
        <v>3158.4366536108587</v>
      </c>
      <c r="P23" s="736">
        <f t="shared" si="3"/>
        <v>52.260339091490721</v>
      </c>
      <c r="Q23" s="736">
        <f t="shared" si="4"/>
        <v>78.535909788867556</v>
      </c>
      <c r="R23" s="736"/>
      <c r="S23" s="736">
        <f t="shared" si="5"/>
        <v>924.40020528456296</v>
      </c>
      <c r="T23" s="736">
        <f t="shared" si="6"/>
        <v>934.73603134996802</v>
      </c>
      <c r="U23" s="736">
        <f t="shared" si="7"/>
        <v>188.81667833269356</v>
      </c>
      <c r="V23" s="736">
        <f t="shared" si="8"/>
        <v>191.02150479846446</v>
      </c>
      <c r="W23" s="736">
        <f t="shared" si="9"/>
        <v>788.66598496481129</v>
      </c>
      <c r="X23" s="736">
        <f t="shared" si="10"/>
        <v>-214.87665361085874</v>
      </c>
      <c r="Y23" s="736">
        <f t="shared" si="11"/>
        <v>67.529114405685633</v>
      </c>
      <c r="Z23" s="736">
        <v>0</v>
      </c>
      <c r="AA23" s="736">
        <v>4.76</v>
      </c>
      <c r="AB23" s="736">
        <f t="shared" si="13"/>
        <v>955.8</v>
      </c>
      <c r="AC23" s="350"/>
      <c r="AD23" s="223"/>
      <c r="AE23" s="223"/>
      <c r="AF23" s="223"/>
      <c r="AG23" s="259"/>
      <c r="AH23" s="259"/>
    </row>
    <row r="24" spans="1:34" x14ac:dyDescent="0.25">
      <c r="A24" s="22">
        <v>17</v>
      </c>
      <c r="B24" s="585">
        <v>42461</v>
      </c>
      <c r="C24" s="43" t="s">
        <v>142</v>
      </c>
      <c r="D24" s="737">
        <v>1958</v>
      </c>
      <c r="E24" s="737">
        <v>1</v>
      </c>
      <c r="F24" s="737">
        <v>3</v>
      </c>
      <c r="G24" s="661">
        <v>10</v>
      </c>
      <c r="H24" s="738">
        <v>141.19999999999999</v>
      </c>
      <c r="I24" s="738">
        <v>0</v>
      </c>
      <c r="J24" s="738">
        <v>0</v>
      </c>
      <c r="K24" s="736">
        <v>2688.48</v>
      </c>
      <c r="L24" s="736">
        <v>2266.77</v>
      </c>
      <c r="M24" s="736">
        <f t="shared" si="0"/>
        <v>2688.48</v>
      </c>
      <c r="N24" s="736">
        <f t="shared" si="1"/>
        <v>2266.77</v>
      </c>
      <c r="O24" s="736">
        <f t="shared" si="2"/>
        <v>2884.6951703776517</v>
      </c>
      <c r="P24" s="736">
        <f t="shared" si="3"/>
        <v>47.730658989123476</v>
      </c>
      <c r="Q24" s="736">
        <f t="shared" si="4"/>
        <v>71.728786948176577</v>
      </c>
      <c r="R24" s="736"/>
      <c r="S24" s="736">
        <f t="shared" si="5"/>
        <v>844.29448147937944</v>
      </c>
      <c r="T24" s="736">
        <f t="shared" si="6"/>
        <v>853.71751375559813</v>
      </c>
      <c r="U24" s="736">
        <f t="shared" si="7"/>
        <v>172.45093777863084</v>
      </c>
      <c r="V24" s="736">
        <f t="shared" si="8"/>
        <v>174.464660268714</v>
      </c>
      <c r="W24" s="736">
        <f t="shared" si="9"/>
        <v>720.30813115802937</v>
      </c>
      <c r="X24" s="736">
        <f t="shared" si="10"/>
        <v>-196.2151703776517</v>
      </c>
      <c r="Y24" s="736">
        <f t="shared" si="11"/>
        <v>84.314184966970188</v>
      </c>
      <c r="Z24" s="736">
        <v>0</v>
      </c>
      <c r="AA24" s="736">
        <v>4.76</v>
      </c>
      <c r="AB24" s="736">
        <f t="shared" si="13"/>
        <v>421.71000000000004</v>
      </c>
      <c r="AC24" s="350"/>
      <c r="AD24" s="223"/>
      <c r="AE24" s="223"/>
      <c r="AF24" s="223"/>
      <c r="AG24" s="259"/>
      <c r="AH24" s="259"/>
    </row>
    <row r="25" spans="1:34" x14ac:dyDescent="0.25">
      <c r="A25" s="22">
        <v>18</v>
      </c>
      <c r="B25" s="585">
        <v>42401</v>
      </c>
      <c r="C25" s="43" t="s">
        <v>143</v>
      </c>
      <c r="D25" s="737">
        <v>1959</v>
      </c>
      <c r="E25" s="737">
        <v>1</v>
      </c>
      <c r="F25" s="737">
        <v>3</v>
      </c>
      <c r="G25" s="661">
        <v>7</v>
      </c>
      <c r="H25" s="738">
        <v>136.30000000000001</v>
      </c>
      <c r="I25" s="738">
        <v>0</v>
      </c>
      <c r="J25" s="738">
        <v>0</v>
      </c>
      <c r="K25" s="736">
        <v>2595.12</v>
      </c>
      <c r="L25" s="736">
        <v>1288.52</v>
      </c>
      <c r="M25" s="736">
        <f t="shared" si="0"/>
        <v>2595.12</v>
      </c>
      <c r="N25" s="736">
        <f t="shared" si="1"/>
        <v>1288.52</v>
      </c>
      <c r="O25" s="736">
        <f t="shared" si="2"/>
        <v>2784.5691432955236</v>
      </c>
      <c r="P25" s="736">
        <f t="shared" si="3"/>
        <v>46.074283429302632</v>
      </c>
      <c r="Q25" s="736">
        <f t="shared" si="4"/>
        <v>69.239615163147789</v>
      </c>
      <c r="R25" s="736"/>
      <c r="S25" s="736">
        <f t="shared" si="5"/>
        <v>814.9755604567514</v>
      </c>
      <c r="T25" s="736">
        <f t="shared" si="6"/>
        <v>824.0913394113885</v>
      </c>
      <c r="U25" s="736">
        <f t="shared" si="7"/>
        <v>166.46645056110049</v>
      </c>
      <c r="V25" s="736">
        <f t="shared" si="8"/>
        <v>168.41029174664109</v>
      </c>
      <c r="W25" s="736">
        <f t="shared" si="9"/>
        <v>695.31160252719133</v>
      </c>
      <c r="X25" s="736">
        <f t="shared" si="10"/>
        <v>-189.44914329552375</v>
      </c>
      <c r="Y25" s="736">
        <f t="shared" si="11"/>
        <v>49.651653873423967</v>
      </c>
      <c r="Z25" s="736">
        <v>0</v>
      </c>
      <c r="AA25" s="736">
        <v>4.76</v>
      </c>
      <c r="AB25" s="736">
        <f t="shared" si="13"/>
        <v>1306.5999999999999</v>
      </c>
      <c r="AC25" s="350"/>
      <c r="AD25" s="223"/>
      <c r="AE25" s="223"/>
      <c r="AF25" s="223"/>
      <c r="AG25" s="259"/>
      <c r="AH25" s="259"/>
    </row>
    <row r="26" spans="1:34" x14ac:dyDescent="0.25">
      <c r="A26" s="379">
        <v>19</v>
      </c>
      <c r="B26" s="584">
        <v>42569</v>
      </c>
      <c r="C26" s="256" t="s">
        <v>144</v>
      </c>
      <c r="D26" s="842">
        <v>1958</v>
      </c>
      <c r="E26" s="842">
        <v>1</v>
      </c>
      <c r="F26" s="842">
        <v>3</v>
      </c>
      <c r="G26" s="749">
        <v>9</v>
      </c>
      <c r="H26" s="843">
        <v>119.5</v>
      </c>
      <c r="I26" s="843">
        <v>0</v>
      </c>
      <c r="J26" s="843">
        <v>0</v>
      </c>
      <c r="K26" s="844">
        <v>4263.3999999999996</v>
      </c>
      <c r="L26" s="844">
        <v>3217.57</v>
      </c>
      <c r="M26" s="736">
        <f t="shared" si="0"/>
        <v>4263.3999999999996</v>
      </c>
      <c r="N26" s="736">
        <f t="shared" si="1"/>
        <v>3217.57</v>
      </c>
      <c r="O26" s="736">
        <f t="shared" si="2"/>
        <v>3065.7111937671971</v>
      </c>
      <c r="P26" s="736">
        <f t="shared" si="3"/>
        <v>40.395281509916828</v>
      </c>
      <c r="Q26" s="736">
        <f t="shared" si="4"/>
        <v>60.705311900191937</v>
      </c>
      <c r="R26" s="844"/>
      <c r="S26" s="736">
        <f t="shared" si="5"/>
        <v>1338.8848317038571</v>
      </c>
      <c r="T26" s="736">
        <f t="shared" si="6"/>
        <v>722.51588451695466</v>
      </c>
      <c r="U26" s="736">
        <f t="shared" si="7"/>
        <v>145.94820867242484</v>
      </c>
      <c r="V26" s="736">
        <f t="shared" si="8"/>
        <v>147.65245681381958</v>
      </c>
      <c r="W26" s="736">
        <f t="shared" si="9"/>
        <v>609.60921865003206</v>
      </c>
      <c r="X26" s="736">
        <f t="shared" si="10"/>
        <v>1197.6888062328026</v>
      </c>
      <c r="Y26" s="736">
        <f t="shared" si="11"/>
        <v>75.469578270863636</v>
      </c>
      <c r="Z26" s="736">
        <v>0</v>
      </c>
      <c r="AA26" s="844">
        <v>6.98</v>
      </c>
      <c r="AB26" s="736">
        <f t="shared" si="13"/>
        <v>1045.8299999999995</v>
      </c>
      <c r="AC26" s="350"/>
      <c r="AD26" s="223"/>
      <c r="AE26" s="223"/>
      <c r="AF26" s="223"/>
      <c r="AG26" s="259"/>
      <c r="AH26" s="259"/>
    </row>
    <row r="27" spans="1:34" x14ac:dyDescent="0.25">
      <c r="A27" s="22"/>
      <c r="B27" s="22"/>
      <c r="C27" s="384" t="s">
        <v>125</v>
      </c>
      <c r="D27" s="845"/>
      <c r="E27" s="845"/>
      <c r="F27" s="846">
        <f t="shared" ref="F27:P27" si="14">SUM(F8:F26)</f>
        <v>134</v>
      </c>
      <c r="G27" s="846">
        <f t="shared" si="14"/>
        <v>340</v>
      </c>
      <c r="H27" s="847">
        <f t="shared" si="14"/>
        <v>6252.0000000000009</v>
      </c>
      <c r="I27" s="847">
        <f t="shared" si="14"/>
        <v>12307.77</v>
      </c>
      <c r="J27" s="847">
        <f t="shared" si="14"/>
        <v>5941.5</v>
      </c>
      <c r="K27" s="762">
        <f>SUM(K8:K26)</f>
        <v>213553.31999999998</v>
      </c>
      <c r="L27" s="762">
        <f t="shared" si="14"/>
        <v>168998.02999999997</v>
      </c>
      <c r="M27" s="762">
        <f t="shared" si="14"/>
        <v>225861.08999999994</v>
      </c>
      <c r="N27" s="762">
        <f t="shared" si="14"/>
        <v>174939.52999999994</v>
      </c>
      <c r="O27" s="762">
        <f t="shared" si="14"/>
        <v>166906.23716000002</v>
      </c>
      <c r="P27" s="762">
        <f t="shared" si="14"/>
        <v>2113.4</v>
      </c>
      <c r="Q27" s="762">
        <f>SUM(Q8:Q26)</f>
        <v>3175.9800000000005</v>
      </c>
      <c r="R27" s="762">
        <f t="shared" ref="R27:W27" si="15">SUM(R8:R26)</f>
        <v>9497.5300000000007</v>
      </c>
      <c r="S27" s="762">
        <f t="shared" si="15"/>
        <v>67064.62</v>
      </c>
      <c r="T27" s="762">
        <f t="shared" si="15"/>
        <v>37800.58</v>
      </c>
      <c r="U27" s="762">
        <f t="shared" si="15"/>
        <v>7635.7171600000011</v>
      </c>
      <c r="V27" s="762">
        <f t="shared" si="15"/>
        <v>7724.88</v>
      </c>
      <c r="W27" s="762">
        <f t="shared" si="15"/>
        <v>31893.53</v>
      </c>
      <c r="X27" s="762">
        <f>SUM(X8:X26)</f>
        <v>58954.852840000014</v>
      </c>
      <c r="Y27" s="762">
        <f t="shared" si="11"/>
        <v>79.136222279288376</v>
      </c>
      <c r="Z27" s="762">
        <f t="shared" si="12"/>
        <v>48.274382767958777</v>
      </c>
      <c r="AA27" s="762"/>
      <c r="AB27" s="762">
        <f t="shared" si="13"/>
        <v>50921.56</v>
      </c>
      <c r="AC27" s="848"/>
      <c r="AD27" s="223"/>
      <c r="AE27" s="223"/>
      <c r="AF27" s="223"/>
      <c r="AG27" s="259"/>
      <c r="AH27" s="259"/>
    </row>
    <row r="28" spans="1:34" x14ac:dyDescent="0.25">
      <c r="A28" s="380"/>
      <c r="B28" s="380"/>
      <c r="C28" s="9"/>
      <c r="D28" s="375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5"/>
      <c r="P28" s="375"/>
      <c r="Q28" s="849"/>
      <c r="R28" s="375"/>
      <c r="S28" s="375"/>
      <c r="T28" s="763">
        <f>T27+U27</f>
        <v>45436.297160000002</v>
      </c>
      <c r="U28" s="375"/>
      <c r="V28" s="375"/>
      <c r="W28" s="375"/>
      <c r="X28" s="764"/>
      <c r="Y28" s="375"/>
      <c r="Z28" s="375"/>
      <c r="AA28" s="375"/>
      <c r="AB28" s="349"/>
      <c r="AC28" s="349"/>
      <c r="AD28" s="9"/>
    </row>
    <row r="29" spans="1:34" x14ac:dyDescent="0.25">
      <c r="D29" s="375"/>
      <c r="E29" s="375"/>
      <c r="F29" s="375"/>
      <c r="G29" s="375"/>
      <c r="H29" s="375"/>
      <c r="I29" s="375"/>
      <c r="J29" s="375"/>
      <c r="K29" s="375"/>
      <c r="L29" s="375"/>
      <c r="M29" s="375"/>
      <c r="N29" s="375"/>
      <c r="O29" s="375" t="s">
        <v>180</v>
      </c>
      <c r="P29" s="375"/>
      <c r="Q29" s="375"/>
      <c r="R29" s="375"/>
      <c r="S29" s="375"/>
      <c r="T29" s="375"/>
      <c r="U29" s="375"/>
      <c r="V29" s="375"/>
      <c r="W29" s="375"/>
      <c r="X29" s="375"/>
      <c r="Y29" s="375"/>
      <c r="Z29" s="375"/>
      <c r="AA29" s="375"/>
      <c r="AB29" s="349"/>
      <c r="AC29" s="349"/>
      <c r="AD29" s="9"/>
    </row>
    <row r="30" spans="1:34" x14ac:dyDescent="0.25"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75"/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5"/>
      <c r="AB30" s="375"/>
      <c r="AC30" s="375"/>
    </row>
    <row r="31" spans="1:34" ht="18.75" x14ac:dyDescent="0.3">
      <c r="D31" s="2162" t="s">
        <v>307</v>
      </c>
      <c r="E31" s="2162"/>
      <c r="F31" s="2162"/>
      <c r="G31" s="2162"/>
      <c r="H31" s="2162"/>
      <c r="I31" s="2162"/>
      <c r="J31" s="2162"/>
      <c r="K31" s="2162"/>
      <c r="L31" s="2162"/>
      <c r="M31" s="2162"/>
      <c r="N31" s="2162"/>
      <c r="O31" s="2162"/>
      <c r="P31" s="2162"/>
      <c r="Q31" s="2162"/>
      <c r="R31" s="2162"/>
      <c r="S31" s="850"/>
      <c r="T31" s="850"/>
      <c r="U31" s="850"/>
      <c r="V31" s="850"/>
      <c r="W31" s="850"/>
      <c r="X31" s="850"/>
      <c r="Y31" s="375"/>
      <c r="Z31" s="375"/>
      <c r="AA31" s="851"/>
      <c r="AB31" s="375"/>
      <c r="AC31" s="375"/>
    </row>
    <row r="32" spans="1:34" ht="15.75" x14ac:dyDescent="0.25">
      <c r="D32" s="2091" t="s">
        <v>561</v>
      </c>
      <c r="E32" s="2091"/>
      <c r="F32" s="2091"/>
      <c r="G32" s="2091"/>
      <c r="H32" s="2091"/>
      <c r="I32" s="2091"/>
      <c r="J32" s="2091"/>
      <c r="K32" s="2091"/>
      <c r="L32" s="2091"/>
      <c r="M32" s="2091"/>
      <c r="N32" s="2091"/>
      <c r="O32" s="2091"/>
      <c r="P32" s="2091"/>
      <c r="Q32" s="2091"/>
      <c r="R32" s="2091"/>
      <c r="S32" s="852"/>
      <c r="T32" s="852"/>
      <c r="U32" s="852"/>
      <c r="V32" s="852"/>
      <c r="W32" s="852"/>
      <c r="X32" s="852"/>
      <c r="Y32" s="375"/>
      <c r="Z32" s="375"/>
      <c r="AA32" s="851"/>
      <c r="AB32" s="375"/>
      <c r="AC32" s="375"/>
    </row>
    <row r="33" spans="1:30" x14ac:dyDescent="0.25">
      <c r="D33" s="375"/>
      <c r="E33" s="375"/>
      <c r="F33" s="375"/>
      <c r="G33" s="375"/>
      <c r="H33" s="375"/>
      <c r="I33" s="375"/>
      <c r="J33" s="375"/>
      <c r="K33" s="375"/>
      <c r="L33" s="375"/>
      <c r="M33" s="375"/>
      <c r="N33" s="375"/>
      <c r="O33" s="375"/>
      <c r="P33" s="375"/>
      <c r="Q33" s="375"/>
      <c r="R33" s="375"/>
      <c r="S33" s="375"/>
      <c r="T33" s="375"/>
      <c r="U33" s="349"/>
      <c r="V33" s="349"/>
      <c r="W33" s="349"/>
      <c r="X33" s="349"/>
      <c r="Y33" s="349"/>
      <c r="Z33" s="349"/>
      <c r="AA33" s="790"/>
      <c r="AB33" s="349"/>
      <c r="AC33" s="349"/>
      <c r="AD33" s="9"/>
    </row>
    <row r="34" spans="1:30" ht="24" customHeight="1" x14ac:dyDescent="0.25">
      <c r="A34" s="2083" t="s">
        <v>0</v>
      </c>
      <c r="B34" s="2014"/>
      <c r="C34" s="2083" t="s">
        <v>184</v>
      </c>
      <c r="D34" s="2084" t="s">
        <v>54</v>
      </c>
      <c r="E34" s="2085" t="s">
        <v>55</v>
      </c>
      <c r="F34" s="2084" t="s">
        <v>56</v>
      </c>
      <c r="G34" s="2084" t="s">
        <v>57</v>
      </c>
      <c r="H34" s="2085" t="s">
        <v>6</v>
      </c>
      <c r="I34" s="959"/>
      <c r="J34" s="959"/>
      <c r="K34" s="2163" t="s">
        <v>284</v>
      </c>
      <c r="L34" s="2163"/>
      <c r="M34" s="964"/>
      <c r="N34" s="964"/>
      <c r="O34" s="2074" t="s">
        <v>181</v>
      </c>
      <c r="P34" s="2084" t="s">
        <v>332</v>
      </c>
      <c r="Q34" s="2074" t="s">
        <v>175</v>
      </c>
      <c r="R34" s="2074" t="s">
        <v>183</v>
      </c>
      <c r="S34" s="2076" t="s">
        <v>182</v>
      </c>
      <c r="T34" s="2081" t="s">
        <v>547</v>
      </c>
      <c r="U34" s="2093" t="s">
        <v>566</v>
      </c>
      <c r="V34" s="2165"/>
      <c r="W34" s="2165"/>
      <c r="X34" s="2165"/>
      <c r="Y34" s="2166"/>
      <c r="Z34" s="1023"/>
      <c r="AA34" s="2168"/>
      <c r="AB34" s="2165"/>
      <c r="AC34" s="2166"/>
      <c r="AD34" s="2160"/>
    </row>
    <row r="35" spans="1:30" ht="30" customHeight="1" x14ac:dyDescent="0.25">
      <c r="A35" s="2083"/>
      <c r="B35" s="2015"/>
      <c r="C35" s="2083"/>
      <c r="D35" s="2084"/>
      <c r="E35" s="2086"/>
      <c r="F35" s="2084"/>
      <c r="G35" s="2084"/>
      <c r="H35" s="2086"/>
      <c r="I35" s="950"/>
      <c r="J35" s="950"/>
      <c r="K35" s="853" t="s">
        <v>15</v>
      </c>
      <c r="L35" s="854" t="s">
        <v>16</v>
      </c>
      <c r="M35" s="965"/>
      <c r="N35" s="965"/>
      <c r="O35" s="2075"/>
      <c r="P35" s="2084"/>
      <c r="Q35" s="2075"/>
      <c r="R35" s="2075"/>
      <c r="S35" s="2077"/>
      <c r="T35" s="2082"/>
      <c r="U35" s="2093"/>
      <c r="V35" s="2165"/>
      <c r="W35" s="2167"/>
      <c r="X35" s="2165"/>
      <c r="Y35" s="2166"/>
      <c r="Z35" s="1023"/>
      <c r="AA35" s="2168"/>
      <c r="AB35" s="2165"/>
      <c r="AC35" s="2166"/>
      <c r="AD35" s="2160"/>
    </row>
    <row r="36" spans="1:30" x14ac:dyDescent="0.25">
      <c r="A36" s="112">
        <v>1</v>
      </c>
      <c r="B36" s="584">
        <v>42569</v>
      </c>
      <c r="C36" s="52" t="s">
        <v>126</v>
      </c>
      <c r="D36" s="702">
        <v>1965</v>
      </c>
      <c r="E36" s="702">
        <v>2</v>
      </c>
      <c r="F36" s="702">
        <v>16</v>
      </c>
      <c r="G36" s="661">
        <v>35</v>
      </c>
      <c r="H36" s="728">
        <v>653.4</v>
      </c>
      <c r="I36" s="960"/>
      <c r="J36" s="960"/>
      <c r="K36" s="736">
        <v>10467.200000000001</v>
      </c>
      <c r="L36" s="736">
        <v>9037.43</v>
      </c>
      <c r="M36" s="966"/>
      <c r="N36" s="966"/>
      <c r="O36" s="736">
        <f>P36</f>
        <v>0</v>
      </c>
      <c r="P36" s="736"/>
      <c r="Q36" s="736">
        <f>K36-O36</f>
        <v>10467.200000000001</v>
      </c>
      <c r="R36" s="736">
        <f>L36/K36*100</f>
        <v>86.340473096912248</v>
      </c>
      <c r="S36" s="736">
        <f>O36/H36/4</f>
        <v>0</v>
      </c>
      <c r="T36" s="736">
        <v>4</v>
      </c>
      <c r="U36" s="736">
        <f>K36-L36</f>
        <v>1429.7700000000004</v>
      </c>
      <c r="V36" s="349"/>
      <c r="W36" s="350"/>
      <c r="X36" s="350"/>
      <c r="Y36" s="350"/>
      <c r="Z36" s="350"/>
      <c r="AA36" s="350"/>
      <c r="AB36" s="350"/>
      <c r="AC36" s="350"/>
      <c r="AD36" s="9"/>
    </row>
    <row r="37" spans="1:30" x14ac:dyDescent="0.25">
      <c r="A37" s="22">
        <v>2</v>
      </c>
      <c r="B37" s="584">
        <v>42569</v>
      </c>
      <c r="C37" s="43" t="s">
        <v>127</v>
      </c>
      <c r="D37" s="737">
        <v>1965</v>
      </c>
      <c r="E37" s="737">
        <v>2</v>
      </c>
      <c r="F37" s="737">
        <v>16</v>
      </c>
      <c r="G37" s="661">
        <v>31</v>
      </c>
      <c r="H37" s="855">
        <v>658.2</v>
      </c>
      <c r="I37" s="961"/>
      <c r="J37" s="961"/>
      <c r="K37" s="736">
        <v>10531.2</v>
      </c>
      <c r="L37" s="736">
        <v>6842.78</v>
      </c>
      <c r="M37" s="966"/>
      <c r="N37" s="966"/>
      <c r="O37" s="736">
        <f t="shared" ref="O37:O44" si="16">P37</f>
        <v>0</v>
      </c>
      <c r="P37" s="736"/>
      <c r="Q37" s="736">
        <f t="shared" ref="Q37:Q43" si="17">K37-O37</f>
        <v>10531.2</v>
      </c>
      <c r="R37" s="736">
        <f t="shared" ref="R37:R44" si="18">L37/K37*100</f>
        <v>64.976261014889076</v>
      </c>
      <c r="S37" s="736">
        <f t="shared" ref="S37:S43" si="19">O37/H37/4</f>
        <v>0</v>
      </c>
      <c r="T37" s="736">
        <v>4</v>
      </c>
      <c r="U37" s="736">
        <f t="shared" ref="U37:U43" si="20">K37-L37</f>
        <v>3688.420000000001</v>
      </c>
      <c r="V37" s="349"/>
      <c r="W37" s="350"/>
      <c r="X37" s="350"/>
      <c r="Y37" s="350"/>
      <c r="Z37" s="350"/>
      <c r="AA37" s="350"/>
      <c r="AB37" s="350"/>
      <c r="AC37" s="350"/>
      <c r="AD37" s="9"/>
    </row>
    <row r="38" spans="1:30" x14ac:dyDescent="0.25">
      <c r="A38" s="22">
        <v>3</v>
      </c>
      <c r="B38" s="584">
        <v>42569</v>
      </c>
      <c r="C38" s="43" t="s">
        <v>128</v>
      </c>
      <c r="D38" s="737">
        <v>1965</v>
      </c>
      <c r="E38" s="737">
        <v>2</v>
      </c>
      <c r="F38" s="737">
        <v>16</v>
      </c>
      <c r="G38" s="661">
        <v>36</v>
      </c>
      <c r="H38" s="855">
        <v>663.6</v>
      </c>
      <c r="I38" s="961"/>
      <c r="J38" s="961"/>
      <c r="K38" s="736">
        <v>10617.6</v>
      </c>
      <c r="L38" s="736">
        <v>8508.74</v>
      </c>
      <c r="M38" s="966"/>
      <c r="N38" s="966"/>
      <c r="O38" s="736">
        <f t="shared" si="16"/>
        <v>0</v>
      </c>
      <c r="P38" s="736"/>
      <c r="Q38" s="736">
        <f t="shared" si="17"/>
        <v>10617.6</v>
      </c>
      <c r="R38" s="736">
        <f t="shared" si="18"/>
        <v>80.138072634116924</v>
      </c>
      <c r="S38" s="736">
        <f t="shared" si="19"/>
        <v>0</v>
      </c>
      <c r="T38" s="736">
        <v>4</v>
      </c>
      <c r="U38" s="736">
        <f t="shared" si="20"/>
        <v>2108.8600000000006</v>
      </c>
      <c r="V38" s="349"/>
      <c r="W38" s="350"/>
      <c r="X38" s="350"/>
      <c r="Y38" s="350"/>
      <c r="Z38" s="350"/>
      <c r="AA38" s="350"/>
      <c r="AB38" s="350"/>
      <c r="AC38" s="350"/>
      <c r="AD38" s="9"/>
    </row>
    <row r="39" spans="1:30" x14ac:dyDescent="0.25">
      <c r="A39" s="22">
        <v>4</v>
      </c>
      <c r="B39" s="584">
        <v>42569</v>
      </c>
      <c r="C39" s="43" t="s">
        <v>129</v>
      </c>
      <c r="D39" s="737">
        <v>1965</v>
      </c>
      <c r="E39" s="737">
        <v>2</v>
      </c>
      <c r="F39" s="737">
        <v>16</v>
      </c>
      <c r="G39" s="661">
        <v>39</v>
      </c>
      <c r="H39" s="855">
        <v>654.70000000000005</v>
      </c>
      <c r="I39" s="961"/>
      <c r="J39" s="961"/>
      <c r="K39" s="736">
        <v>10475.200000000001</v>
      </c>
      <c r="L39" s="736">
        <v>7666.19</v>
      </c>
      <c r="M39" s="966"/>
      <c r="N39" s="966"/>
      <c r="O39" s="736">
        <f t="shared" si="16"/>
        <v>0</v>
      </c>
      <c r="P39" s="736"/>
      <c r="Q39" s="736">
        <f t="shared" si="17"/>
        <v>10475.200000000001</v>
      </c>
      <c r="R39" s="736">
        <f t="shared" si="18"/>
        <v>73.184187414082785</v>
      </c>
      <c r="S39" s="736">
        <f t="shared" si="19"/>
        <v>0</v>
      </c>
      <c r="T39" s="736">
        <v>4</v>
      </c>
      <c r="U39" s="736">
        <f t="shared" si="20"/>
        <v>2809.0100000000011</v>
      </c>
      <c r="V39" s="349"/>
      <c r="W39" s="350"/>
      <c r="X39" s="350"/>
      <c r="Y39" s="350"/>
      <c r="Z39" s="350"/>
      <c r="AA39" s="350"/>
      <c r="AB39" s="350"/>
      <c r="AC39" s="350"/>
      <c r="AD39" s="9"/>
    </row>
    <row r="40" spans="1:30" x14ac:dyDescent="0.25">
      <c r="A40" s="22">
        <v>5</v>
      </c>
      <c r="B40" s="584">
        <v>42569</v>
      </c>
      <c r="C40" s="43" t="s">
        <v>130</v>
      </c>
      <c r="D40" s="737">
        <v>1995</v>
      </c>
      <c r="E40" s="737">
        <v>2</v>
      </c>
      <c r="F40" s="737">
        <v>8</v>
      </c>
      <c r="G40" s="661">
        <v>23</v>
      </c>
      <c r="H40" s="855">
        <v>548.70000000000005</v>
      </c>
      <c r="I40" s="961"/>
      <c r="J40" s="961"/>
      <c r="K40" s="736">
        <v>8779.2000000000007</v>
      </c>
      <c r="L40" s="736">
        <v>8804.27</v>
      </c>
      <c r="M40" s="966"/>
      <c r="N40" s="966"/>
      <c r="O40" s="736">
        <f t="shared" si="16"/>
        <v>0</v>
      </c>
      <c r="P40" s="736"/>
      <c r="Q40" s="736">
        <f t="shared" si="17"/>
        <v>8779.2000000000007</v>
      </c>
      <c r="R40" s="736">
        <f t="shared" si="18"/>
        <v>100.28556132677238</v>
      </c>
      <c r="S40" s="736">
        <f t="shared" si="19"/>
        <v>0</v>
      </c>
      <c r="T40" s="736">
        <v>4</v>
      </c>
      <c r="U40" s="736">
        <f t="shared" si="20"/>
        <v>-25.069999999999709</v>
      </c>
      <c r="V40" s="349"/>
      <c r="W40" s="350"/>
      <c r="X40" s="350"/>
      <c r="Y40" s="350"/>
      <c r="Z40" s="350"/>
      <c r="AA40" s="350"/>
      <c r="AB40" s="350"/>
      <c r="AC40" s="350"/>
      <c r="AD40" s="9"/>
    </row>
    <row r="41" spans="1:30" x14ac:dyDescent="0.25">
      <c r="A41" s="22">
        <v>6</v>
      </c>
      <c r="B41" s="584">
        <v>42569</v>
      </c>
      <c r="C41" s="43" t="s">
        <v>131</v>
      </c>
      <c r="D41" s="737">
        <v>1995</v>
      </c>
      <c r="E41" s="737">
        <v>2</v>
      </c>
      <c r="F41" s="737">
        <v>8</v>
      </c>
      <c r="G41" s="661">
        <v>27</v>
      </c>
      <c r="H41" s="855">
        <v>548.6</v>
      </c>
      <c r="I41" s="961"/>
      <c r="J41" s="961"/>
      <c r="K41" s="736">
        <v>8777.6</v>
      </c>
      <c r="L41" s="736">
        <v>7722.98</v>
      </c>
      <c r="M41" s="966"/>
      <c r="N41" s="966"/>
      <c r="O41" s="736">
        <f t="shared" si="16"/>
        <v>0</v>
      </c>
      <c r="P41" s="736"/>
      <c r="Q41" s="736">
        <f t="shared" si="17"/>
        <v>8777.6</v>
      </c>
      <c r="R41" s="736">
        <f t="shared" si="18"/>
        <v>87.985098432373306</v>
      </c>
      <c r="S41" s="736">
        <f t="shared" si="19"/>
        <v>0</v>
      </c>
      <c r="T41" s="736">
        <v>4</v>
      </c>
      <c r="U41" s="736">
        <f t="shared" si="20"/>
        <v>1054.6200000000008</v>
      </c>
      <c r="V41" s="349"/>
      <c r="W41" s="350"/>
      <c r="X41" s="350"/>
      <c r="Y41" s="350"/>
      <c r="Z41" s="350"/>
      <c r="AA41" s="350"/>
      <c r="AB41" s="350"/>
      <c r="AC41" s="350"/>
      <c r="AD41" s="9"/>
    </row>
    <row r="42" spans="1:30" x14ac:dyDescent="0.25">
      <c r="A42" s="22">
        <v>7</v>
      </c>
      <c r="B42" s="584">
        <v>42569</v>
      </c>
      <c r="C42" s="43" t="s">
        <v>132</v>
      </c>
      <c r="D42" s="737">
        <v>1995</v>
      </c>
      <c r="E42" s="737">
        <v>2</v>
      </c>
      <c r="F42" s="737">
        <v>8</v>
      </c>
      <c r="G42" s="661">
        <v>30</v>
      </c>
      <c r="H42" s="855">
        <v>544.20000000000005</v>
      </c>
      <c r="I42" s="961"/>
      <c r="J42" s="961"/>
      <c r="K42" s="736">
        <v>8707.2000000000007</v>
      </c>
      <c r="L42" s="736">
        <v>5213.2700000000004</v>
      </c>
      <c r="M42" s="966"/>
      <c r="N42" s="966"/>
      <c r="O42" s="736">
        <f t="shared" si="16"/>
        <v>0</v>
      </c>
      <c r="P42" s="736"/>
      <c r="Q42" s="736">
        <f t="shared" si="17"/>
        <v>8707.2000000000007</v>
      </c>
      <c r="R42" s="736">
        <f t="shared" si="18"/>
        <v>59.873093531789777</v>
      </c>
      <c r="S42" s="736">
        <f t="shared" si="19"/>
        <v>0</v>
      </c>
      <c r="T42" s="736">
        <v>4</v>
      </c>
      <c r="U42" s="736">
        <f t="shared" si="20"/>
        <v>3493.9300000000003</v>
      </c>
      <c r="V42" s="349"/>
      <c r="W42" s="350"/>
      <c r="X42" s="350"/>
      <c r="Y42" s="350"/>
      <c r="Z42" s="350"/>
      <c r="AA42" s="350"/>
      <c r="AB42" s="350"/>
      <c r="AC42" s="350"/>
      <c r="AD42" s="9"/>
    </row>
    <row r="43" spans="1:30" x14ac:dyDescent="0.25">
      <c r="A43" s="379">
        <v>8</v>
      </c>
      <c r="B43" s="584">
        <v>42569</v>
      </c>
      <c r="C43" s="256" t="s">
        <v>133</v>
      </c>
      <c r="D43" s="842">
        <v>1995</v>
      </c>
      <c r="E43" s="842">
        <v>2</v>
      </c>
      <c r="F43" s="842">
        <v>8</v>
      </c>
      <c r="G43" s="661">
        <v>29</v>
      </c>
      <c r="H43" s="856">
        <v>548.70000000000005</v>
      </c>
      <c r="I43" s="962"/>
      <c r="J43" s="962"/>
      <c r="K43" s="844">
        <v>8779.2000000000007</v>
      </c>
      <c r="L43" s="844">
        <v>8844.27</v>
      </c>
      <c r="M43" s="967"/>
      <c r="N43" s="967"/>
      <c r="O43" s="736">
        <f t="shared" si="16"/>
        <v>0</v>
      </c>
      <c r="P43" s="844"/>
      <c r="Q43" s="736">
        <f t="shared" si="17"/>
        <v>8779.2000000000007</v>
      </c>
      <c r="R43" s="736">
        <f t="shared" si="18"/>
        <v>100.74118370694367</v>
      </c>
      <c r="S43" s="736">
        <f t="shared" si="19"/>
        <v>0</v>
      </c>
      <c r="T43" s="844">
        <v>4</v>
      </c>
      <c r="U43" s="736">
        <f t="shared" si="20"/>
        <v>-65.069999999999709</v>
      </c>
      <c r="V43" s="349"/>
      <c r="W43" s="350"/>
      <c r="X43" s="350"/>
      <c r="Y43" s="350"/>
      <c r="Z43" s="350"/>
      <c r="AA43" s="350"/>
      <c r="AB43" s="350"/>
      <c r="AC43" s="350"/>
      <c r="AD43" s="9"/>
    </row>
    <row r="44" spans="1:30" x14ac:dyDescent="0.25">
      <c r="A44" s="22"/>
      <c r="B44" s="22"/>
      <c r="C44" s="381" t="s">
        <v>125</v>
      </c>
      <c r="D44" s="845"/>
      <c r="E44" s="845"/>
      <c r="F44" s="845">
        <f>SUM(F36:F43)</f>
        <v>96</v>
      </c>
      <c r="G44" s="845">
        <f>SUM(G36:G43)</f>
        <v>250</v>
      </c>
      <c r="H44" s="847">
        <f>SUM(H36:H43)</f>
        <v>4820.0999999999995</v>
      </c>
      <c r="I44" s="963"/>
      <c r="J44" s="963"/>
      <c r="K44" s="762">
        <f>SUM(K36:K43)</f>
        <v>77134.399999999994</v>
      </c>
      <c r="L44" s="762">
        <f>SUM(L36:L43)</f>
        <v>62639.930000000008</v>
      </c>
      <c r="M44" s="968"/>
      <c r="N44" s="968"/>
      <c r="O44" s="762">
        <f t="shared" si="16"/>
        <v>0</v>
      </c>
      <c r="P44" s="762">
        <f>SUM(P36:P43)</f>
        <v>0</v>
      </c>
      <c r="Q44" s="762">
        <f>SUM(Q36:Q43)</f>
        <v>77134.399999999994</v>
      </c>
      <c r="R44" s="762">
        <f t="shared" si="18"/>
        <v>81.208812151258087</v>
      </c>
      <c r="S44" s="762">
        <f t="shared" ref="S44" si="21">O44/H44/12</f>
        <v>0</v>
      </c>
      <c r="T44" s="762"/>
      <c r="U44" s="762">
        <f>SUM(U36:U43)</f>
        <v>14494.470000000005</v>
      </c>
      <c r="V44" s="679"/>
      <c r="W44" s="857"/>
      <c r="X44" s="857"/>
      <c r="Y44" s="857"/>
      <c r="Z44" s="857"/>
      <c r="AA44" s="857"/>
      <c r="AB44" s="857"/>
      <c r="AC44" s="857"/>
      <c r="AD44" s="385"/>
    </row>
    <row r="45" spans="1:30" x14ac:dyDescent="0.25"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49"/>
      <c r="V45" s="349"/>
      <c r="W45" s="349"/>
      <c r="X45" s="349"/>
      <c r="Y45" s="349"/>
      <c r="Z45" s="349"/>
      <c r="AA45" s="349"/>
      <c r="AB45" s="349"/>
      <c r="AC45" s="349"/>
      <c r="AD45" s="9"/>
    </row>
    <row r="46" spans="1:30" x14ac:dyDescent="0.25"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375"/>
      <c r="Q46" s="375"/>
      <c r="R46" s="375"/>
      <c r="S46" s="375"/>
      <c r="T46" s="375"/>
      <c r="U46" s="349"/>
      <c r="V46" s="349"/>
      <c r="W46" s="349"/>
      <c r="X46" s="349"/>
      <c r="Y46" s="349"/>
      <c r="Z46" s="349"/>
      <c r="AA46" s="349"/>
      <c r="AB46" s="349"/>
      <c r="AC46" s="349"/>
      <c r="AD46" s="9"/>
    </row>
    <row r="47" spans="1:30" x14ac:dyDescent="0.25"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5"/>
      <c r="S47" s="375"/>
      <c r="T47" s="375"/>
      <c r="U47" s="349"/>
      <c r="V47" s="349"/>
      <c r="W47" s="349"/>
      <c r="X47" s="349"/>
      <c r="Y47" s="349"/>
      <c r="Z47" s="349"/>
      <c r="AA47" s="349"/>
      <c r="AB47" s="349"/>
      <c r="AC47" s="349"/>
      <c r="AD47" s="9"/>
    </row>
    <row r="48" spans="1:30" x14ac:dyDescent="0.25"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49"/>
      <c r="V48" s="349"/>
      <c r="W48" s="349"/>
      <c r="X48" s="349"/>
      <c r="Y48" s="349"/>
      <c r="Z48" s="349"/>
      <c r="AA48" s="349"/>
      <c r="AB48" s="349"/>
      <c r="AC48" s="349"/>
      <c r="AD48" s="9"/>
    </row>
    <row r="49" spans="4:29" x14ac:dyDescent="0.25"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75"/>
      <c r="AB49" s="375"/>
      <c r="AC49" s="375"/>
    </row>
    <row r="50" spans="4:29" x14ac:dyDescent="0.25">
      <c r="D50" s="375"/>
      <c r="E50" s="375"/>
      <c r="F50" s="375"/>
      <c r="G50" s="375"/>
      <c r="H50" s="375"/>
      <c r="I50" s="375"/>
      <c r="J50" s="375"/>
      <c r="K50" s="375"/>
      <c r="L50" s="375"/>
      <c r="M50" s="375"/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  <c r="Y50" s="375"/>
      <c r="Z50" s="375"/>
      <c r="AA50" s="375"/>
      <c r="AB50" s="375"/>
      <c r="AC50" s="375"/>
    </row>
    <row r="51" spans="4:29" x14ac:dyDescent="0.25"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  <c r="R51" s="375"/>
      <c r="S51" s="375"/>
      <c r="T51" s="375"/>
      <c r="U51" s="375"/>
      <c r="V51" s="375"/>
      <c r="W51" s="375"/>
      <c r="X51" s="375"/>
      <c r="Y51" s="375"/>
      <c r="Z51" s="375"/>
      <c r="AA51" s="375"/>
      <c r="AB51" s="375"/>
      <c r="AC51" s="375"/>
    </row>
    <row r="52" spans="4:29" x14ac:dyDescent="0.25"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  <c r="Y52" s="375"/>
      <c r="Z52" s="375"/>
      <c r="AA52" s="375"/>
      <c r="AB52" s="375"/>
      <c r="AC52" s="375"/>
    </row>
    <row r="53" spans="4:29" x14ac:dyDescent="0.25"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5"/>
    </row>
    <row r="54" spans="4:29" x14ac:dyDescent="0.25">
      <c r="D54" s="375"/>
      <c r="E54" s="375"/>
      <c r="F54" s="375"/>
      <c r="G54" s="375"/>
      <c r="H54" s="375"/>
      <c r="I54" s="375"/>
      <c r="J54" s="375"/>
      <c r="K54" s="375"/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375"/>
      <c r="Y54" s="375"/>
      <c r="Z54" s="375"/>
      <c r="AA54" s="375"/>
      <c r="AB54" s="375"/>
      <c r="AC54" s="375"/>
    </row>
    <row r="55" spans="4:29" x14ac:dyDescent="0.25">
      <c r="D55" s="375"/>
      <c r="E55" s="375"/>
      <c r="F55" s="375"/>
      <c r="G55" s="375"/>
      <c r="H55" s="375"/>
      <c r="I55" s="375"/>
      <c r="J55" s="375"/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  <c r="Y55" s="375"/>
      <c r="Z55" s="375"/>
      <c r="AA55" s="375"/>
      <c r="AB55" s="375"/>
      <c r="AC55" s="375"/>
    </row>
    <row r="56" spans="4:29" x14ac:dyDescent="0.25"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375"/>
      <c r="Y56" s="375"/>
      <c r="Z56" s="375"/>
      <c r="AA56" s="375"/>
      <c r="AB56" s="375"/>
      <c r="AC56" s="375"/>
    </row>
    <row r="57" spans="4:29" x14ac:dyDescent="0.25"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</row>
    <row r="58" spans="4:29" x14ac:dyDescent="0.25"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  <c r="Y58" s="375"/>
      <c r="Z58" s="375"/>
      <c r="AA58" s="375"/>
      <c r="AB58" s="375"/>
      <c r="AC58" s="375"/>
    </row>
    <row r="59" spans="4:29" x14ac:dyDescent="0.25">
      <c r="D59" s="375"/>
      <c r="E59" s="375"/>
      <c r="F59" s="375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375"/>
      <c r="U59" s="375"/>
      <c r="V59" s="375"/>
      <c r="W59" s="375"/>
      <c r="X59" s="375"/>
      <c r="Y59" s="375"/>
      <c r="Z59" s="375"/>
      <c r="AA59" s="375"/>
      <c r="AB59" s="375"/>
      <c r="AC59" s="375"/>
    </row>
    <row r="60" spans="4:29" x14ac:dyDescent="0.25">
      <c r="D60" s="375"/>
      <c r="E60" s="375"/>
      <c r="F60" s="375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375"/>
      <c r="Y60" s="375"/>
      <c r="Z60" s="375"/>
      <c r="AA60" s="375"/>
      <c r="AB60" s="375"/>
      <c r="AC60" s="375"/>
    </row>
    <row r="61" spans="4:29" x14ac:dyDescent="0.25"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375"/>
      <c r="Y61" s="375"/>
      <c r="Z61" s="375"/>
      <c r="AA61" s="375"/>
      <c r="AB61" s="375"/>
      <c r="AC61" s="375"/>
    </row>
    <row r="62" spans="4:29" x14ac:dyDescent="0.25">
      <c r="D62" s="375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375"/>
      <c r="Y62" s="375"/>
      <c r="Z62" s="375"/>
      <c r="AA62" s="375"/>
      <c r="AB62" s="375"/>
      <c r="AC62" s="375"/>
    </row>
    <row r="63" spans="4:29" x14ac:dyDescent="0.25">
      <c r="D63" s="375"/>
      <c r="E63" s="375"/>
      <c r="F63" s="375"/>
      <c r="G63" s="375"/>
      <c r="H63" s="375"/>
      <c r="I63" s="375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  <c r="AA63" s="375"/>
      <c r="AB63" s="375"/>
      <c r="AC63" s="375"/>
    </row>
    <row r="64" spans="4:29" x14ac:dyDescent="0.25">
      <c r="D64" s="375"/>
      <c r="E64" s="375"/>
      <c r="F64" s="375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  <c r="Y64" s="375"/>
      <c r="Z64" s="375"/>
      <c r="AA64" s="375"/>
      <c r="AB64" s="375"/>
      <c r="AC64" s="375"/>
    </row>
    <row r="65" spans="4:29" x14ac:dyDescent="0.25"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  <c r="Y65" s="375"/>
      <c r="Z65" s="375"/>
      <c r="AA65" s="375"/>
      <c r="AB65" s="375"/>
      <c r="AC65" s="375"/>
    </row>
    <row r="66" spans="4:29" x14ac:dyDescent="0.25"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  <c r="Y66" s="375"/>
      <c r="Z66" s="375"/>
      <c r="AA66" s="375"/>
      <c r="AB66" s="375"/>
      <c r="AC66" s="375"/>
    </row>
    <row r="67" spans="4:29" x14ac:dyDescent="0.25">
      <c r="D67" s="375"/>
      <c r="E67" s="375"/>
      <c r="F67" s="375"/>
      <c r="G67" s="375"/>
      <c r="H67" s="375"/>
      <c r="I67" s="375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375"/>
    </row>
    <row r="68" spans="4:29" x14ac:dyDescent="0.25"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</row>
    <row r="69" spans="4:29" x14ac:dyDescent="0.25">
      <c r="D69" s="375"/>
      <c r="E69" s="375"/>
      <c r="F69" s="375"/>
      <c r="G69" s="375"/>
      <c r="H69" s="375"/>
      <c r="I69" s="375"/>
      <c r="J69" s="375"/>
      <c r="K69" s="37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</row>
    <row r="70" spans="4:29" x14ac:dyDescent="0.25"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5"/>
    </row>
    <row r="71" spans="4:29" x14ac:dyDescent="0.25">
      <c r="D71" s="375"/>
      <c r="E71" s="375"/>
      <c r="F71" s="375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</row>
    <row r="72" spans="4:29" x14ac:dyDescent="0.25">
      <c r="D72" s="375"/>
      <c r="E72" s="375"/>
      <c r="F72" s="375"/>
      <c r="G72" s="375"/>
      <c r="H72" s="375"/>
      <c r="I72" s="375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  <c r="AB72" s="375"/>
      <c r="AC72" s="375"/>
    </row>
    <row r="73" spans="4:29" x14ac:dyDescent="0.25">
      <c r="D73" s="375"/>
      <c r="E73" s="375"/>
      <c r="F73" s="375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  <c r="Y73" s="375"/>
      <c r="Z73" s="375"/>
      <c r="AA73" s="375"/>
      <c r="AB73" s="375"/>
      <c r="AC73" s="375"/>
    </row>
    <row r="74" spans="4:29" x14ac:dyDescent="0.25">
      <c r="D74" s="375"/>
      <c r="E74" s="375"/>
      <c r="F74" s="375"/>
      <c r="G74" s="375"/>
      <c r="H74" s="375"/>
      <c r="I74" s="375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  <c r="Y74" s="375"/>
      <c r="Z74" s="375"/>
      <c r="AA74" s="375"/>
      <c r="AB74" s="375"/>
      <c r="AC74" s="375"/>
    </row>
    <row r="75" spans="4:29" x14ac:dyDescent="0.25">
      <c r="D75" s="375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5"/>
      <c r="AC75" s="375"/>
    </row>
    <row r="76" spans="4:29" x14ac:dyDescent="0.25">
      <c r="D76" s="375"/>
      <c r="E76" s="375"/>
      <c r="F76" s="375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  <c r="Y76" s="375"/>
      <c r="Z76" s="375"/>
      <c r="AA76" s="375"/>
      <c r="AB76" s="375"/>
      <c r="AC76" s="375"/>
    </row>
    <row r="77" spans="4:29" x14ac:dyDescent="0.25">
      <c r="D77" s="375"/>
      <c r="E77" s="375"/>
      <c r="F77" s="375"/>
      <c r="G77" s="375"/>
      <c r="H77" s="375"/>
      <c r="I77" s="375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  <c r="AB77" s="375"/>
      <c r="AC77" s="375"/>
    </row>
    <row r="78" spans="4:29" x14ac:dyDescent="0.25">
      <c r="D78" s="375"/>
      <c r="E78" s="375"/>
      <c r="F78" s="375"/>
      <c r="G78" s="375"/>
      <c r="H78" s="375"/>
      <c r="I78" s="375"/>
      <c r="J78" s="375"/>
      <c r="K78" s="37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  <c r="Y78" s="375"/>
      <c r="Z78" s="375"/>
      <c r="AA78" s="375"/>
      <c r="AB78" s="375"/>
      <c r="AC78" s="375"/>
    </row>
    <row r="79" spans="4:29" x14ac:dyDescent="0.25">
      <c r="D79" s="375"/>
      <c r="E79" s="375"/>
      <c r="F79" s="375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</row>
    <row r="80" spans="4:29" x14ac:dyDescent="0.25">
      <c r="D80" s="375"/>
      <c r="E80" s="375"/>
      <c r="F80" s="375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  <c r="Y80" s="375"/>
      <c r="Z80" s="375"/>
      <c r="AA80" s="375"/>
      <c r="AB80" s="375"/>
      <c r="AC80" s="375"/>
    </row>
    <row r="81" spans="4:29" x14ac:dyDescent="0.25">
      <c r="D81" s="375"/>
      <c r="E81" s="375"/>
      <c r="F81" s="375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5"/>
    </row>
    <row r="82" spans="4:29" x14ac:dyDescent="0.25">
      <c r="D82" s="375"/>
      <c r="E82" s="375"/>
      <c r="F82" s="375"/>
      <c r="G82" s="375"/>
      <c r="H82" s="375"/>
      <c r="I82" s="375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  <c r="AB82" s="375"/>
      <c r="AC82" s="375"/>
    </row>
    <row r="83" spans="4:29" x14ac:dyDescent="0.25">
      <c r="D83" s="375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</row>
    <row r="84" spans="4:29" x14ac:dyDescent="0.25">
      <c r="D84" s="375"/>
      <c r="E84" s="375"/>
      <c r="F84" s="375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  <c r="Y84" s="375"/>
      <c r="Z84" s="375"/>
      <c r="AA84" s="375"/>
      <c r="AB84" s="375"/>
      <c r="AC84" s="375"/>
    </row>
    <row r="85" spans="4:29" x14ac:dyDescent="0.25">
      <c r="D85" s="375"/>
      <c r="E85" s="375"/>
      <c r="F85" s="375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</row>
    <row r="86" spans="4:29" x14ac:dyDescent="0.25">
      <c r="D86" s="375"/>
      <c r="E86" s="375"/>
      <c r="F86" s="375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</row>
    <row r="87" spans="4:29" x14ac:dyDescent="0.25">
      <c r="D87" s="375"/>
      <c r="E87" s="375"/>
      <c r="F87" s="375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</row>
    <row r="88" spans="4:29" x14ac:dyDescent="0.25">
      <c r="D88" s="375"/>
      <c r="E88" s="375"/>
      <c r="F88" s="375"/>
      <c r="G88" s="375"/>
      <c r="H88" s="375"/>
      <c r="I88" s="375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  <c r="AB88" s="375"/>
      <c r="AC88" s="375"/>
    </row>
    <row r="89" spans="4:29" x14ac:dyDescent="0.25">
      <c r="D89" s="375"/>
      <c r="E89" s="375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</row>
    <row r="90" spans="4:29" x14ac:dyDescent="0.25">
      <c r="D90" s="375"/>
      <c r="E90" s="375"/>
      <c r="F90" s="375"/>
      <c r="G90" s="375"/>
      <c r="H90" s="375"/>
      <c r="I90" s="375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  <c r="Y90" s="375"/>
      <c r="Z90" s="375"/>
      <c r="AA90" s="375"/>
      <c r="AB90" s="375"/>
      <c r="AC90" s="375"/>
    </row>
    <row r="91" spans="4:29" x14ac:dyDescent="0.25">
      <c r="D91" s="375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</row>
    <row r="92" spans="4:29" x14ac:dyDescent="0.25">
      <c r="D92" s="375"/>
      <c r="E92" s="375"/>
      <c r="F92" s="375"/>
      <c r="G92" s="375"/>
      <c r="H92" s="375"/>
      <c r="I92" s="375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5"/>
      <c r="AC92" s="375"/>
    </row>
    <row r="93" spans="4:29" x14ac:dyDescent="0.25">
      <c r="D93" s="375"/>
      <c r="E93" s="375"/>
      <c r="F93" s="375"/>
      <c r="G93" s="375"/>
      <c r="H93" s="375"/>
      <c r="I93" s="375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</row>
    <row r="94" spans="4:29" x14ac:dyDescent="0.25">
      <c r="D94" s="375"/>
      <c r="E94" s="375"/>
      <c r="F94" s="375"/>
      <c r="G94" s="375"/>
      <c r="H94" s="375"/>
      <c r="I94" s="375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  <c r="Y94" s="375"/>
      <c r="Z94" s="375"/>
      <c r="AA94" s="375"/>
      <c r="AB94" s="375"/>
      <c r="AC94" s="375"/>
    </row>
    <row r="95" spans="4:29" x14ac:dyDescent="0.25">
      <c r="D95" s="375"/>
      <c r="E95" s="375"/>
      <c r="F95" s="375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</row>
    <row r="96" spans="4:29" x14ac:dyDescent="0.25">
      <c r="D96" s="375"/>
      <c r="E96" s="375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</row>
    <row r="97" spans="4:29" x14ac:dyDescent="0.25">
      <c r="D97" s="375"/>
      <c r="E97" s="375"/>
      <c r="F97" s="375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</row>
    <row r="98" spans="4:29" x14ac:dyDescent="0.25">
      <c r="D98" s="375"/>
      <c r="E98" s="375"/>
      <c r="F98" s="375"/>
      <c r="G98" s="375"/>
      <c r="H98" s="375"/>
      <c r="I98" s="375"/>
      <c r="J98" s="375"/>
      <c r="K98" s="37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  <c r="Y98" s="375"/>
      <c r="Z98" s="375"/>
      <c r="AA98" s="375"/>
      <c r="AB98" s="375"/>
      <c r="AC98" s="375"/>
    </row>
    <row r="99" spans="4:29" x14ac:dyDescent="0.25">
      <c r="D99" s="375"/>
      <c r="E99" s="375"/>
      <c r="F99" s="375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  <c r="Y99" s="375"/>
      <c r="Z99" s="375"/>
      <c r="AA99" s="375"/>
      <c r="AB99" s="375"/>
      <c r="AC99" s="375"/>
    </row>
    <row r="100" spans="4:29" x14ac:dyDescent="0.25">
      <c r="D100" s="375"/>
      <c r="E100" s="375"/>
      <c r="F100" s="375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  <c r="Y100" s="375"/>
      <c r="Z100" s="375"/>
      <c r="AA100" s="375"/>
      <c r="AB100" s="375"/>
      <c r="AC100" s="375"/>
    </row>
    <row r="101" spans="4:29" x14ac:dyDescent="0.25">
      <c r="D101" s="375"/>
      <c r="E101" s="375"/>
      <c r="F101" s="375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</row>
    <row r="102" spans="4:29" x14ac:dyDescent="0.25">
      <c r="D102" s="375"/>
      <c r="E102" s="375"/>
      <c r="F102" s="375"/>
      <c r="G102" s="375"/>
      <c r="H102" s="375"/>
      <c r="I102" s="375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5"/>
      <c r="Z102" s="375"/>
      <c r="AA102" s="375"/>
      <c r="AB102" s="375"/>
      <c r="AC102" s="375"/>
    </row>
    <row r="103" spans="4:29" x14ac:dyDescent="0.25">
      <c r="D103" s="375"/>
      <c r="E103" s="375"/>
      <c r="F103" s="375"/>
      <c r="G103" s="375"/>
      <c r="H103" s="375"/>
      <c r="I103" s="375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</row>
    <row r="104" spans="4:29" x14ac:dyDescent="0.25">
      <c r="D104" s="375"/>
      <c r="E104" s="375"/>
      <c r="F104" s="375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  <c r="Y104" s="375"/>
      <c r="Z104" s="375"/>
      <c r="AA104" s="375"/>
      <c r="AB104" s="375"/>
      <c r="AC104" s="375"/>
    </row>
    <row r="105" spans="4:29" x14ac:dyDescent="0.25">
      <c r="D105" s="375"/>
      <c r="E105" s="375"/>
      <c r="F105" s="375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  <c r="Y105" s="375"/>
      <c r="Z105" s="375"/>
      <c r="AA105" s="375"/>
      <c r="AB105" s="375"/>
      <c r="AC105" s="375"/>
    </row>
    <row r="106" spans="4:29" x14ac:dyDescent="0.25">
      <c r="D106" s="375"/>
      <c r="E106" s="375"/>
      <c r="F106" s="375"/>
      <c r="G106" s="375"/>
      <c r="H106" s="375"/>
      <c r="I106" s="375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  <c r="Y106" s="375"/>
      <c r="Z106" s="375"/>
      <c r="AA106" s="375"/>
      <c r="AB106" s="375"/>
      <c r="AC106" s="375"/>
    </row>
    <row r="107" spans="4:29" x14ac:dyDescent="0.25">
      <c r="D107" s="375"/>
      <c r="E107" s="375"/>
      <c r="F107" s="375"/>
      <c r="G107" s="375"/>
      <c r="H107" s="375"/>
      <c r="I107" s="375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5"/>
      <c r="AC107" s="375"/>
    </row>
    <row r="108" spans="4:29" x14ac:dyDescent="0.25">
      <c r="D108" s="375"/>
      <c r="E108" s="375"/>
      <c r="F108" s="375"/>
      <c r="G108" s="375"/>
      <c r="H108" s="375"/>
      <c r="I108" s="375"/>
      <c r="J108" s="375"/>
      <c r="K108" s="37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  <c r="Y108" s="375"/>
      <c r="Z108" s="375"/>
      <c r="AA108" s="375"/>
      <c r="AB108" s="375"/>
      <c r="AC108" s="375"/>
    </row>
    <row r="109" spans="4:29" x14ac:dyDescent="0.25">
      <c r="D109" s="375"/>
      <c r="E109" s="375"/>
      <c r="F109" s="375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  <c r="Y109" s="375"/>
      <c r="Z109" s="375"/>
      <c r="AA109" s="375"/>
      <c r="AB109" s="375"/>
      <c r="AC109" s="375"/>
    </row>
    <row r="110" spans="4:29" x14ac:dyDescent="0.25">
      <c r="D110" s="375"/>
      <c r="E110" s="375"/>
      <c r="F110" s="375"/>
      <c r="G110" s="375"/>
      <c r="H110" s="375"/>
      <c r="I110" s="375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  <c r="Y110" s="375"/>
      <c r="Z110" s="375"/>
      <c r="AA110" s="375"/>
      <c r="AB110" s="375"/>
      <c r="AC110" s="375"/>
    </row>
    <row r="111" spans="4:29" x14ac:dyDescent="0.25">
      <c r="D111" s="375"/>
      <c r="E111" s="375"/>
      <c r="F111" s="375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</row>
    <row r="112" spans="4:29" x14ac:dyDescent="0.25">
      <c r="D112" s="375"/>
      <c r="E112" s="375"/>
      <c r="F112" s="375"/>
      <c r="G112" s="375"/>
      <c r="H112" s="375"/>
      <c r="I112" s="375"/>
      <c r="J112" s="375"/>
      <c r="K112" s="37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  <c r="Y112" s="375"/>
      <c r="Z112" s="375"/>
      <c r="AA112" s="375"/>
      <c r="AB112" s="375"/>
      <c r="AC112" s="375"/>
    </row>
    <row r="113" spans="4:29" x14ac:dyDescent="0.25">
      <c r="D113" s="375"/>
      <c r="E113" s="375"/>
      <c r="F113" s="375"/>
      <c r="G113" s="375"/>
      <c r="H113" s="375"/>
      <c r="I113" s="375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  <c r="Y113" s="375"/>
      <c r="Z113" s="375"/>
      <c r="AA113" s="375"/>
      <c r="AB113" s="375"/>
      <c r="AC113" s="375"/>
    </row>
    <row r="114" spans="4:29" x14ac:dyDescent="0.25">
      <c r="D114" s="375"/>
      <c r="E114" s="375"/>
      <c r="F114" s="375"/>
      <c r="G114" s="375"/>
      <c r="H114" s="375"/>
      <c r="I114" s="375"/>
      <c r="J114" s="375"/>
      <c r="K114" s="37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  <c r="Y114" s="375"/>
      <c r="Z114" s="375"/>
      <c r="AA114" s="375"/>
      <c r="AB114" s="375"/>
      <c r="AC114" s="375"/>
    </row>
    <row r="115" spans="4:29" x14ac:dyDescent="0.25">
      <c r="D115" s="375"/>
      <c r="E115" s="375"/>
      <c r="F115" s="375"/>
      <c r="G115" s="375"/>
      <c r="H115" s="375"/>
      <c r="I115" s="375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5"/>
      <c r="AC115" s="375"/>
    </row>
    <row r="116" spans="4:29" x14ac:dyDescent="0.25">
      <c r="D116" s="375"/>
      <c r="E116" s="375"/>
      <c r="F116" s="375"/>
      <c r="G116" s="375"/>
      <c r="H116" s="375"/>
      <c r="I116" s="375"/>
      <c r="J116" s="375"/>
      <c r="K116" s="37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  <c r="Y116" s="375"/>
      <c r="Z116" s="375"/>
      <c r="AA116" s="375"/>
      <c r="AB116" s="375"/>
      <c r="AC116" s="375"/>
    </row>
    <row r="117" spans="4:29" x14ac:dyDescent="0.25">
      <c r="D117" s="375"/>
      <c r="E117" s="375"/>
      <c r="F117" s="375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</row>
    <row r="118" spans="4:29" x14ac:dyDescent="0.25">
      <c r="D118" s="375"/>
      <c r="E118" s="375"/>
      <c r="F118" s="375"/>
      <c r="G118" s="375"/>
      <c r="H118" s="375"/>
      <c r="I118" s="375"/>
      <c r="J118" s="375"/>
      <c r="K118" s="37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</row>
    <row r="119" spans="4:29" x14ac:dyDescent="0.25">
      <c r="D119" s="375"/>
      <c r="E119" s="375"/>
      <c r="F119" s="375"/>
      <c r="G119" s="375"/>
      <c r="H119" s="375"/>
      <c r="I119" s="375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</row>
    <row r="120" spans="4:29" x14ac:dyDescent="0.25">
      <c r="D120" s="375"/>
      <c r="E120" s="375"/>
      <c r="F120" s="375"/>
      <c r="G120" s="375"/>
      <c r="H120" s="375"/>
      <c r="I120" s="375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5"/>
      <c r="AC120" s="375"/>
    </row>
    <row r="121" spans="4:29" x14ac:dyDescent="0.25">
      <c r="D121" s="375"/>
      <c r="E121" s="375"/>
      <c r="F121" s="375"/>
      <c r="G121" s="375"/>
      <c r="H121" s="375"/>
      <c r="I121" s="375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5"/>
      <c r="AB121" s="375"/>
      <c r="AC121" s="375"/>
    </row>
    <row r="122" spans="4:29" x14ac:dyDescent="0.25">
      <c r="D122" s="375"/>
      <c r="E122" s="375"/>
      <c r="F122" s="375"/>
      <c r="G122" s="375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5"/>
      <c r="AC122" s="375"/>
    </row>
    <row r="123" spans="4:29" x14ac:dyDescent="0.25">
      <c r="D123" s="375"/>
      <c r="E123" s="375"/>
      <c r="F123" s="375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</row>
    <row r="124" spans="4:29" x14ac:dyDescent="0.25">
      <c r="D124" s="375"/>
      <c r="E124" s="375"/>
      <c r="F124" s="375"/>
      <c r="G124" s="375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  <c r="Y124" s="375"/>
      <c r="Z124" s="375"/>
      <c r="AA124" s="375"/>
      <c r="AB124" s="375"/>
      <c r="AC124" s="375"/>
    </row>
    <row r="125" spans="4:29" x14ac:dyDescent="0.25">
      <c r="D125" s="375"/>
      <c r="E125" s="375"/>
      <c r="F125" s="375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</row>
    <row r="126" spans="4:29" x14ac:dyDescent="0.25">
      <c r="D126" s="375"/>
      <c r="E126" s="375"/>
      <c r="F126" s="375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5"/>
      <c r="AC126" s="375"/>
    </row>
    <row r="127" spans="4:29" x14ac:dyDescent="0.25">
      <c r="D127" s="375"/>
      <c r="E127" s="375"/>
      <c r="F127" s="375"/>
      <c r="G127" s="375"/>
      <c r="H127" s="375"/>
      <c r="I127" s="375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  <c r="Y127" s="375"/>
      <c r="Z127" s="375"/>
      <c r="AA127" s="375"/>
      <c r="AB127" s="375"/>
      <c r="AC127" s="375"/>
    </row>
    <row r="128" spans="4:29" x14ac:dyDescent="0.25">
      <c r="D128" s="375"/>
      <c r="E128" s="375"/>
      <c r="F128" s="375"/>
      <c r="G128" s="375"/>
      <c r="H128" s="375"/>
      <c r="I128" s="375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</row>
    <row r="129" spans="4:29" x14ac:dyDescent="0.25">
      <c r="D129" s="375"/>
      <c r="E129" s="375"/>
      <c r="F129" s="375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</row>
    <row r="130" spans="4:29" x14ac:dyDescent="0.25">
      <c r="D130" s="375"/>
      <c r="E130" s="375"/>
      <c r="F130" s="375"/>
      <c r="G130" s="375"/>
      <c r="H130" s="375"/>
      <c r="I130" s="375"/>
      <c r="J130" s="375"/>
      <c r="K130" s="37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  <c r="Y130" s="375"/>
      <c r="Z130" s="375"/>
      <c r="AA130" s="375"/>
      <c r="AB130" s="375"/>
      <c r="AC130" s="375"/>
    </row>
    <row r="131" spans="4:29" x14ac:dyDescent="0.25">
      <c r="D131" s="375"/>
      <c r="E131" s="375"/>
      <c r="F131" s="375"/>
      <c r="G131" s="375"/>
      <c r="H131" s="375"/>
      <c r="I131" s="375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</row>
    <row r="132" spans="4:29" x14ac:dyDescent="0.25">
      <c r="D132" s="375"/>
      <c r="E132" s="375"/>
      <c r="F132" s="375"/>
      <c r="G132" s="375"/>
      <c r="H132" s="375"/>
      <c r="I132" s="375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  <c r="Y132" s="375"/>
      <c r="Z132" s="375"/>
      <c r="AA132" s="375"/>
      <c r="AB132" s="375"/>
      <c r="AC132" s="375"/>
    </row>
    <row r="133" spans="4:29" x14ac:dyDescent="0.25">
      <c r="D133" s="375"/>
      <c r="E133" s="375"/>
      <c r="F133" s="375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</row>
    <row r="134" spans="4:29" x14ac:dyDescent="0.25">
      <c r="D134" s="375"/>
      <c r="E134" s="375"/>
      <c r="F134" s="375"/>
      <c r="G134" s="375"/>
      <c r="H134" s="375"/>
      <c r="I134" s="375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  <c r="Y134" s="375"/>
      <c r="Z134" s="375"/>
      <c r="AA134" s="375"/>
      <c r="AB134" s="375"/>
      <c r="AC134" s="375"/>
    </row>
    <row r="135" spans="4:29" x14ac:dyDescent="0.25">
      <c r="D135" s="375"/>
      <c r="E135" s="375"/>
      <c r="F135" s="375"/>
      <c r="G135" s="375"/>
      <c r="H135" s="375"/>
      <c r="I135" s="375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</row>
    <row r="136" spans="4:29" x14ac:dyDescent="0.25">
      <c r="D136" s="375"/>
      <c r="E136" s="375"/>
      <c r="F136" s="375"/>
      <c r="G136" s="375"/>
      <c r="H136" s="375"/>
      <c r="I136" s="375"/>
      <c r="J136" s="375"/>
      <c r="K136" s="37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  <c r="Y136" s="375"/>
      <c r="Z136" s="375"/>
      <c r="AA136" s="375"/>
      <c r="AB136" s="375"/>
      <c r="AC136" s="375"/>
    </row>
    <row r="137" spans="4:29" x14ac:dyDescent="0.25">
      <c r="D137" s="375"/>
      <c r="E137" s="375"/>
      <c r="F137" s="375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</row>
    <row r="138" spans="4:29" x14ac:dyDescent="0.25">
      <c r="D138" s="375"/>
      <c r="E138" s="375"/>
      <c r="F138" s="375"/>
      <c r="G138" s="375"/>
      <c r="H138" s="375"/>
      <c r="I138" s="375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  <c r="Y138" s="375"/>
      <c r="Z138" s="375"/>
      <c r="AA138" s="375"/>
      <c r="AB138" s="375"/>
      <c r="AC138" s="375"/>
    </row>
    <row r="139" spans="4:29" x14ac:dyDescent="0.25">
      <c r="D139" s="375"/>
      <c r="E139" s="375"/>
      <c r="F139" s="375"/>
      <c r="G139" s="375"/>
      <c r="H139" s="375"/>
      <c r="I139" s="375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</row>
    <row r="140" spans="4:29" x14ac:dyDescent="0.25">
      <c r="D140" s="375"/>
      <c r="E140" s="375"/>
      <c r="F140" s="375"/>
      <c r="G140" s="375"/>
      <c r="H140" s="375"/>
      <c r="I140" s="375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5"/>
      <c r="AC140" s="375"/>
    </row>
    <row r="141" spans="4:29" x14ac:dyDescent="0.25">
      <c r="D141" s="375"/>
      <c r="E141" s="375"/>
      <c r="F141" s="375"/>
      <c r="G141" s="375"/>
      <c r="H141" s="375"/>
      <c r="I141" s="375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375"/>
      <c r="AA141" s="375"/>
      <c r="AB141" s="375"/>
      <c r="AC141" s="375"/>
    </row>
    <row r="142" spans="4:29" x14ac:dyDescent="0.25">
      <c r="D142" s="375"/>
      <c r="E142" s="375"/>
      <c r="F142" s="375"/>
      <c r="G142" s="375"/>
      <c r="H142" s="375"/>
      <c r="I142" s="375"/>
      <c r="J142" s="375"/>
      <c r="K142" s="37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  <c r="Y142" s="375"/>
      <c r="Z142" s="375"/>
      <c r="AA142" s="375"/>
      <c r="AB142" s="375"/>
      <c r="AC142" s="375"/>
    </row>
    <row r="143" spans="4:29" x14ac:dyDescent="0.25">
      <c r="D143" s="375"/>
      <c r="E143" s="375"/>
      <c r="F143" s="375"/>
      <c r="G143" s="375"/>
      <c r="H143" s="375"/>
      <c r="I143" s="375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</row>
    <row r="144" spans="4:29" x14ac:dyDescent="0.25">
      <c r="D144" s="375"/>
      <c r="E144" s="375"/>
      <c r="F144" s="375"/>
      <c r="G144" s="375"/>
      <c r="H144" s="375"/>
      <c r="I144" s="375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  <c r="Y144" s="375"/>
      <c r="Z144" s="375"/>
      <c r="AA144" s="375"/>
      <c r="AB144" s="375"/>
      <c r="AC144" s="375"/>
    </row>
    <row r="145" spans="4:29" x14ac:dyDescent="0.25">
      <c r="D145" s="375"/>
      <c r="E145" s="375"/>
      <c r="F145" s="375"/>
      <c r="G145" s="375"/>
      <c r="H145" s="375"/>
      <c r="I145" s="375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  <c r="Y145" s="375"/>
      <c r="Z145" s="375"/>
      <c r="AA145" s="375"/>
      <c r="AB145" s="375"/>
      <c r="AC145" s="375"/>
    </row>
    <row r="146" spans="4:29" x14ac:dyDescent="0.25">
      <c r="D146" s="375"/>
      <c r="E146" s="375"/>
      <c r="F146" s="375"/>
      <c r="G146" s="375"/>
      <c r="H146" s="375"/>
      <c r="I146" s="375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5"/>
      <c r="AC146" s="375"/>
    </row>
    <row r="147" spans="4:29" x14ac:dyDescent="0.25">
      <c r="D147" s="375"/>
      <c r="E147" s="375"/>
      <c r="F147" s="375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</row>
    <row r="148" spans="4:29" x14ac:dyDescent="0.25">
      <c r="D148" s="375"/>
      <c r="E148" s="375"/>
      <c r="F148" s="375"/>
      <c r="G148" s="375"/>
      <c r="H148" s="375"/>
      <c r="I148" s="375"/>
      <c r="J148" s="375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  <c r="Y148" s="375"/>
      <c r="Z148" s="375"/>
      <c r="AA148" s="375"/>
      <c r="AB148" s="375"/>
      <c r="AC148" s="375"/>
    </row>
    <row r="149" spans="4:29" x14ac:dyDescent="0.25">
      <c r="D149" s="375"/>
      <c r="E149" s="375"/>
      <c r="F149" s="375"/>
      <c r="G149" s="375"/>
      <c r="H149" s="375"/>
      <c r="I149" s="375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  <c r="Y149" s="375"/>
      <c r="Z149" s="375"/>
      <c r="AA149" s="375"/>
      <c r="AB149" s="375"/>
      <c r="AC149" s="375"/>
    </row>
    <row r="150" spans="4:29" x14ac:dyDescent="0.25">
      <c r="D150" s="375"/>
      <c r="E150" s="375"/>
      <c r="F150" s="375"/>
      <c r="G150" s="375"/>
      <c r="H150" s="375"/>
      <c r="I150" s="375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  <c r="Y150" s="375"/>
      <c r="Z150" s="375"/>
      <c r="AA150" s="375"/>
      <c r="AB150" s="375"/>
      <c r="AC150" s="375"/>
    </row>
    <row r="151" spans="4:29" x14ac:dyDescent="0.25">
      <c r="D151" s="375"/>
      <c r="E151" s="375"/>
      <c r="F151" s="375"/>
      <c r="G151" s="375"/>
      <c r="H151" s="375"/>
      <c r="I151" s="375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  <c r="Y151" s="375"/>
      <c r="Z151" s="375"/>
      <c r="AA151" s="375"/>
      <c r="AB151" s="375"/>
      <c r="AC151" s="375"/>
    </row>
    <row r="152" spans="4:29" x14ac:dyDescent="0.25">
      <c r="D152" s="375"/>
      <c r="E152" s="375"/>
      <c r="F152" s="375"/>
      <c r="G152" s="375"/>
      <c r="H152" s="375"/>
      <c r="I152" s="375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  <c r="Y152" s="375"/>
      <c r="Z152" s="375"/>
      <c r="AA152" s="375"/>
      <c r="AB152" s="375"/>
      <c r="AC152" s="375"/>
    </row>
    <row r="153" spans="4:29" x14ac:dyDescent="0.25">
      <c r="D153" s="375"/>
      <c r="E153" s="375"/>
      <c r="F153" s="375"/>
      <c r="G153" s="375"/>
      <c r="H153" s="375"/>
      <c r="I153" s="375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</row>
    <row r="154" spans="4:29" x14ac:dyDescent="0.25">
      <c r="D154" s="375"/>
      <c r="E154" s="375"/>
      <c r="F154" s="375"/>
      <c r="G154" s="375"/>
      <c r="H154" s="375"/>
      <c r="I154" s="375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  <c r="Y154" s="375"/>
      <c r="Z154" s="375"/>
      <c r="AA154" s="375"/>
      <c r="AB154" s="375"/>
      <c r="AC154" s="375"/>
    </row>
    <row r="155" spans="4:29" x14ac:dyDescent="0.25">
      <c r="D155" s="375"/>
      <c r="E155" s="375"/>
      <c r="F155" s="375"/>
      <c r="G155" s="375"/>
      <c r="H155" s="375"/>
      <c r="I155" s="375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  <c r="Y155" s="375"/>
      <c r="Z155" s="375"/>
      <c r="AA155" s="375"/>
      <c r="AB155" s="375"/>
      <c r="AC155" s="375"/>
    </row>
    <row r="156" spans="4:29" x14ac:dyDescent="0.25">
      <c r="D156" s="375"/>
      <c r="E156" s="375"/>
      <c r="F156" s="375"/>
      <c r="G156" s="375"/>
      <c r="H156" s="375"/>
      <c r="I156" s="375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5"/>
      <c r="AC156" s="375"/>
    </row>
    <row r="157" spans="4:29" x14ac:dyDescent="0.25">
      <c r="D157" s="375"/>
      <c r="E157" s="375"/>
      <c r="F157" s="375"/>
      <c r="G157" s="375"/>
      <c r="H157" s="375"/>
      <c r="I157" s="375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  <c r="Y157" s="375"/>
      <c r="Z157" s="375"/>
      <c r="AA157" s="375"/>
      <c r="AB157" s="375"/>
      <c r="AC157" s="375"/>
    </row>
    <row r="158" spans="4:29" x14ac:dyDescent="0.25">
      <c r="D158" s="375"/>
      <c r="E158" s="375"/>
      <c r="F158" s="375"/>
      <c r="G158" s="375"/>
      <c r="H158" s="375"/>
      <c r="I158" s="375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  <c r="Y158" s="375"/>
      <c r="Z158" s="375"/>
      <c r="AA158" s="375"/>
      <c r="AB158" s="375"/>
      <c r="AC158" s="375"/>
    </row>
    <row r="159" spans="4:29" x14ac:dyDescent="0.25">
      <c r="D159" s="375"/>
      <c r="E159" s="375"/>
      <c r="F159" s="375"/>
      <c r="G159" s="375"/>
      <c r="H159" s="375"/>
      <c r="I159" s="375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</row>
    <row r="160" spans="4:29" x14ac:dyDescent="0.25">
      <c r="D160" s="375"/>
      <c r="E160" s="375"/>
      <c r="F160" s="375"/>
      <c r="G160" s="375"/>
      <c r="H160" s="375"/>
      <c r="I160" s="375"/>
      <c r="J160" s="375"/>
      <c r="K160" s="37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  <c r="Y160" s="375"/>
      <c r="Z160" s="375"/>
      <c r="AA160" s="375"/>
      <c r="AB160" s="375"/>
      <c r="AC160" s="375"/>
    </row>
    <row r="161" spans="4:29" x14ac:dyDescent="0.25">
      <c r="D161" s="375"/>
      <c r="E161" s="375"/>
      <c r="F161" s="375"/>
      <c r="G161" s="375"/>
      <c r="H161" s="375"/>
      <c r="I161" s="375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</row>
    <row r="162" spans="4:29" x14ac:dyDescent="0.25">
      <c r="D162" s="375"/>
      <c r="E162" s="375"/>
      <c r="F162" s="375"/>
      <c r="G162" s="375"/>
      <c r="H162" s="375"/>
      <c r="I162" s="375"/>
      <c r="J162" s="375"/>
      <c r="K162" s="37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  <c r="Y162" s="375"/>
      <c r="Z162" s="375"/>
      <c r="AA162" s="375"/>
      <c r="AB162" s="375"/>
      <c r="AC162" s="375"/>
    </row>
    <row r="163" spans="4:29" x14ac:dyDescent="0.25">
      <c r="D163" s="375"/>
      <c r="E163" s="375"/>
      <c r="F163" s="375"/>
      <c r="G163" s="375"/>
      <c r="H163" s="375"/>
      <c r="I163" s="375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  <c r="Y163" s="375"/>
      <c r="Z163" s="375"/>
      <c r="AA163" s="375"/>
      <c r="AB163" s="375"/>
      <c r="AC163" s="375"/>
    </row>
    <row r="164" spans="4:29" x14ac:dyDescent="0.25">
      <c r="D164" s="375"/>
      <c r="E164" s="375"/>
      <c r="F164" s="375"/>
      <c r="G164" s="375"/>
      <c r="H164" s="375"/>
      <c r="I164" s="375"/>
      <c r="J164" s="375"/>
      <c r="K164" s="37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  <c r="Y164" s="375"/>
      <c r="Z164" s="375"/>
      <c r="AA164" s="375"/>
      <c r="AB164" s="375"/>
      <c r="AC164" s="375"/>
    </row>
    <row r="165" spans="4:29" x14ac:dyDescent="0.25">
      <c r="D165" s="375"/>
      <c r="E165" s="375"/>
      <c r="F165" s="375"/>
      <c r="G165" s="375"/>
      <c r="H165" s="375"/>
      <c r="I165" s="375"/>
      <c r="J165" s="375"/>
      <c r="K165" s="37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  <c r="Y165" s="375"/>
      <c r="Z165" s="375"/>
      <c r="AA165" s="375"/>
      <c r="AB165" s="375"/>
      <c r="AC165" s="375"/>
    </row>
    <row r="166" spans="4:29" x14ac:dyDescent="0.25">
      <c r="D166" s="375"/>
      <c r="E166" s="375"/>
      <c r="F166" s="375"/>
      <c r="G166" s="375"/>
      <c r="H166" s="375"/>
      <c r="I166" s="375"/>
      <c r="J166" s="375"/>
      <c r="K166" s="37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  <c r="Y166" s="375"/>
      <c r="Z166" s="375"/>
      <c r="AA166" s="375"/>
      <c r="AB166" s="375"/>
      <c r="AC166" s="375"/>
    </row>
    <row r="167" spans="4:29" x14ac:dyDescent="0.25">
      <c r="D167" s="375"/>
      <c r="E167" s="375"/>
      <c r="F167" s="375"/>
      <c r="G167" s="375"/>
      <c r="H167" s="375"/>
      <c r="I167" s="375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</row>
    <row r="168" spans="4:29" x14ac:dyDescent="0.25">
      <c r="D168" s="375"/>
      <c r="E168" s="375"/>
      <c r="F168" s="375"/>
      <c r="G168" s="375"/>
      <c r="H168" s="375"/>
      <c r="I168" s="375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  <c r="Y168" s="375"/>
      <c r="Z168" s="375"/>
      <c r="AA168" s="375"/>
      <c r="AB168" s="375"/>
      <c r="AC168" s="375"/>
    </row>
    <row r="169" spans="4:29" x14ac:dyDescent="0.25">
      <c r="D169" s="375"/>
      <c r="E169" s="375"/>
      <c r="F169" s="375"/>
      <c r="G169" s="375"/>
      <c r="H169" s="375"/>
      <c r="I169" s="375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</row>
    <row r="170" spans="4:29" x14ac:dyDescent="0.25">
      <c r="D170" s="375"/>
      <c r="E170" s="375"/>
      <c r="F170" s="375"/>
      <c r="G170" s="375"/>
      <c r="H170" s="375"/>
      <c r="I170" s="375"/>
      <c r="J170" s="375"/>
      <c r="K170" s="37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  <c r="Y170" s="375"/>
      <c r="Z170" s="375"/>
      <c r="AA170" s="375"/>
      <c r="AB170" s="375"/>
      <c r="AC170" s="375"/>
    </row>
    <row r="171" spans="4:29" x14ac:dyDescent="0.25">
      <c r="D171" s="375"/>
      <c r="E171" s="375"/>
      <c r="F171" s="375"/>
      <c r="G171" s="375"/>
      <c r="H171" s="375"/>
      <c r="I171" s="375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</row>
    <row r="172" spans="4:29" x14ac:dyDescent="0.25">
      <c r="D172" s="375"/>
      <c r="E172" s="375"/>
      <c r="F172" s="375"/>
      <c r="G172" s="375"/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5"/>
      <c r="AC172" s="375"/>
    </row>
    <row r="173" spans="4:29" x14ac:dyDescent="0.25">
      <c r="D173" s="375"/>
      <c r="E173" s="375"/>
      <c r="F173" s="375"/>
      <c r="G173" s="375"/>
      <c r="H173" s="375"/>
      <c r="I173" s="375"/>
      <c r="J173" s="375"/>
      <c r="K173" s="37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  <c r="Y173" s="375"/>
      <c r="Z173" s="375"/>
      <c r="AA173" s="375"/>
      <c r="AB173" s="375"/>
      <c r="AC173" s="375"/>
    </row>
    <row r="174" spans="4:29" x14ac:dyDescent="0.25">
      <c r="D174" s="375"/>
      <c r="E174" s="375"/>
      <c r="F174" s="375"/>
      <c r="G174" s="375"/>
      <c r="H174" s="375"/>
      <c r="I174" s="375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  <c r="Y174" s="375"/>
      <c r="Z174" s="375"/>
      <c r="AA174" s="375"/>
      <c r="AB174" s="375"/>
      <c r="AC174" s="375"/>
    </row>
    <row r="175" spans="4:29" x14ac:dyDescent="0.25">
      <c r="D175" s="375"/>
      <c r="E175" s="375"/>
      <c r="F175" s="375"/>
      <c r="G175" s="375"/>
      <c r="H175" s="375"/>
      <c r="I175" s="375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</row>
    <row r="176" spans="4:29" x14ac:dyDescent="0.25">
      <c r="D176" s="375"/>
      <c r="E176" s="375"/>
      <c r="F176" s="375"/>
      <c r="G176" s="375"/>
      <c r="H176" s="375"/>
      <c r="I176" s="375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  <c r="Y176" s="375"/>
      <c r="Z176" s="375"/>
      <c r="AA176" s="375"/>
      <c r="AB176" s="375"/>
      <c r="AC176" s="375"/>
    </row>
    <row r="177" spans="4:29" x14ac:dyDescent="0.25">
      <c r="D177" s="375"/>
      <c r="E177" s="375"/>
      <c r="F177" s="375"/>
      <c r="G177" s="375"/>
      <c r="H177" s="375"/>
      <c r="I177" s="375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</row>
    <row r="178" spans="4:29" x14ac:dyDescent="0.25">
      <c r="D178" s="375"/>
      <c r="E178" s="375"/>
      <c r="F178" s="375"/>
      <c r="G178" s="375"/>
      <c r="H178" s="375"/>
      <c r="I178" s="375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  <c r="Y178" s="375"/>
      <c r="Z178" s="375"/>
      <c r="AA178" s="375"/>
      <c r="AB178" s="375"/>
      <c r="AC178" s="375"/>
    </row>
    <row r="179" spans="4:29" x14ac:dyDescent="0.25">
      <c r="D179" s="375"/>
      <c r="E179" s="375"/>
      <c r="F179" s="375"/>
      <c r="G179" s="375"/>
      <c r="H179" s="375"/>
      <c r="I179" s="375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5"/>
      <c r="AC179" s="375"/>
    </row>
    <row r="180" spans="4:29" x14ac:dyDescent="0.25">
      <c r="D180" s="375"/>
      <c r="E180" s="375"/>
      <c r="F180" s="375"/>
      <c r="G180" s="375"/>
      <c r="H180" s="375"/>
      <c r="I180" s="375"/>
      <c r="J180" s="375"/>
      <c r="K180" s="37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  <c r="Y180" s="375"/>
      <c r="Z180" s="375"/>
      <c r="AA180" s="375"/>
      <c r="AB180" s="375"/>
      <c r="AC180" s="375"/>
    </row>
    <row r="181" spans="4:29" x14ac:dyDescent="0.25">
      <c r="D181" s="375"/>
      <c r="E181" s="375"/>
      <c r="F181" s="375"/>
      <c r="G181" s="375"/>
      <c r="H181" s="375"/>
      <c r="I181" s="375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</row>
    <row r="182" spans="4:29" x14ac:dyDescent="0.25">
      <c r="D182" s="375"/>
      <c r="E182" s="375"/>
      <c r="F182" s="375"/>
      <c r="G182" s="375"/>
      <c r="H182" s="375"/>
      <c r="I182" s="375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  <c r="Y182" s="375"/>
      <c r="Z182" s="375"/>
      <c r="AA182" s="375"/>
      <c r="AB182" s="375"/>
      <c r="AC182" s="375"/>
    </row>
    <row r="183" spans="4:29" x14ac:dyDescent="0.25">
      <c r="D183" s="375"/>
      <c r="E183" s="375"/>
      <c r="F183" s="375"/>
      <c r="G183" s="375"/>
      <c r="H183" s="375"/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</row>
    <row r="184" spans="4:29" x14ac:dyDescent="0.25">
      <c r="D184" s="375"/>
      <c r="E184" s="375"/>
      <c r="F184" s="375"/>
      <c r="G184" s="375"/>
      <c r="H184" s="375"/>
      <c r="I184" s="375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  <c r="Y184" s="375"/>
      <c r="Z184" s="375"/>
      <c r="AA184" s="375"/>
      <c r="AB184" s="375"/>
      <c r="AC184" s="375"/>
    </row>
    <row r="185" spans="4:29" x14ac:dyDescent="0.25">
      <c r="D185" s="375"/>
      <c r="E185" s="375"/>
      <c r="F185" s="375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5"/>
      <c r="AC185" s="375"/>
    </row>
    <row r="186" spans="4:29" x14ac:dyDescent="0.25">
      <c r="D186" s="375"/>
      <c r="E186" s="375"/>
      <c r="F186" s="375"/>
      <c r="G186" s="375"/>
      <c r="H186" s="375"/>
      <c r="I186" s="375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  <c r="Y186" s="375"/>
      <c r="Z186" s="375"/>
      <c r="AA186" s="375"/>
      <c r="AB186" s="375"/>
      <c r="AC186" s="375"/>
    </row>
    <row r="187" spans="4:29" x14ac:dyDescent="0.25">
      <c r="D187" s="375"/>
      <c r="E187" s="375"/>
      <c r="F187" s="375"/>
      <c r="G187" s="375"/>
      <c r="H187" s="375"/>
      <c r="I187" s="375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  <c r="Y187" s="375"/>
      <c r="Z187" s="375"/>
      <c r="AA187" s="375"/>
      <c r="AB187" s="375"/>
      <c r="AC187" s="375"/>
    </row>
    <row r="188" spans="4:29" x14ac:dyDescent="0.25">
      <c r="D188" s="375"/>
      <c r="E188" s="375"/>
      <c r="F188" s="375"/>
      <c r="G188" s="375"/>
      <c r="H188" s="375"/>
      <c r="I188" s="375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</row>
    <row r="189" spans="4:29" x14ac:dyDescent="0.25">
      <c r="D189" s="375"/>
      <c r="E189" s="375"/>
      <c r="F189" s="375"/>
      <c r="G189" s="375"/>
      <c r="H189" s="375"/>
      <c r="I189" s="375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  <c r="Y189" s="375"/>
      <c r="Z189" s="375"/>
      <c r="AA189" s="375"/>
      <c r="AB189" s="375"/>
      <c r="AC189" s="375"/>
    </row>
    <row r="190" spans="4:29" x14ac:dyDescent="0.25">
      <c r="D190" s="375"/>
      <c r="E190" s="375"/>
      <c r="F190" s="375"/>
      <c r="G190" s="375"/>
      <c r="H190" s="375"/>
      <c r="I190" s="375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  <c r="Y190" s="375"/>
      <c r="Z190" s="375"/>
      <c r="AA190" s="375"/>
      <c r="AB190" s="375"/>
      <c r="AC190" s="375"/>
    </row>
    <row r="191" spans="4:29" x14ac:dyDescent="0.25">
      <c r="D191" s="375"/>
      <c r="E191" s="375"/>
      <c r="F191" s="375"/>
      <c r="G191" s="375"/>
      <c r="H191" s="375"/>
      <c r="I191" s="375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  <c r="Y191" s="375"/>
      <c r="Z191" s="375"/>
      <c r="AA191" s="375"/>
      <c r="AB191" s="375"/>
      <c r="AC191" s="375"/>
    </row>
    <row r="192" spans="4:29" x14ac:dyDescent="0.25">
      <c r="D192" s="375"/>
      <c r="E192" s="375"/>
      <c r="F192" s="375"/>
      <c r="G192" s="375"/>
      <c r="H192" s="375"/>
      <c r="I192" s="375"/>
      <c r="J192" s="375"/>
      <c r="K192" s="375"/>
      <c r="L192" s="375"/>
      <c r="M192" s="375"/>
      <c r="N192" s="375"/>
      <c r="O192" s="375"/>
      <c r="P192" s="375"/>
      <c r="Q192" s="375"/>
      <c r="R192" s="375"/>
      <c r="S192" s="375"/>
      <c r="T192" s="375"/>
      <c r="U192" s="375"/>
      <c r="V192" s="375"/>
      <c r="W192" s="375"/>
      <c r="X192" s="375"/>
      <c r="Y192" s="375"/>
      <c r="Z192" s="375"/>
      <c r="AA192" s="375"/>
      <c r="AB192" s="375"/>
      <c r="AC192" s="375"/>
    </row>
    <row r="193" spans="4:29" x14ac:dyDescent="0.25">
      <c r="D193" s="375"/>
      <c r="E193" s="375"/>
      <c r="F193" s="375"/>
      <c r="G193" s="375"/>
      <c r="H193" s="375"/>
      <c r="I193" s="375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  <c r="Y193" s="375"/>
      <c r="Z193" s="375"/>
      <c r="AA193" s="375"/>
      <c r="AB193" s="375"/>
      <c r="AC193" s="375"/>
    </row>
    <row r="194" spans="4:29" x14ac:dyDescent="0.25">
      <c r="D194" s="375"/>
      <c r="E194" s="375"/>
      <c r="F194" s="375"/>
      <c r="G194" s="375"/>
      <c r="H194" s="375"/>
      <c r="I194" s="375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  <c r="Y194" s="375"/>
      <c r="Z194" s="375"/>
      <c r="AA194" s="375"/>
      <c r="AB194" s="375"/>
      <c r="AC194" s="375"/>
    </row>
    <row r="195" spans="4:29" x14ac:dyDescent="0.25">
      <c r="D195" s="375"/>
      <c r="E195" s="375"/>
      <c r="F195" s="375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  <c r="Y195" s="375"/>
      <c r="Z195" s="375"/>
      <c r="AA195" s="375"/>
      <c r="AB195" s="375"/>
      <c r="AC195" s="375"/>
    </row>
    <row r="196" spans="4:29" x14ac:dyDescent="0.25">
      <c r="D196" s="375"/>
      <c r="E196" s="375"/>
      <c r="F196" s="375"/>
      <c r="G196" s="375"/>
      <c r="H196" s="375"/>
      <c r="I196" s="375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  <c r="Y196" s="375"/>
      <c r="Z196" s="375"/>
      <c r="AA196" s="375"/>
      <c r="AB196" s="375"/>
      <c r="AC196" s="375"/>
    </row>
    <row r="197" spans="4:29" x14ac:dyDescent="0.25">
      <c r="D197" s="375"/>
      <c r="E197" s="375"/>
      <c r="F197" s="375"/>
      <c r="G197" s="375"/>
      <c r="H197" s="375"/>
      <c r="I197" s="375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  <c r="Y197" s="375"/>
      <c r="Z197" s="375"/>
      <c r="AA197" s="375"/>
      <c r="AB197" s="375"/>
      <c r="AC197" s="375"/>
    </row>
    <row r="198" spans="4:29" x14ac:dyDescent="0.25">
      <c r="D198" s="375"/>
      <c r="E198" s="375"/>
      <c r="F198" s="375"/>
      <c r="G198" s="375"/>
      <c r="H198" s="375"/>
      <c r="I198" s="375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  <c r="Y198" s="375"/>
      <c r="Z198" s="375"/>
      <c r="AA198" s="375"/>
      <c r="AB198" s="375"/>
      <c r="AC198" s="375"/>
    </row>
    <row r="199" spans="4:29" x14ac:dyDescent="0.25">
      <c r="D199" s="375"/>
      <c r="E199" s="375"/>
      <c r="F199" s="375"/>
      <c r="G199" s="375"/>
      <c r="H199" s="375"/>
      <c r="I199" s="375"/>
      <c r="J199" s="375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375"/>
      <c r="W199" s="375"/>
      <c r="X199" s="375"/>
      <c r="Y199" s="375"/>
      <c r="Z199" s="375"/>
      <c r="AA199" s="375"/>
      <c r="AB199" s="375"/>
      <c r="AC199" s="375"/>
    </row>
    <row r="200" spans="4:29" x14ac:dyDescent="0.25">
      <c r="D200" s="375"/>
      <c r="E200" s="375"/>
      <c r="F200" s="375"/>
      <c r="G200" s="375"/>
      <c r="H200" s="375"/>
      <c r="I200" s="375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  <c r="Y200" s="375"/>
      <c r="Z200" s="375"/>
      <c r="AA200" s="375"/>
      <c r="AB200" s="375"/>
      <c r="AC200" s="375"/>
    </row>
    <row r="201" spans="4:29" x14ac:dyDescent="0.25">
      <c r="D201" s="375"/>
      <c r="E201" s="375"/>
      <c r="F201" s="375"/>
      <c r="G201" s="375"/>
      <c r="H201" s="375"/>
      <c r="I201" s="375"/>
      <c r="J201" s="375"/>
      <c r="K201" s="375"/>
      <c r="L201" s="375"/>
      <c r="M201" s="375"/>
      <c r="N201" s="375"/>
      <c r="O201" s="375"/>
      <c r="P201" s="375"/>
      <c r="Q201" s="375"/>
      <c r="R201" s="375"/>
      <c r="S201" s="375"/>
      <c r="T201" s="375"/>
      <c r="U201" s="375"/>
      <c r="V201" s="375"/>
      <c r="W201" s="375"/>
      <c r="X201" s="375"/>
      <c r="Y201" s="375"/>
      <c r="Z201" s="375"/>
      <c r="AA201" s="375"/>
      <c r="AB201" s="375"/>
      <c r="AC201" s="375"/>
    </row>
    <row r="202" spans="4:29" x14ac:dyDescent="0.25">
      <c r="D202" s="375"/>
      <c r="E202" s="375"/>
      <c r="F202" s="375"/>
      <c r="G202" s="375"/>
      <c r="H202" s="375"/>
      <c r="I202" s="375"/>
      <c r="J202" s="375"/>
      <c r="K202" s="375"/>
      <c r="L202" s="375"/>
      <c r="M202" s="375"/>
      <c r="N202" s="375"/>
      <c r="O202" s="375"/>
      <c r="P202" s="375"/>
      <c r="Q202" s="375"/>
      <c r="R202" s="375"/>
      <c r="S202" s="375"/>
      <c r="T202" s="375"/>
      <c r="U202" s="375"/>
      <c r="V202" s="375"/>
      <c r="W202" s="375"/>
      <c r="X202" s="375"/>
      <c r="Y202" s="375"/>
      <c r="Z202" s="375"/>
      <c r="AA202" s="375"/>
      <c r="AB202" s="375"/>
      <c r="AC202" s="375"/>
    </row>
    <row r="203" spans="4:29" x14ac:dyDescent="0.25">
      <c r="D203" s="375"/>
      <c r="E203" s="375"/>
      <c r="F203" s="375"/>
      <c r="G203" s="375"/>
      <c r="H203" s="375"/>
      <c r="I203" s="375"/>
      <c r="J203" s="375"/>
      <c r="K203" s="375"/>
      <c r="L203" s="375"/>
      <c r="M203" s="375"/>
      <c r="N203" s="375"/>
      <c r="O203" s="375"/>
      <c r="P203" s="375"/>
      <c r="Q203" s="375"/>
      <c r="R203" s="375"/>
      <c r="S203" s="375"/>
      <c r="T203" s="375"/>
      <c r="U203" s="375"/>
      <c r="V203" s="375"/>
      <c r="W203" s="375"/>
      <c r="X203" s="375"/>
      <c r="Y203" s="375"/>
      <c r="Z203" s="375"/>
      <c r="AA203" s="375"/>
      <c r="AB203" s="375"/>
      <c r="AC203" s="375"/>
    </row>
    <row r="204" spans="4:29" x14ac:dyDescent="0.25">
      <c r="D204" s="375"/>
      <c r="E204" s="375"/>
      <c r="F204" s="375"/>
      <c r="G204" s="375"/>
      <c r="H204" s="375"/>
      <c r="I204" s="375"/>
      <c r="J204" s="375"/>
      <c r="K204" s="375"/>
      <c r="L204" s="375"/>
      <c r="M204" s="375"/>
      <c r="N204" s="375"/>
      <c r="O204" s="375"/>
      <c r="P204" s="375"/>
      <c r="Q204" s="375"/>
      <c r="R204" s="375"/>
      <c r="S204" s="375"/>
      <c r="T204" s="375"/>
      <c r="U204" s="375"/>
      <c r="V204" s="375"/>
      <c r="W204" s="375"/>
      <c r="X204" s="375"/>
      <c r="Y204" s="375"/>
      <c r="Z204" s="375"/>
      <c r="AA204" s="375"/>
      <c r="AB204" s="375"/>
      <c r="AC204" s="375"/>
    </row>
    <row r="205" spans="4:29" x14ac:dyDescent="0.25">
      <c r="D205" s="375"/>
      <c r="E205" s="375"/>
      <c r="F205" s="375"/>
      <c r="G205" s="375"/>
      <c r="H205" s="375"/>
      <c r="I205" s="375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  <c r="Y205" s="375"/>
      <c r="Z205" s="375"/>
      <c r="AA205" s="375"/>
      <c r="AB205" s="375"/>
      <c r="AC205" s="375"/>
    </row>
    <row r="206" spans="4:29" x14ac:dyDescent="0.25">
      <c r="D206" s="375"/>
      <c r="E206" s="375"/>
      <c r="F206" s="375"/>
      <c r="G206" s="375"/>
      <c r="H206" s="375"/>
      <c r="I206" s="375"/>
      <c r="J206" s="375"/>
      <c r="K206" s="375"/>
      <c r="L206" s="375"/>
      <c r="M206" s="375"/>
      <c r="N206" s="375"/>
      <c r="O206" s="375"/>
      <c r="P206" s="375"/>
      <c r="Q206" s="375"/>
      <c r="R206" s="375"/>
      <c r="S206" s="375"/>
      <c r="T206" s="375"/>
      <c r="U206" s="375"/>
      <c r="V206" s="375"/>
      <c r="W206" s="375"/>
      <c r="X206" s="375"/>
      <c r="Y206" s="375"/>
      <c r="Z206" s="375"/>
      <c r="AA206" s="375"/>
      <c r="AB206" s="375"/>
      <c r="AC206" s="375"/>
    </row>
    <row r="207" spans="4:29" x14ac:dyDescent="0.25">
      <c r="D207" s="375"/>
      <c r="E207" s="375"/>
      <c r="F207" s="375"/>
      <c r="G207" s="375"/>
      <c r="H207" s="375"/>
      <c r="I207" s="375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  <c r="Y207" s="375"/>
      <c r="Z207" s="375"/>
      <c r="AA207" s="375"/>
      <c r="AB207" s="375"/>
      <c r="AC207" s="375"/>
    </row>
    <row r="208" spans="4:29" x14ac:dyDescent="0.25">
      <c r="D208" s="375"/>
      <c r="E208" s="375"/>
      <c r="F208" s="375"/>
      <c r="G208" s="375"/>
      <c r="H208" s="375"/>
      <c r="I208" s="375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  <c r="Y208" s="375"/>
      <c r="Z208" s="375"/>
      <c r="AA208" s="375"/>
      <c r="AB208" s="375"/>
      <c r="AC208" s="375"/>
    </row>
    <row r="209" spans="4:29" x14ac:dyDescent="0.25">
      <c r="D209" s="375"/>
      <c r="E209" s="375"/>
      <c r="F209" s="375"/>
      <c r="G209" s="375"/>
      <c r="H209" s="375"/>
      <c r="I209" s="375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  <c r="Y209" s="375"/>
      <c r="Z209" s="375"/>
      <c r="AA209" s="375"/>
      <c r="AB209" s="375"/>
      <c r="AC209" s="375"/>
    </row>
    <row r="210" spans="4:29" x14ac:dyDescent="0.25">
      <c r="D210" s="375"/>
      <c r="E210" s="375"/>
      <c r="F210" s="375"/>
      <c r="G210" s="375"/>
      <c r="H210" s="375"/>
      <c r="I210" s="375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  <c r="Y210" s="375"/>
      <c r="Z210" s="375"/>
      <c r="AA210" s="375"/>
      <c r="AB210" s="375"/>
      <c r="AC210" s="375"/>
    </row>
  </sheetData>
  <mergeCells count="54">
    <mergeCell ref="I6:J6"/>
    <mergeCell ref="M6:N6"/>
    <mergeCell ref="T34:T35"/>
    <mergeCell ref="U34:U35"/>
    <mergeCell ref="V34:V35"/>
    <mergeCell ref="Q34:Q35"/>
    <mergeCell ref="R34:R35"/>
    <mergeCell ref="S34:S35"/>
    <mergeCell ref="V6:V7"/>
    <mergeCell ref="AB34:AB35"/>
    <mergeCell ref="AC34:AC35"/>
    <mergeCell ref="AD34:AD35"/>
    <mergeCell ref="W34:W35"/>
    <mergeCell ref="X34:X35"/>
    <mergeCell ref="Y34:Y35"/>
    <mergeCell ref="AA34:AA35"/>
    <mergeCell ref="W6:W7"/>
    <mergeCell ref="D31:R31"/>
    <mergeCell ref="D32:R32"/>
    <mergeCell ref="G34:G35"/>
    <mergeCell ref="H34:H35"/>
    <mergeCell ref="K34:L34"/>
    <mergeCell ref="O34:O35"/>
    <mergeCell ref="P34:P35"/>
    <mergeCell ref="R6:R7"/>
    <mergeCell ref="K6:L6"/>
    <mergeCell ref="O6:O7"/>
    <mergeCell ref="P6:P7"/>
    <mergeCell ref="Q6:Q7"/>
    <mergeCell ref="S6:S7"/>
    <mergeCell ref="T6:T7"/>
    <mergeCell ref="U6:U7"/>
    <mergeCell ref="A34:A35"/>
    <mergeCell ref="C34:C35"/>
    <mergeCell ref="D34:D35"/>
    <mergeCell ref="E34:E35"/>
    <mergeCell ref="F34:F35"/>
    <mergeCell ref="B34:B35"/>
    <mergeCell ref="D3:H3"/>
    <mergeCell ref="A6:A7"/>
    <mergeCell ref="C6:C7"/>
    <mergeCell ref="D6:D7"/>
    <mergeCell ref="E6:E7"/>
    <mergeCell ref="F6:F7"/>
    <mergeCell ref="G6:G7"/>
    <mergeCell ref="H6:H7"/>
    <mergeCell ref="B6:B7"/>
    <mergeCell ref="AD6:AD7"/>
    <mergeCell ref="X6:X7"/>
    <mergeCell ref="Y6:Y7"/>
    <mergeCell ref="AA6:AA7"/>
    <mergeCell ref="AB6:AB7"/>
    <mergeCell ref="AC6:AC7"/>
    <mergeCell ref="Z6:Z7"/>
  </mergeCells>
  <pageMargins left="0.17" right="0.17" top="0.74803149606299213" bottom="0.74803149606299213" header="0.31496062992125984" footer="0.31496062992125984"/>
  <pageSetup paperSize="9" orientation="landscape" verticalDpi="0" r:id="rId1"/>
  <ignoredErrors>
    <ignoredError sqref="O44" formula="1"/>
  </ignoredError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H210"/>
  <sheetViews>
    <sheetView topLeftCell="F1" zoomScaleNormal="100" workbookViewId="0">
      <selection activeCell="L1" sqref="L1:P1048576"/>
    </sheetView>
  </sheetViews>
  <sheetFormatPr defaultRowHeight="15" x14ac:dyDescent="0.25"/>
  <cols>
    <col min="1" max="1" width="3.7109375" customWidth="1"/>
    <col min="2" max="2" width="9.5703125" customWidth="1"/>
    <col min="3" max="3" width="16" customWidth="1"/>
    <col min="4" max="4" width="7.5703125" customWidth="1"/>
    <col min="5" max="5" width="7.28515625" customWidth="1"/>
    <col min="6" max="6" width="8.5703125" customWidth="1"/>
    <col min="7" max="7" width="7.42578125" customWidth="1"/>
    <col min="8" max="8" width="9.85546875" customWidth="1"/>
    <col min="9" max="9" width="11.140625" customWidth="1"/>
    <col min="10" max="10" width="11.42578125" customWidth="1"/>
    <col min="11" max="11" width="11.28515625" customWidth="1"/>
    <col min="12" max="12" width="10.5703125" customWidth="1"/>
    <col min="13" max="14" width="12" customWidth="1"/>
    <col min="15" max="15" width="11.7109375" customWidth="1"/>
    <col min="16" max="16" width="9.85546875" customWidth="1"/>
    <col min="17" max="17" width="12.85546875" customWidth="1"/>
    <col min="18" max="18" width="9.5703125" customWidth="1"/>
    <col min="19" max="19" width="11" customWidth="1"/>
    <col min="20" max="20" width="10.140625" customWidth="1"/>
    <col min="21" max="21" width="11.7109375" customWidth="1"/>
    <col min="22" max="22" width="10.5703125" customWidth="1"/>
    <col min="23" max="23" width="12.28515625" customWidth="1"/>
    <col min="24" max="24" width="12.85546875" customWidth="1"/>
    <col min="25" max="26" width="9.42578125" customWidth="1"/>
    <col min="27" max="27" width="10.140625" customWidth="1"/>
    <col min="28" max="28" width="11.5703125" customWidth="1"/>
    <col min="29" max="29" width="12.7109375" customWidth="1"/>
    <col min="30" max="30" width="10.42578125" customWidth="1"/>
    <col min="31" max="31" width="10.28515625" customWidth="1"/>
    <col min="32" max="32" width="9.85546875" customWidth="1"/>
    <col min="33" max="33" width="9.140625" customWidth="1"/>
  </cols>
  <sheetData>
    <row r="2" spans="1:34" ht="15" customHeight="1" x14ac:dyDescent="0.3">
      <c r="A2" s="176"/>
      <c r="B2" s="176"/>
      <c r="C2" s="176"/>
      <c r="D2" s="84" t="s">
        <v>429</v>
      </c>
      <c r="E2" s="84"/>
      <c r="F2" s="84"/>
      <c r="G2" s="84"/>
      <c r="H2" s="84"/>
      <c r="I2" s="84"/>
      <c r="J2" s="84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</row>
    <row r="3" spans="1:34" ht="18.75" customHeight="1" x14ac:dyDescent="0.3">
      <c r="A3" s="176"/>
      <c r="B3" s="176"/>
      <c r="C3" s="176"/>
      <c r="D3" s="1993" t="s">
        <v>627</v>
      </c>
      <c r="E3" s="1994"/>
      <c r="F3" s="1994"/>
      <c r="G3" s="1994"/>
      <c r="H3" s="1994"/>
      <c r="I3" s="1210"/>
      <c r="J3" s="1210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</row>
    <row r="4" spans="1:34" ht="15.75" customHeight="1" x14ac:dyDescent="0.3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64"/>
      <c r="AC4" s="164"/>
      <c r="AD4" s="164"/>
      <c r="AE4" s="176"/>
      <c r="AF4" s="176"/>
      <c r="AG4" s="176"/>
      <c r="AH4" s="176"/>
    </row>
    <row r="5" spans="1:34" ht="15.75" customHeight="1" x14ac:dyDescent="0.3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64"/>
      <c r="AC5" s="164"/>
      <c r="AD5" s="164"/>
      <c r="AE5" s="176"/>
      <c r="AF5" s="176"/>
      <c r="AG5" s="176"/>
      <c r="AH5" s="176"/>
    </row>
    <row r="6" spans="1:34" ht="41.25" customHeight="1" x14ac:dyDescent="0.25">
      <c r="A6" s="2083" t="s">
        <v>0</v>
      </c>
      <c r="B6" s="2014"/>
      <c r="C6" s="2083" t="s">
        <v>184</v>
      </c>
      <c r="D6" s="2083" t="s">
        <v>54</v>
      </c>
      <c r="E6" s="2014" t="s">
        <v>55</v>
      </c>
      <c r="F6" s="2083" t="s">
        <v>56</v>
      </c>
      <c r="G6" s="2083" t="s">
        <v>57</v>
      </c>
      <c r="H6" s="2014" t="s">
        <v>6</v>
      </c>
      <c r="I6" s="2097" t="s">
        <v>593</v>
      </c>
      <c r="J6" s="2060"/>
      <c r="K6" s="2017" t="s">
        <v>310</v>
      </c>
      <c r="L6" s="2017"/>
      <c r="M6" s="2017" t="s">
        <v>598</v>
      </c>
      <c r="N6" s="2017"/>
      <c r="O6" s="1987" t="s">
        <v>181</v>
      </c>
      <c r="P6" s="2083" t="s">
        <v>572</v>
      </c>
      <c r="Q6" s="1987" t="s">
        <v>573</v>
      </c>
      <c r="R6" s="2003" t="s">
        <v>430</v>
      </c>
      <c r="S6" s="2102" t="s">
        <v>12</v>
      </c>
      <c r="T6" s="2153" t="s">
        <v>321</v>
      </c>
      <c r="U6" s="2153" t="s">
        <v>554</v>
      </c>
      <c r="V6" s="2009" t="s">
        <v>431</v>
      </c>
      <c r="W6" s="1987" t="s">
        <v>328</v>
      </c>
      <c r="X6" s="1987" t="s">
        <v>175</v>
      </c>
      <c r="Y6" s="2005" t="s">
        <v>610</v>
      </c>
      <c r="Z6" s="2005" t="s">
        <v>611</v>
      </c>
      <c r="AA6" s="1999" t="s">
        <v>547</v>
      </c>
      <c r="AB6" s="2009" t="s">
        <v>566</v>
      </c>
      <c r="AC6" s="2161"/>
      <c r="AD6" s="2160"/>
      <c r="AE6" s="259"/>
      <c r="AF6" s="259"/>
      <c r="AG6" s="259"/>
      <c r="AH6" s="259"/>
    </row>
    <row r="7" spans="1:34" ht="37.5" customHeight="1" x14ac:dyDescent="0.25">
      <c r="A7" s="2083"/>
      <c r="B7" s="2015"/>
      <c r="C7" s="2083"/>
      <c r="D7" s="2083"/>
      <c r="E7" s="2015"/>
      <c r="F7" s="2083"/>
      <c r="G7" s="2083"/>
      <c r="H7" s="2015"/>
      <c r="I7" s="150" t="s">
        <v>15</v>
      </c>
      <c r="J7" s="1214" t="s">
        <v>16</v>
      </c>
      <c r="K7" s="51" t="s">
        <v>15</v>
      </c>
      <c r="L7" s="1211" t="s">
        <v>16</v>
      </c>
      <c r="M7" s="150" t="s">
        <v>15</v>
      </c>
      <c r="N7" s="1214" t="s">
        <v>16</v>
      </c>
      <c r="O7" s="1988"/>
      <c r="P7" s="2083"/>
      <c r="Q7" s="1988"/>
      <c r="R7" s="2004"/>
      <c r="S7" s="2102"/>
      <c r="T7" s="2153"/>
      <c r="U7" s="2164"/>
      <c r="V7" s="2009"/>
      <c r="W7" s="2002"/>
      <c r="X7" s="1988"/>
      <c r="Y7" s="2006"/>
      <c r="Z7" s="2006"/>
      <c r="AA7" s="2000"/>
      <c r="AB7" s="2009"/>
      <c r="AC7" s="2161"/>
      <c r="AD7" s="2160"/>
      <c r="AE7" s="259"/>
      <c r="AF7" s="259"/>
      <c r="AG7" s="259"/>
      <c r="AH7" s="259"/>
    </row>
    <row r="8" spans="1:34" x14ac:dyDescent="0.25">
      <c r="A8" s="112">
        <v>1</v>
      </c>
      <c r="B8" s="584">
        <v>42569</v>
      </c>
      <c r="C8" s="52" t="s">
        <v>126</v>
      </c>
      <c r="D8" s="702">
        <v>1965</v>
      </c>
      <c r="E8" s="702">
        <v>2</v>
      </c>
      <c r="F8" s="702">
        <v>16</v>
      </c>
      <c r="G8" s="349">
        <v>35</v>
      </c>
      <c r="H8" s="840">
        <v>653.4</v>
      </c>
      <c r="I8" s="840">
        <v>326.86</v>
      </c>
      <c r="J8" s="840">
        <v>146.71</v>
      </c>
      <c r="K8" s="736">
        <v>42909.23</v>
      </c>
      <c r="L8" s="736">
        <v>29862.14</v>
      </c>
      <c r="M8" s="736">
        <f>I8+K8</f>
        <v>43236.090000000004</v>
      </c>
      <c r="N8" s="736">
        <f>J8+L8</f>
        <v>30008.85</v>
      </c>
      <c r="O8" s="736">
        <f>P8+Q8+R8+S8+T8+U8+V8+W8</f>
        <v>26218.435091655556</v>
      </c>
      <c r="P8" s="736">
        <f>3170.1/6252*H8</f>
        <v>331.30891554702492</v>
      </c>
      <c r="Q8" s="736">
        <f>3175.98/6252*H8</f>
        <v>331.92343761996159</v>
      </c>
      <c r="R8" s="736">
        <v>833.98</v>
      </c>
      <c r="S8" s="736">
        <f>105760.48/390331.73*K8</f>
        <v>11626.266614887803</v>
      </c>
      <c r="T8" s="736">
        <f>55059.64/6252*H8</f>
        <v>5754.3136238003835</v>
      </c>
      <c r="U8" s="736">
        <f>T8*0.202</f>
        <v>1162.3713520076776</v>
      </c>
      <c r="V8" s="736">
        <f>12593.05/6252*H8</f>
        <v>1316.1066650671785</v>
      </c>
      <c r="W8" s="736">
        <f>46523.19/6252*H8</f>
        <v>4862.1644827255277</v>
      </c>
      <c r="X8" s="736">
        <f>M8-O8</f>
        <v>17017.654908344448</v>
      </c>
      <c r="Y8" s="736">
        <f>L8/K8*100</f>
        <v>69.593744749090106</v>
      </c>
      <c r="Z8" s="736">
        <f>J8/I8*100</f>
        <v>44.884660099125007</v>
      </c>
      <c r="AA8" s="736">
        <v>8.9499999999999993</v>
      </c>
      <c r="AB8" s="736">
        <f>M8-N8</f>
        <v>13227.240000000005</v>
      </c>
      <c r="AC8" s="350"/>
      <c r="AD8" s="223"/>
      <c r="AE8" s="223"/>
      <c r="AF8" s="223"/>
      <c r="AG8" s="259"/>
      <c r="AH8" s="259"/>
    </row>
    <row r="9" spans="1:34" x14ac:dyDescent="0.25">
      <c r="A9" s="22">
        <v>2</v>
      </c>
      <c r="B9" s="584">
        <v>42569</v>
      </c>
      <c r="C9" s="43" t="s">
        <v>127</v>
      </c>
      <c r="D9" s="737">
        <v>1965</v>
      </c>
      <c r="E9" s="737">
        <v>2</v>
      </c>
      <c r="F9" s="737">
        <v>16</v>
      </c>
      <c r="G9" s="708">
        <v>31</v>
      </c>
      <c r="H9" s="841">
        <v>658.2</v>
      </c>
      <c r="I9" s="841">
        <v>163.69999999999999</v>
      </c>
      <c r="J9" s="841">
        <v>40.93</v>
      </c>
      <c r="K9" s="736">
        <v>43171.62</v>
      </c>
      <c r="L9" s="736">
        <v>28232.1</v>
      </c>
      <c r="M9" s="736">
        <f t="shared" ref="M9:N26" si="0">I9+K9</f>
        <v>43335.32</v>
      </c>
      <c r="N9" s="736">
        <f t="shared" si="0"/>
        <v>28273.03</v>
      </c>
      <c r="O9" s="736">
        <f t="shared" ref="O9:O26" si="1">P9+Q9+R9+S9+T9+U9+V9+W9</f>
        <v>26323.25998297914</v>
      </c>
      <c r="P9" s="736">
        <f t="shared" ref="P9:P26" si="2">3170.1/6252*H9</f>
        <v>333.74277351247599</v>
      </c>
      <c r="Q9" s="736">
        <f t="shared" ref="Q9:Q26" si="3">3175.98/6252*H9</f>
        <v>334.36180998080613</v>
      </c>
      <c r="R9" s="736">
        <v>766.64</v>
      </c>
      <c r="S9" s="736">
        <f t="shared" ref="S9:S26" si="4">105760.48/390331.73*K9</f>
        <v>11697.36125110198</v>
      </c>
      <c r="T9" s="736">
        <f t="shared" ref="T9:T26" si="5">55059.64/6252*H9</f>
        <v>5796.5859001919389</v>
      </c>
      <c r="U9" s="736">
        <f t="shared" ref="U9:U26" si="6">T9*0.202</f>
        <v>1170.9103518387717</v>
      </c>
      <c r="V9" s="736">
        <f t="shared" ref="V9:V26" si="7">12593.05/6252*H9</f>
        <v>1325.7750335892515</v>
      </c>
      <c r="W9" s="736">
        <f t="shared" ref="W9:W26" si="8">46523.19/6252*H9</f>
        <v>4897.8828627639159</v>
      </c>
      <c r="X9" s="736">
        <f t="shared" ref="X9:X26" si="9">M9-O9</f>
        <v>17012.06001702086</v>
      </c>
      <c r="Y9" s="736">
        <f t="shared" ref="Y9:Y27" si="10">L9/K9*100</f>
        <v>65.39504424434385</v>
      </c>
      <c r="Z9" s="736">
        <f t="shared" ref="Z9:Z27" si="11">J9/I9*100</f>
        <v>25.003054367745882</v>
      </c>
      <c r="AA9" s="736">
        <v>8.9499999999999993</v>
      </c>
      <c r="AB9" s="736">
        <f t="shared" ref="AB9:AB27" si="12">M9-N9</f>
        <v>15062.29</v>
      </c>
      <c r="AC9" s="350"/>
      <c r="AD9" s="223"/>
      <c r="AE9" s="223"/>
      <c r="AF9" s="223"/>
      <c r="AG9" s="259"/>
      <c r="AH9" s="259"/>
    </row>
    <row r="10" spans="1:34" x14ac:dyDescent="0.25">
      <c r="A10" s="22">
        <v>3</v>
      </c>
      <c r="B10" s="584">
        <v>42569</v>
      </c>
      <c r="C10" s="43" t="s">
        <v>128</v>
      </c>
      <c r="D10" s="737">
        <v>1965</v>
      </c>
      <c r="E10" s="737">
        <v>2</v>
      </c>
      <c r="F10" s="737">
        <v>16</v>
      </c>
      <c r="G10" s="349">
        <v>36</v>
      </c>
      <c r="H10" s="841">
        <v>663.6</v>
      </c>
      <c r="I10" s="841">
        <v>443.44</v>
      </c>
      <c r="J10" s="841">
        <v>262.99</v>
      </c>
      <c r="K10" s="736">
        <v>43525.96</v>
      </c>
      <c r="L10" s="736">
        <v>33481.339999999997</v>
      </c>
      <c r="M10" s="736">
        <f t="shared" si="0"/>
        <v>43969.4</v>
      </c>
      <c r="N10" s="736">
        <f t="shared" si="0"/>
        <v>33744.329999999994</v>
      </c>
      <c r="O10" s="736">
        <f t="shared" si="1"/>
        <v>28747.422531719782</v>
      </c>
      <c r="P10" s="736">
        <f t="shared" si="2"/>
        <v>336.48086372360842</v>
      </c>
      <c r="Q10" s="736">
        <f t="shared" si="3"/>
        <v>337.10497888675621</v>
      </c>
      <c r="R10" s="736">
        <v>2981.09</v>
      </c>
      <c r="S10" s="736">
        <f t="shared" si="4"/>
        <v>11793.369762844542</v>
      </c>
      <c r="T10" s="736">
        <f t="shared" si="5"/>
        <v>5844.1422111324382</v>
      </c>
      <c r="U10" s="736">
        <f t="shared" si="6"/>
        <v>1180.5167266487526</v>
      </c>
      <c r="V10" s="736">
        <f t="shared" si="7"/>
        <v>1336.6519481765836</v>
      </c>
      <c r="W10" s="736">
        <f t="shared" si="8"/>
        <v>4938.0660403071024</v>
      </c>
      <c r="X10" s="736">
        <f t="shared" si="9"/>
        <v>15221.97746828022</v>
      </c>
      <c r="Y10" s="736">
        <f t="shared" si="10"/>
        <v>76.922691653440836</v>
      </c>
      <c r="Z10" s="736">
        <f t="shared" si="11"/>
        <v>59.306783330326539</v>
      </c>
      <c r="AA10" s="736">
        <v>8.9499999999999993</v>
      </c>
      <c r="AB10" s="736">
        <f t="shared" si="12"/>
        <v>10225.070000000007</v>
      </c>
      <c r="AC10" s="350"/>
      <c r="AD10" s="223"/>
      <c r="AE10" s="223"/>
      <c r="AF10" s="223"/>
      <c r="AG10" s="259"/>
      <c r="AH10" s="259"/>
    </row>
    <row r="11" spans="1:34" x14ac:dyDescent="0.25">
      <c r="A11" s="22">
        <v>4</v>
      </c>
      <c r="B11" s="584">
        <v>42569</v>
      </c>
      <c r="C11" s="43" t="s">
        <v>129</v>
      </c>
      <c r="D11" s="737">
        <v>1965</v>
      </c>
      <c r="E11" s="737">
        <v>2</v>
      </c>
      <c r="F11" s="737">
        <v>16</v>
      </c>
      <c r="G11" s="708">
        <v>39</v>
      </c>
      <c r="H11" s="841">
        <v>654.70000000000005</v>
      </c>
      <c r="I11" s="841">
        <v>518.54999999999995</v>
      </c>
      <c r="J11" s="841">
        <v>305.3</v>
      </c>
      <c r="K11" s="736">
        <v>42942.07</v>
      </c>
      <c r="L11" s="736">
        <v>29819.46</v>
      </c>
      <c r="M11" s="736">
        <f t="shared" si="0"/>
        <v>43460.62</v>
      </c>
      <c r="N11" s="736">
        <f t="shared" si="0"/>
        <v>30124.76</v>
      </c>
      <c r="O11" s="736">
        <f t="shared" si="1"/>
        <v>28704.846291972295</v>
      </c>
      <c r="P11" s="736">
        <f t="shared" si="2"/>
        <v>331.9680854126679</v>
      </c>
      <c r="Q11" s="736">
        <f t="shared" si="3"/>
        <v>332.58383013435702</v>
      </c>
      <c r="R11" s="736">
        <v>3284.12</v>
      </c>
      <c r="S11" s="736">
        <f t="shared" si="4"/>
        <v>11635.164621112406</v>
      </c>
      <c r="T11" s="736">
        <f t="shared" si="5"/>
        <v>5765.7623653230976</v>
      </c>
      <c r="U11" s="736">
        <f t="shared" si="6"/>
        <v>1164.6839977952659</v>
      </c>
      <c r="V11" s="736">
        <f t="shared" si="7"/>
        <v>1318.7251815419067</v>
      </c>
      <c r="W11" s="736">
        <f t="shared" si="8"/>
        <v>4871.8382106525914</v>
      </c>
      <c r="X11" s="736">
        <f t="shared" si="9"/>
        <v>14755.773708027707</v>
      </c>
      <c r="Y11" s="736">
        <f t="shared" si="10"/>
        <v>69.441133135873514</v>
      </c>
      <c r="Z11" s="736">
        <f t="shared" si="11"/>
        <v>58.875711117539296</v>
      </c>
      <c r="AA11" s="736">
        <v>8.9499999999999993</v>
      </c>
      <c r="AB11" s="736">
        <f t="shared" si="12"/>
        <v>13335.860000000004</v>
      </c>
      <c r="AC11" s="350"/>
      <c r="AD11" s="223"/>
      <c r="AE11" s="223"/>
      <c r="AF11" s="223"/>
      <c r="AG11" s="259"/>
      <c r="AH11" s="259"/>
    </row>
    <row r="12" spans="1:34" x14ac:dyDescent="0.25">
      <c r="A12" s="22">
        <v>5</v>
      </c>
      <c r="B12" s="584">
        <v>42569</v>
      </c>
      <c r="C12" s="43" t="s">
        <v>130</v>
      </c>
      <c r="D12" s="737">
        <v>1995</v>
      </c>
      <c r="E12" s="737">
        <v>2</v>
      </c>
      <c r="F12" s="737">
        <v>8</v>
      </c>
      <c r="G12" s="349">
        <v>23</v>
      </c>
      <c r="H12" s="841">
        <v>548.70000000000005</v>
      </c>
      <c r="I12" s="841">
        <v>265.95</v>
      </c>
      <c r="J12" s="841">
        <v>143.22</v>
      </c>
      <c r="K12" s="736">
        <v>39791.75</v>
      </c>
      <c r="L12" s="736">
        <v>37952.720000000001</v>
      </c>
      <c r="M12" s="736">
        <f t="shared" si="0"/>
        <v>40057.699999999997</v>
      </c>
      <c r="N12" s="736">
        <f t="shared" si="0"/>
        <v>38095.94</v>
      </c>
      <c r="O12" s="736">
        <f t="shared" si="1"/>
        <v>23047.428165325418</v>
      </c>
      <c r="P12" s="736">
        <f t="shared" si="2"/>
        <v>278.22038867562378</v>
      </c>
      <c r="Q12" s="736">
        <f t="shared" si="3"/>
        <v>278.73644049904033</v>
      </c>
      <c r="R12" s="736">
        <v>712.25</v>
      </c>
      <c r="S12" s="736">
        <f t="shared" si="4"/>
        <v>10781.584628131564</v>
      </c>
      <c r="T12" s="736">
        <f t="shared" si="5"/>
        <v>4832.2495950095972</v>
      </c>
      <c r="U12" s="736">
        <f t="shared" si="6"/>
        <v>976.11441819193874</v>
      </c>
      <c r="V12" s="736">
        <f t="shared" si="7"/>
        <v>1105.2153766794627</v>
      </c>
      <c r="W12" s="736">
        <f t="shared" si="8"/>
        <v>4083.057318138196</v>
      </c>
      <c r="X12" s="736">
        <f t="shared" si="9"/>
        <v>17010.271834674579</v>
      </c>
      <c r="Y12" s="736">
        <f t="shared" si="10"/>
        <v>95.378363605521244</v>
      </c>
      <c r="Z12" s="736">
        <f t="shared" si="11"/>
        <v>53.852227862380154</v>
      </c>
      <c r="AA12" s="736">
        <v>9.94</v>
      </c>
      <c r="AB12" s="736">
        <f t="shared" si="12"/>
        <v>1961.7599999999948</v>
      </c>
      <c r="AC12" s="350"/>
      <c r="AD12" s="223"/>
      <c r="AE12" s="223"/>
      <c r="AF12" s="223"/>
      <c r="AG12" s="259"/>
      <c r="AH12" s="259"/>
    </row>
    <row r="13" spans="1:34" x14ac:dyDescent="0.25">
      <c r="A13" s="22">
        <v>6</v>
      </c>
      <c r="B13" s="584">
        <v>42569</v>
      </c>
      <c r="C13" s="43" t="s">
        <v>131</v>
      </c>
      <c r="D13" s="737">
        <v>1995</v>
      </c>
      <c r="E13" s="737">
        <v>2</v>
      </c>
      <c r="F13" s="737">
        <v>8</v>
      </c>
      <c r="G13" s="708">
        <v>27</v>
      </c>
      <c r="H13" s="841">
        <v>548.6</v>
      </c>
      <c r="I13" s="841">
        <v>442.16</v>
      </c>
      <c r="J13" s="841">
        <v>276.02</v>
      </c>
      <c r="K13" s="736">
        <v>39784.46</v>
      </c>
      <c r="L13" s="736">
        <v>34059.35</v>
      </c>
      <c r="M13" s="736">
        <f t="shared" si="0"/>
        <v>40226.620000000003</v>
      </c>
      <c r="N13" s="736">
        <f t="shared" si="0"/>
        <v>34335.369999999995</v>
      </c>
      <c r="O13" s="736">
        <f t="shared" si="1"/>
        <v>24392.7373076849</v>
      </c>
      <c r="P13" s="736">
        <f t="shared" si="2"/>
        <v>278.16968330134353</v>
      </c>
      <c r="Q13" s="736">
        <f t="shared" si="3"/>
        <v>278.68564107485605</v>
      </c>
      <c r="R13" s="736">
        <v>2061.64</v>
      </c>
      <c r="S13" s="736">
        <f t="shared" si="4"/>
        <v>10779.609400805823</v>
      </c>
      <c r="T13" s="736">
        <f t="shared" si="5"/>
        <v>4831.3689225847729</v>
      </c>
      <c r="U13" s="736">
        <f t="shared" si="6"/>
        <v>975.93652236212415</v>
      </c>
      <c r="V13" s="736">
        <f t="shared" si="7"/>
        <v>1105.0139523352527</v>
      </c>
      <c r="W13" s="736">
        <f t="shared" si="8"/>
        <v>4082.3131852207298</v>
      </c>
      <c r="X13" s="736">
        <f t="shared" si="9"/>
        <v>15833.882692315103</v>
      </c>
      <c r="Y13" s="736">
        <f t="shared" si="10"/>
        <v>85.609682775636514</v>
      </c>
      <c r="Z13" s="736">
        <f t="shared" si="11"/>
        <v>62.425366383209692</v>
      </c>
      <c r="AA13" s="736">
        <v>9.94</v>
      </c>
      <c r="AB13" s="736">
        <f t="shared" si="12"/>
        <v>5891.2500000000073</v>
      </c>
      <c r="AC13" s="350"/>
      <c r="AD13" s="223"/>
      <c r="AE13" s="223"/>
      <c r="AF13" s="223"/>
      <c r="AG13" s="259"/>
      <c r="AH13" s="259"/>
    </row>
    <row r="14" spans="1:34" x14ac:dyDescent="0.25">
      <c r="A14" s="22">
        <v>7</v>
      </c>
      <c r="B14" s="584">
        <v>42569</v>
      </c>
      <c r="C14" s="43" t="s">
        <v>132</v>
      </c>
      <c r="D14" s="737">
        <v>1995</v>
      </c>
      <c r="E14" s="737">
        <v>2</v>
      </c>
      <c r="F14" s="737">
        <v>8</v>
      </c>
      <c r="G14" s="349">
        <v>30</v>
      </c>
      <c r="H14" s="841">
        <v>544.20000000000005</v>
      </c>
      <c r="I14" s="841">
        <v>550.89</v>
      </c>
      <c r="J14" s="841">
        <v>212.32</v>
      </c>
      <c r="K14" s="736">
        <v>39465.4</v>
      </c>
      <c r="L14" s="736">
        <v>22536.94</v>
      </c>
      <c r="M14" s="736">
        <f t="shared" si="0"/>
        <v>40016.29</v>
      </c>
      <c r="N14" s="736">
        <f t="shared" si="0"/>
        <v>22749.26</v>
      </c>
      <c r="O14" s="736">
        <f t="shared" si="1"/>
        <v>23928.740186927742</v>
      </c>
      <c r="P14" s="736">
        <f t="shared" si="2"/>
        <v>275.93864683301342</v>
      </c>
      <c r="Q14" s="736">
        <f t="shared" si="3"/>
        <v>276.45046641074856</v>
      </c>
      <c r="R14" s="736">
        <v>1776.74</v>
      </c>
      <c r="S14" s="736">
        <f t="shared" si="4"/>
        <v>10693.160013898947</v>
      </c>
      <c r="T14" s="736">
        <f t="shared" si="5"/>
        <v>4792.6193358925148</v>
      </c>
      <c r="U14" s="736">
        <f t="shared" si="6"/>
        <v>968.10910585028807</v>
      </c>
      <c r="V14" s="736">
        <f t="shared" si="7"/>
        <v>1096.1512811900193</v>
      </c>
      <c r="W14" s="736">
        <f t="shared" si="8"/>
        <v>4049.5713368522079</v>
      </c>
      <c r="X14" s="736">
        <f t="shared" si="9"/>
        <v>16087.549813072259</v>
      </c>
      <c r="Y14" s="736">
        <f t="shared" si="10"/>
        <v>57.105565888094375</v>
      </c>
      <c r="Z14" s="736">
        <f t="shared" si="11"/>
        <v>38.541269581949209</v>
      </c>
      <c r="AA14" s="736">
        <v>9.94</v>
      </c>
      <c r="AB14" s="736">
        <f t="shared" si="12"/>
        <v>17267.030000000002</v>
      </c>
      <c r="AC14" s="350"/>
      <c r="AD14" s="223"/>
      <c r="AE14" s="223"/>
      <c r="AF14" s="223"/>
      <c r="AG14" s="259"/>
      <c r="AH14" s="259"/>
    </row>
    <row r="15" spans="1:34" x14ac:dyDescent="0.25">
      <c r="A15" s="22">
        <v>8</v>
      </c>
      <c r="B15" s="584">
        <v>42569</v>
      </c>
      <c r="C15" s="43" t="s">
        <v>133</v>
      </c>
      <c r="D15" s="737">
        <v>1995</v>
      </c>
      <c r="E15" s="737">
        <v>2</v>
      </c>
      <c r="F15" s="737">
        <v>8</v>
      </c>
      <c r="G15" s="708">
        <v>29</v>
      </c>
      <c r="H15" s="841">
        <v>548.70000000000005</v>
      </c>
      <c r="I15" s="841">
        <v>209.39</v>
      </c>
      <c r="J15" s="841">
        <v>100.27</v>
      </c>
      <c r="K15" s="736">
        <v>39791.75</v>
      </c>
      <c r="L15" s="736">
        <v>39067.4</v>
      </c>
      <c r="M15" s="736">
        <f t="shared" si="0"/>
        <v>40001.14</v>
      </c>
      <c r="N15" s="736">
        <f t="shared" si="0"/>
        <v>39167.67</v>
      </c>
      <c r="O15" s="736">
        <f t="shared" si="1"/>
        <v>22801.378165325419</v>
      </c>
      <c r="P15" s="736">
        <f t="shared" si="2"/>
        <v>278.22038867562378</v>
      </c>
      <c r="Q15" s="736">
        <f t="shared" si="3"/>
        <v>278.73644049904033</v>
      </c>
      <c r="R15" s="736">
        <v>466.2</v>
      </c>
      <c r="S15" s="736">
        <f t="shared" si="4"/>
        <v>10781.584628131564</v>
      </c>
      <c r="T15" s="736">
        <f t="shared" si="5"/>
        <v>4832.2495950095972</v>
      </c>
      <c r="U15" s="736">
        <f t="shared" si="6"/>
        <v>976.11441819193874</v>
      </c>
      <c r="V15" s="736">
        <f t="shared" si="7"/>
        <v>1105.2153766794627</v>
      </c>
      <c r="W15" s="736">
        <f t="shared" si="8"/>
        <v>4083.057318138196</v>
      </c>
      <c r="X15" s="736">
        <f t="shared" si="9"/>
        <v>17199.76183467458</v>
      </c>
      <c r="Y15" s="736">
        <f t="shared" si="10"/>
        <v>98.179647791313528</v>
      </c>
      <c r="Z15" s="736">
        <f t="shared" si="11"/>
        <v>47.886718563446202</v>
      </c>
      <c r="AA15" s="736">
        <v>9.94</v>
      </c>
      <c r="AB15" s="736">
        <f t="shared" si="12"/>
        <v>833.47000000000116</v>
      </c>
      <c r="AC15" s="350"/>
      <c r="AD15" s="223"/>
      <c r="AE15" s="223"/>
      <c r="AF15" s="223"/>
      <c r="AG15" s="259"/>
      <c r="AH15" s="259"/>
    </row>
    <row r="16" spans="1:34" x14ac:dyDescent="0.25">
      <c r="A16" s="22">
        <v>9</v>
      </c>
      <c r="B16" s="584">
        <v>42569</v>
      </c>
      <c r="C16" s="43" t="s">
        <v>134</v>
      </c>
      <c r="D16" s="737">
        <v>1958</v>
      </c>
      <c r="E16" s="737">
        <v>1</v>
      </c>
      <c r="F16" s="737">
        <v>3</v>
      </c>
      <c r="G16" s="349">
        <v>7</v>
      </c>
      <c r="H16" s="738">
        <v>111.3</v>
      </c>
      <c r="I16" s="738"/>
      <c r="J16" s="738"/>
      <c r="K16" s="736">
        <v>5630.71</v>
      </c>
      <c r="L16" s="736">
        <v>5984.1</v>
      </c>
      <c r="M16" s="736">
        <f t="shared" si="0"/>
        <v>5630.71</v>
      </c>
      <c r="N16" s="736">
        <f t="shared" si="0"/>
        <v>5984.1</v>
      </c>
      <c r="O16" s="736">
        <f t="shared" si="1"/>
        <v>3869.2088250306169</v>
      </c>
      <c r="P16" s="736">
        <f t="shared" si="2"/>
        <v>56.435081573896348</v>
      </c>
      <c r="Q16" s="736">
        <f t="shared" si="3"/>
        <v>56.539759117082525</v>
      </c>
      <c r="R16" s="736"/>
      <c r="S16" s="736">
        <f t="shared" si="4"/>
        <v>1525.6422846812889</v>
      </c>
      <c r="T16" s="736">
        <f t="shared" si="5"/>
        <v>980.1884088291747</v>
      </c>
      <c r="U16" s="736">
        <f t="shared" si="6"/>
        <v>197.9980585834933</v>
      </c>
      <c r="V16" s="736">
        <f t="shared" si="7"/>
        <v>224.18529510556621</v>
      </c>
      <c r="W16" s="736">
        <f t="shared" si="8"/>
        <v>828.21993714011512</v>
      </c>
      <c r="X16" s="736">
        <f t="shared" si="9"/>
        <v>1761.5011749693831</v>
      </c>
      <c r="Y16" s="736">
        <f t="shared" si="10"/>
        <v>106.27611793184164</v>
      </c>
      <c r="Z16" s="736">
        <v>0</v>
      </c>
      <c r="AA16" s="736">
        <v>6.98</v>
      </c>
      <c r="AB16" s="736">
        <f t="shared" si="12"/>
        <v>-353.39000000000033</v>
      </c>
      <c r="AC16" s="350"/>
      <c r="AD16" s="223"/>
      <c r="AE16" s="223"/>
      <c r="AF16" s="223"/>
      <c r="AG16" s="259"/>
      <c r="AH16" s="259"/>
    </row>
    <row r="17" spans="1:34" x14ac:dyDescent="0.25">
      <c r="A17" s="22">
        <v>10</v>
      </c>
      <c r="B17" s="585">
        <v>42401</v>
      </c>
      <c r="C17" s="43" t="s">
        <v>135</v>
      </c>
      <c r="D17" s="737">
        <v>1958</v>
      </c>
      <c r="E17" s="737">
        <v>1</v>
      </c>
      <c r="F17" s="737">
        <v>3</v>
      </c>
      <c r="G17" s="708">
        <v>10</v>
      </c>
      <c r="H17" s="738">
        <v>118</v>
      </c>
      <c r="I17" s="738"/>
      <c r="J17" s="738"/>
      <c r="K17" s="736">
        <v>4053.3</v>
      </c>
      <c r="L17" s="736">
        <v>3874.63</v>
      </c>
      <c r="M17" s="736">
        <f t="shared" si="0"/>
        <v>4053.3</v>
      </c>
      <c r="N17" s="736">
        <f t="shared" si="0"/>
        <v>3874.63</v>
      </c>
      <c r="O17" s="736">
        <f t="shared" si="1"/>
        <v>3582.8864215669064</v>
      </c>
      <c r="P17" s="736">
        <f t="shared" si="2"/>
        <v>59.832341650671779</v>
      </c>
      <c r="Q17" s="736">
        <f t="shared" si="3"/>
        <v>59.943320537428022</v>
      </c>
      <c r="R17" s="736"/>
      <c r="S17" s="736">
        <f t="shared" si="4"/>
        <v>1098.2426501273674</v>
      </c>
      <c r="T17" s="736">
        <f t="shared" si="5"/>
        <v>1039.1934612923865</v>
      </c>
      <c r="U17" s="736">
        <f t="shared" si="6"/>
        <v>209.91707918106209</v>
      </c>
      <c r="V17" s="736">
        <f t="shared" si="7"/>
        <v>237.68072616762635</v>
      </c>
      <c r="W17" s="736">
        <f t="shared" si="8"/>
        <v>878.07684261036468</v>
      </c>
      <c r="X17" s="736">
        <f t="shared" si="9"/>
        <v>470.41357843309379</v>
      </c>
      <c r="Y17" s="736">
        <f t="shared" si="10"/>
        <v>95.591986776207037</v>
      </c>
      <c r="Z17" s="736">
        <v>0</v>
      </c>
      <c r="AA17" s="736">
        <v>4.76</v>
      </c>
      <c r="AB17" s="736">
        <f t="shared" si="12"/>
        <v>178.67000000000007</v>
      </c>
      <c r="AC17" s="350" t="s">
        <v>548</v>
      </c>
      <c r="AD17" s="223"/>
      <c r="AE17" s="223"/>
      <c r="AF17" s="223"/>
      <c r="AG17" s="259"/>
      <c r="AH17" s="259"/>
    </row>
    <row r="18" spans="1:34" x14ac:dyDescent="0.25">
      <c r="A18" s="22">
        <v>11</v>
      </c>
      <c r="B18" s="584">
        <v>42569</v>
      </c>
      <c r="C18" s="43" t="s">
        <v>136</v>
      </c>
      <c r="D18" s="737">
        <v>1958</v>
      </c>
      <c r="E18" s="737">
        <v>1</v>
      </c>
      <c r="F18" s="737">
        <v>4</v>
      </c>
      <c r="G18" s="349">
        <v>4</v>
      </c>
      <c r="H18" s="738">
        <v>115.8</v>
      </c>
      <c r="I18" s="738"/>
      <c r="J18" s="738"/>
      <c r="K18" s="736">
        <v>5860.62</v>
      </c>
      <c r="L18" s="736">
        <v>2727.28</v>
      </c>
      <c r="M18" s="736">
        <f t="shared" si="0"/>
        <v>5860.62</v>
      </c>
      <c r="N18" s="736">
        <f t="shared" si="0"/>
        <v>2727.28</v>
      </c>
      <c r="O18" s="736">
        <f t="shared" si="1"/>
        <v>4026.2563612754175</v>
      </c>
      <c r="P18" s="736">
        <f t="shared" si="2"/>
        <v>58.716823416506706</v>
      </c>
      <c r="Q18" s="736">
        <f t="shared" si="3"/>
        <v>58.825733205374277</v>
      </c>
      <c r="R18" s="736"/>
      <c r="S18" s="736">
        <f t="shared" si="4"/>
        <v>1587.9364567610221</v>
      </c>
      <c r="T18" s="736">
        <f t="shared" si="5"/>
        <v>1019.8186679462572</v>
      </c>
      <c r="U18" s="736">
        <f t="shared" si="6"/>
        <v>206.00337092514397</v>
      </c>
      <c r="V18" s="736">
        <f t="shared" si="7"/>
        <v>233.2493905950096</v>
      </c>
      <c r="W18" s="736">
        <f t="shared" si="8"/>
        <v>861.70591842610361</v>
      </c>
      <c r="X18" s="736">
        <f t="shared" si="9"/>
        <v>1834.3636387245824</v>
      </c>
      <c r="Y18" s="736">
        <f t="shared" si="10"/>
        <v>46.535690763093328</v>
      </c>
      <c r="Z18" s="736">
        <v>0</v>
      </c>
      <c r="AA18" s="736">
        <v>6.98</v>
      </c>
      <c r="AB18" s="736">
        <f t="shared" si="12"/>
        <v>3133.3399999999997</v>
      </c>
      <c r="AC18" s="350"/>
      <c r="AD18" s="223"/>
      <c r="AE18" s="223"/>
      <c r="AF18" s="223"/>
      <c r="AG18" s="259"/>
      <c r="AH18" s="259"/>
    </row>
    <row r="19" spans="1:34" x14ac:dyDescent="0.25">
      <c r="A19" s="22">
        <v>12</v>
      </c>
      <c r="B19" s="585">
        <v>42401</v>
      </c>
      <c r="C19" s="43" t="s">
        <v>137</v>
      </c>
      <c r="D19" s="737">
        <v>1958</v>
      </c>
      <c r="E19" s="737">
        <v>1</v>
      </c>
      <c r="F19" s="737">
        <v>4</v>
      </c>
      <c r="G19" s="708">
        <v>9</v>
      </c>
      <c r="H19" s="738">
        <v>162.1</v>
      </c>
      <c r="I19" s="738"/>
      <c r="J19" s="738"/>
      <c r="K19" s="736">
        <v>5665.42</v>
      </c>
      <c r="L19" s="736">
        <v>433.04</v>
      </c>
      <c r="M19" s="736">
        <f t="shared" si="0"/>
        <v>5665.42</v>
      </c>
      <c r="N19" s="736">
        <f t="shared" si="0"/>
        <v>433.04</v>
      </c>
      <c r="O19" s="736">
        <f t="shared" si="1"/>
        <v>4948.2737081314208</v>
      </c>
      <c r="P19" s="736">
        <f t="shared" si="2"/>
        <v>82.19341170825335</v>
      </c>
      <c r="Q19" s="736">
        <f t="shared" si="3"/>
        <v>82.345866602687124</v>
      </c>
      <c r="R19" s="736"/>
      <c r="S19" s="736">
        <f t="shared" si="4"/>
        <v>1535.0469678742234</v>
      </c>
      <c r="T19" s="736">
        <f t="shared" si="5"/>
        <v>1427.5700006397954</v>
      </c>
      <c r="U19" s="736">
        <f t="shared" si="6"/>
        <v>288.3691401292387</v>
      </c>
      <c r="V19" s="736">
        <f t="shared" si="7"/>
        <v>326.50886196417144</v>
      </c>
      <c r="W19" s="736">
        <f t="shared" si="8"/>
        <v>1206.2394592130518</v>
      </c>
      <c r="X19" s="736">
        <f t="shared" si="9"/>
        <v>717.14629186857928</v>
      </c>
      <c r="Y19" s="736">
        <f t="shared" si="10"/>
        <v>7.6435639370073183</v>
      </c>
      <c r="Z19" s="736">
        <v>0</v>
      </c>
      <c r="AA19" s="736">
        <v>4.76</v>
      </c>
      <c r="AB19" s="736">
        <f t="shared" si="12"/>
        <v>5232.38</v>
      </c>
      <c r="AC19" s="350"/>
      <c r="AD19" s="223"/>
      <c r="AE19" s="223"/>
      <c r="AF19" s="223"/>
      <c r="AG19" s="259"/>
      <c r="AH19" s="259"/>
    </row>
    <row r="20" spans="1:34" x14ac:dyDescent="0.25">
      <c r="A20" s="22">
        <v>13</v>
      </c>
      <c r="B20" s="585">
        <v>42461</v>
      </c>
      <c r="C20" s="43" t="s">
        <v>138</v>
      </c>
      <c r="D20" s="737">
        <v>1959</v>
      </c>
      <c r="E20" s="737">
        <v>1</v>
      </c>
      <c r="F20" s="737">
        <v>4</v>
      </c>
      <c r="G20" s="349">
        <v>8</v>
      </c>
      <c r="H20" s="738">
        <v>135.6</v>
      </c>
      <c r="I20" s="738"/>
      <c r="J20" s="738"/>
      <c r="K20" s="736">
        <v>4739.1899999999996</v>
      </c>
      <c r="L20" s="736">
        <v>4349.58</v>
      </c>
      <c r="M20" s="736">
        <f t="shared" si="0"/>
        <v>4739.1899999999996</v>
      </c>
      <c r="N20" s="736">
        <f t="shared" si="0"/>
        <v>4349.58</v>
      </c>
      <c r="O20" s="736">
        <f t="shared" si="1"/>
        <v>4139.3194242455502</v>
      </c>
      <c r="P20" s="736">
        <f t="shared" si="2"/>
        <v>68.756487523992305</v>
      </c>
      <c r="Q20" s="736">
        <f t="shared" si="3"/>
        <v>68.884019193857952</v>
      </c>
      <c r="R20" s="736"/>
      <c r="S20" s="736">
        <f t="shared" si="4"/>
        <v>1284.0847174048595</v>
      </c>
      <c r="T20" s="736">
        <f t="shared" si="5"/>
        <v>1194.1918080614203</v>
      </c>
      <c r="U20" s="736">
        <f t="shared" si="6"/>
        <v>241.22674522840691</v>
      </c>
      <c r="V20" s="736">
        <f t="shared" si="7"/>
        <v>273.13141074856043</v>
      </c>
      <c r="W20" s="736">
        <f t="shared" si="8"/>
        <v>1009.044236084453</v>
      </c>
      <c r="X20" s="736">
        <f t="shared" si="9"/>
        <v>599.87057575444942</v>
      </c>
      <c r="Y20" s="736">
        <f t="shared" si="10"/>
        <v>91.778974888113794</v>
      </c>
      <c r="Z20" s="736">
        <v>0</v>
      </c>
      <c r="AA20" s="736">
        <v>12</v>
      </c>
      <c r="AB20" s="736">
        <f t="shared" si="12"/>
        <v>389.60999999999967</v>
      </c>
      <c r="AC20" s="350"/>
      <c r="AD20" s="223"/>
      <c r="AE20" s="223"/>
      <c r="AF20" s="223"/>
      <c r="AG20" s="259"/>
      <c r="AH20" s="259"/>
    </row>
    <row r="21" spans="1:34" x14ac:dyDescent="0.25">
      <c r="A21" s="22">
        <v>14</v>
      </c>
      <c r="B21" s="584">
        <v>42569</v>
      </c>
      <c r="C21" s="43" t="s">
        <v>139</v>
      </c>
      <c r="D21" s="737">
        <v>1958</v>
      </c>
      <c r="E21" s="737">
        <v>1</v>
      </c>
      <c r="F21" s="737">
        <v>4</v>
      </c>
      <c r="G21" s="708">
        <v>12</v>
      </c>
      <c r="H21" s="738">
        <v>115.2</v>
      </c>
      <c r="I21" s="738"/>
      <c r="J21" s="738"/>
      <c r="K21" s="736">
        <v>5893.66</v>
      </c>
      <c r="L21" s="736">
        <v>3308.68</v>
      </c>
      <c r="M21" s="736">
        <f t="shared" si="0"/>
        <v>5893.66</v>
      </c>
      <c r="N21" s="736">
        <f t="shared" si="0"/>
        <v>3308.68</v>
      </c>
      <c r="O21" s="736">
        <f t="shared" si="1"/>
        <v>4022.5747756614337</v>
      </c>
      <c r="P21" s="736">
        <f t="shared" si="2"/>
        <v>58.41259117082533</v>
      </c>
      <c r="Q21" s="736">
        <f t="shared" si="3"/>
        <v>58.52093666026871</v>
      </c>
      <c r="R21" s="736"/>
      <c r="S21" s="736">
        <f t="shared" si="4"/>
        <v>1596.888653035714</v>
      </c>
      <c r="T21" s="736">
        <f t="shared" si="5"/>
        <v>1014.5346333973129</v>
      </c>
      <c r="U21" s="736">
        <f t="shared" si="6"/>
        <v>204.93599594625721</v>
      </c>
      <c r="V21" s="736">
        <f t="shared" si="7"/>
        <v>232.04084452975047</v>
      </c>
      <c r="W21" s="736">
        <f t="shared" si="8"/>
        <v>857.2411209213052</v>
      </c>
      <c r="X21" s="736">
        <f t="shared" si="9"/>
        <v>1871.0852243385661</v>
      </c>
      <c r="Y21" s="736">
        <f t="shared" si="10"/>
        <v>56.139648367907199</v>
      </c>
      <c r="Z21" s="736">
        <v>0</v>
      </c>
      <c r="AA21" s="736">
        <v>6.98</v>
      </c>
      <c r="AB21" s="736">
        <f t="shared" si="12"/>
        <v>2584.98</v>
      </c>
      <c r="AC21" s="350"/>
      <c r="AD21" s="223"/>
      <c r="AE21" s="223"/>
      <c r="AF21" s="223"/>
      <c r="AG21" s="259"/>
      <c r="AH21" s="259"/>
    </row>
    <row r="22" spans="1:34" x14ac:dyDescent="0.25">
      <c r="A22" s="22">
        <v>15</v>
      </c>
      <c r="B22" s="585">
        <v>42401</v>
      </c>
      <c r="C22" s="43" t="s">
        <v>140</v>
      </c>
      <c r="D22" s="737">
        <v>1958</v>
      </c>
      <c r="E22" s="737">
        <v>1</v>
      </c>
      <c r="F22" s="737">
        <v>3</v>
      </c>
      <c r="G22" s="349">
        <v>7</v>
      </c>
      <c r="H22" s="738">
        <v>122.3</v>
      </c>
      <c r="I22" s="738"/>
      <c r="J22" s="738"/>
      <c r="K22" s="736">
        <v>4274.34</v>
      </c>
      <c r="L22" s="736">
        <v>5518.67</v>
      </c>
      <c r="M22" s="736">
        <f t="shared" si="0"/>
        <v>4274.34</v>
      </c>
      <c r="N22" s="736">
        <f t="shared" si="0"/>
        <v>5518.67</v>
      </c>
      <c r="O22" s="736">
        <f t="shared" si="1"/>
        <v>3733.3193684607045</v>
      </c>
      <c r="P22" s="736">
        <f t="shared" si="2"/>
        <v>62.012672744721677</v>
      </c>
      <c r="Q22" s="736">
        <f t="shared" si="3"/>
        <v>62.127695777351242</v>
      </c>
      <c r="R22" s="736"/>
      <c r="S22" s="736">
        <f t="shared" si="4"/>
        <v>1158.1334934856563</v>
      </c>
      <c r="T22" s="736">
        <f t="shared" si="5"/>
        <v>1077.0623755598208</v>
      </c>
      <c r="U22" s="736">
        <f t="shared" si="6"/>
        <v>217.56659986308381</v>
      </c>
      <c r="V22" s="736">
        <f t="shared" si="7"/>
        <v>246.34197296865003</v>
      </c>
      <c r="W22" s="736">
        <f t="shared" si="8"/>
        <v>910.07455806142036</v>
      </c>
      <c r="X22" s="736">
        <f t="shared" si="9"/>
        <v>541.02063153929566</v>
      </c>
      <c r="Y22" s="736">
        <f t="shared" si="10"/>
        <v>129.11162892984646</v>
      </c>
      <c r="Z22" s="736">
        <v>0</v>
      </c>
      <c r="AA22" s="736">
        <v>4.76</v>
      </c>
      <c r="AB22" s="736">
        <f t="shared" si="12"/>
        <v>-1244.33</v>
      </c>
      <c r="AC22" s="350"/>
      <c r="AD22" s="223"/>
      <c r="AE22" s="223"/>
      <c r="AF22" s="223"/>
      <c r="AG22" s="259"/>
      <c r="AH22" s="259"/>
    </row>
    <row r="23" spans="1:34" x14ac:dyDescent="0.25">
      <c r="A23" s="22">
        <v>16</v>
      </c>
      <c r="B23" s="585">
        <v>42401</v>
      </c>
      <c r="C23" s="43" t="s">
        <v>141</v>
      </c>
      <c r="D23" s="737">
        <v>1958</v>
      </c>
      <c r="E23" s="737">
        <v>1</v>
      </c>
      <c r="F23" s="737">
        <v>4</v>
      </c>
      <c r="G23" s="661">
        <v>7</v>
      </c>
      <c r="H23" s="738">
        <v>154.6</v>
      </c>
      <c r="I23" s="738"/>
      <c r="J23" s="738"/>
      <c r="K23" s="736">
        <v>5403.24</v>
      </c>
      <c r="L23" s="736">
        <v>3478.58</v>
      </c>
      <c r="M23" s="736">
        <f t="shared" si="0"/>
        <v>5403.24</v>
      </c>
      <c r="N23" s="736">
        <f t="shared" si="0"/>
        <v>3478.58</v>
      </c>
      <c r="O23" s="736">
        <f t="shared" si="1"/>
        <v>4719.3136978613929</v>
      </c>
      <c r="P23" s="736">
        <f t="shared" si="2"/>
        <v>78.390508637236067</v>
      </c>
      <c r="Q23" s="736">
        <f t="shared" si="3"/>
        <v>78.535909788867556</v>
      </c>
      <c r="R23" s="736"/>
      <c r="S23" s="736">
        <f t="shared" si="4"/>
        <v>1464.0092312126405</v>
      </c>
      <c r="T23" s="736">
        <f t="shared" si="5"/>
        <v>1361.519568777991</v>
      </c>
      <c r="U23" s="736">
        <f t="shared" si="6"/>
        <v>275.0269528931542</v>
      </c>
      <c r="V23" s="736">
        <f t="shared" si="7"/>
        <v>311.4020361484325</v>
      </c>
      <c r="W23" s="736">
        <f t="shared" si="8"/>
        <v>1150.429490403071</v>
      </c>
      <c r="X23" s="736">
        <f t="shared" si="9"/>
        <v>683.92630213860684</v>
      </c>
      <c r="Y23" s="736">
        <f t="shared" si="10"/>
        <v>64.379520435886619</v>
      </c>
      <c r="Z23" s="736">
        <v>0</v>
      </c>
      <c r="AA23" s="736">
        <v>4.76</v>
      </c>
      <c r="AB23" s="736">
        <f t="shared" si="12"/>
        <v>1924.6599999999999</v>
      </c>
      <c r="AC23" s="350"/>
      <c r="AD23" s="223"/>
      <c r="AE23" s="223"/>
      <c r="AF23" s="223"/>
      <c r="AG23" s="259"/>
      <c r="AH23" s="259"/>
    </row>
    <row r="24" spans="1:34" x14ac:dyDescent="0.25">
      <c r="A24" s="22">
        <v>17</v>
      </c>
      <c r="B24" s="585">
        <v>42461</v>
      </c>
      <c r="C24" s="43" t="s">
        <v>142</v>
      </c>
      <c r="D24" s="737">
        <v>1958</v>
      </c>
      <c r="E24" s="737">
        <v>1</v>
      </c>
      <c r="F24" s="737">
        <v>3</v>
      </c>
      <c r="G24" s="661">
        <v>10</v>
      </c>
      <c r="H24" s="738">
        <v>141.19999999999999</v>
      </c>
      <c r="I24" s="738"/>
      <c r="J24" s="738"/>
      <c r="K24" s="736">
        <v>4934.99</v>
      </c>
      <c r="L24" s="736">
        <v>4744.8</v>
      </c>
      <c r="M24" s="736">
        <f t="shared" si="0"/>
        <v>4934.99</v>
      </c>
      <c r="N24" s="736">
        <f t="shared" si="0"/>
        <v>4744.8</v>
      </c>
      <c r="O24" s="736">
        <f t="shared" si="1"/>
        <v>4310.2867809102554</v>
      </c>
      <c r="P24" s="736">
        <f t="shared" si="2"/>
        <v>71.595988483685204</v>
      </c>
      <c r="Q24" s="736">
        <f t="shared" si="3"/>
        <v>71.728786948176577</v>
      </c>
      <c r="R24" s="736"/>
      <c r="S24" s="736">
        <f t="shared" si="4"/>
        <v>1337.1367764419253</v>
      </c>
      <c r="T24" s="736">
        <f t="shared" si="5"/>
        <v>1243.5094638515675</v>
      </c>
      <c r="U24" s="736">
        <f t="shared" si="6"/>
        <v>251.18891169801665</v>
      </c>
      <c r="V24" s="736">
        <f t="shared" si="7"/>
        <v>284.41117402431217</v>
      </c>
      <c r="W24" s="736">
        <f t="shared" si="8"/>
        <v>1050.7156794625719</v>
      </c>
      <c r="X24" s="736">
        <f t="shared" si="9"/>
        <v>624.70321908974438</v>
      </c>
      <c r="Y24" s="736">
        <f t="shared" si="10"/>
        <v>96.146091481441715</v>
      </c>
      <c r="Z24" s="736">
        <v>0</v>
      </c>
      <c r="AA24" s="736">
        <v>4.76</v>
      </c>
      <c r="AB24" s="736">
        <f t="shared" si="12"/>
        <v>190.1899999999996</v>
      </c>
      <c r="AC24" s="350"/>
      <c r="AD24" s="223"/>
      <c r="AE24" s="223"/>
      <c r="AF24" s="223"/>
      <c r="AG24" s="259"/>
      <c r="AH24" s="259"/>
    </row>
    <row r="25" spans="1:34" x14ac:dyDescent="0.25">
      <c r="A25" s="22">
        <v>18</v>
      </c>
      <c r="B25" s="585">
        <v>42401</v>
      </c>
      <c r="C25" s="43" t="s">
        <v>143</v>
      </c>
      <c r="D25" s="737">
        <v>1959</v>
      </c>
      <c r="E25" s="737">
        <v>1</v>
      </c>
      <c r="F25" s="737">
        <v>3</v>
      </c>
      <c r="G25" s="661">
        <v>7</v>
      </c>
      <c r="H25" s="738">
        <v>136.30000000000001</v>
      </c>
      <c r="I25" s="738"/>
      <c r="J25" s="738"/>
      <c r="K25" s="736">
        <v>4681.8599999999997</v>
      </c>
      <c r="L25" s="736">
        <v>3356</v>
      </c>
      <c r="M25" s="736">
        <f t="shared" si="0"/>
        <v>4681.8599999999997</v>
      </c>
      <c r="N25" s="736">
        <f t="shared" si="0"/>
        <v>3356</v>
      </c>
      <c r="O25" s="736">
        <f t="shared" si="1"/>
        <v>4138.525258591013</v>
      </c>
      <c r="P25" s="736">
        <f t="shared" si="2"/>
        <v>69.111425143953937</v>
      </c>
      <c r="Q25" s="736">
        <f t="shared" si="3"/>
        <v>69.239615163147789</v>
      </c>
      <c r="R25" s="736"/>
      <c r="S25" s="736">
        <f t="shared" si="4"/>
        <v>1268.5511395468668</v>
      </c>
      <c r="T25" s="736">
        <f t="shared" si="5"/>
        <v>1200.356515035189</v>
      </c>
      <c r="U25" s="736">
        <f t="shared" si="6"/>
        <v>242.47201603710818</v>
      </c>
      <c r="V25" s="736">
        <f t="shared" si="7"/>
        <v>274.54138115802942</v>
      </c>
      <c r="W25" s="736">
        <f t="shared" si="8"/>
        <v>1014.253166506718</v>
      </c>
      <c r="X25" s="736">
        <f t="shared" si="9"/>
        <v>543.3347414089867</v>
      </c>
      <c r="Y25" s="736">
        <f t="shared" si="10"/>
        <v>71.680913141358346</v>
      </c>
      <c r="Z25" s="736">
        <v>0</v>
      </c>
      <c r="AA25" s="736">
        <v>4.76</v>
      </c>
      <c r="AB25" s="736">
        <f t="shared" si="12"/>
        <v>1325.8599999999997</v>
      </c>
      <c r="AC25" s="350"/>
      <c r="AD25" s="223"/>
      <c r="AE25" s="223"/>
      <c r="AF25" s="223"/>
      <c r="AG25" s="259"/>
      <c r="AH25" s="259"/>
    </row>
    <row r="26" spans="1:34" x14ac:dyDescent="0.25">
      <c r="A26" s="379">
        <v>19</v>
      </c>
      <c r="B26" s="584">
        <v>42569</v>
      </c>
      <c r="C26" s="256" t="s">
        <v>144</v>
      </c>
      <c r="D26" s="842">
        <v>1958</v>
      </c>
      <c r="E26" s="842">
        <v>1</v>
      </c>
      <c r="F26" s="842">
        <v>3</v>
      </c>
      <c r="G26" s="749">
        <v>9</v>
      </c>
      <c r="H26" s="843">
        <v>119.5</v>
      </c>
      <c r="I26" s="843"/>
      <c r="J26" s="843"/>
      <c r="K26" s="844">
        <v>7812.16</v>
      </c>
      <c r="L26" s="844">
        <v>8556.58</v>
      </c>
      <c r="M26" s="736">
        <f t="shared" si="0"/>
        <v>7812.16</v>
      </c>
      <c r="N26" s="736">
        <f t="shared" si="0"/>
        <v>8556.58</v>
      </c>
      <c r="O26" s="736">
        <f t="shared" si="1"/>
        <v>4632.9349346750359</v>
      </c>
      <c r="P26" s="736">
        <f t="shared" si="2"/>
        <v>60.592922264875234</v>
      </c>
      <c r="Q26" s="736">
        <f t="shared" si="3"/>
        <v>60.705311900191937</v>
      </c>
      <c r="R26" s="844"/>
      <c r="S26" s="736">
        <f t="shared" si="4"/>
        <v>2116.7067085138069</v>
      </c>
      <c r="T26" s="736">
        <f t="shared" si="5"/>
        <v>1052.4035476647473</v>
      </c>
      <c r="U26" s="736">
        <f t="shared" si="6"/>
        <v>212.58551662827898</v>
      </c>
      <c r="V26" s="736">
        <f t="shared" si="7"/>
        <v>240.70209133077415</v>
      </c>
      <c r="W26" s="736">
        <f t="shared" si="8"/>
        <v>889.23883637236088</v>
      </c>
      <c r="X26" s="736">
        <f t="shared" si="9"/>
        <v>3179.2250653249639</v>
      </c>
      <c r="Y26" s="736">
        <f t="shared" si="10"/>
        <v>109.52899070167534</v>
      </c>
      <c r="Z26" s="736">
        <v>0</v>
      </c>
      <c r="AA26" s="844">
        <v>6.98</v>
      </c>
      <c r="AB26" s="736">
        <f t="shared" si="12"/>
        <v>-744.42000000000007</v>
      </c>
      <c r="AC26" s="350"/>
      <c r="AD26" s="223"/>
      <c r="AE26" s="223"/>
      <c r="AF26" s="223"/>
      <c r="AG26" s="259"/>
      <c r="AH26" s="259"/>
    </row>
    <row r="27" spans="1:34" x14ac:dyDescent="0.25">
      <c r="A27" s="22"/>
      <c r="B27" s="22"/>
      <c r="C27" s="384" t="s">
        <v>125</v>
      </c>
      <c r="D27" s="845"/>
      <c r="E27" s="845"/>
      <c r="F27" s="846">
        <f t="shared" ref="F27:P27" si="13">SUM(F8:F26)</f>
        <v>134</v>
      </c>
      <c r="G27" s="846">
        <f t="shared" si="13"/>
        <v>340</v>
      </c>
      <c r="H27" s="847">
        <f t="shared" si="13"/>
        <v>6252.0000000000009</v>
      </c>
      <c r="I27" s="847">
        <f t="shared" si="13"/>
        <v>2920.9399999999996</v>
      </c>
      <c r="J27" s="847">
        <f t="shared" si="13"/>
        <v>1487.76</v>
      </c>
      <c r="K27" s="762">
        <f>SUM(K8:K26)</f>
        <v>390331.72999999992</v>
      </c>
      <c r="L27" s="762">
        <f t="shared" si="13"/>
        <v>301343.39</v>
      </c>
      <c r="M27" s="762">
        <f t="shared" si="13"/>
        <v>393252.66999999993</v>
      </c>
      <c r="N27" s="762">
        <f t="shared" si="13"/>
        <v>302831.14999999997</v>
      </c>
      <c r="O27" s="762">
        <f t="shared" si="13"/>
        <v>250287.14728</v>
      </c>
      <c r="P27" s="762">
        <f t="shared" si="13"/>
        <v>3170.0999999999995</v>
      </c>
      <c r="Q27" s="762">
        <f>SUM(Q8:Q26)</f>
        <v>3175.9800000000005</v>
      </c>
      <c r="R27" s="762">
        <f t="shared" ref="R27:W27" si="14">SUM(R8:R26)</f>
        <v>12882.66</v>
      </c>
      <c r="S27" s="762">
        <f t="shared" si="14"/>
        <v>105760.48</v>
      </c>
      <c r="T27" s="762">
        <f t="shared" si="14"/>
        <v>55059.640000000007</v>
      </c>
      <c r="U27" s="762">
        <f t="shared" si="14"/>
        <v>11122.047279999999</v>
      </c>
      <c r="V27" s="762">
        <f t="shared" si="14"/>
        <v>12593.05</v>
      </c>
      <c r="W27" s="762">
        <f t="shared" si="14"/>
        <v>46523.189999999995</v>
      </c>
      <c r="X27" s="762">
        <f>SUM(X8:X26)</f>
        <v>142965.52272000001</v>
      </c>
      <c r="Y27" s="762">
        <f t="shared" si="10"/>
        <v>77.201868779665972</v>
      </c>
      <c r="Z27" s="762">
        <f t="shared" si="11"/>
        <v>50.934288277061498</v>
      </c>
      <c r="AA27" s="762"/>
      <c r="AB27" s="762">
        <f t="shared" si="12"/>
        <v>90421.51999999996</v>
      </c>
      <c r="AC27" s="848"/>
      <c r="AD27" s="223"/>
      <c r="AE27" s="223"/>
      <c r="AF27" s="223"/>
      <c r="AG27" s="259"/>
      <c r="AH27" s="259"/>
    </row>
    <row r="28" spans="1:34" x14ac:dyDescent="0.25">
      <c r="A28" s="380"/>
      <c r="B28" s="380"/>
      <c r="C28" s="9"/>
      <c r="D28" s="375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5"/>
      <c r="P28" s="375" t="s">
        <v>180</v>
      </c>
      <c r="Q28" s="849" t="s">
        <v>180</v>
      </c>
      <c r="R28" s="375" t="s">
        <v>180</v>
      </c>
      <c r="S28" s="375" t="s">
        <v>180</v>
      </c>
      <c r="T28" s="763">
        <f>T27+U27</f>
        <v>66181.687280000013</v>
      </c>
      <c r="U28" s="375"/>
      <c r="V28" s="375" t="s">
        <v>180</v>
      </c>
      <c r="W28" s="375"/>
      <c r="X28" s="764"/>
      <c r="Y28" s="375"/>
      <c r="Z28" s="375"/>
      <c r="AA28" s="375"/>
      <c r="AB28" s="349"/>
      <c r="AC28" s="349"/>
      <c r="AD28" s="9"/>
    </row>
    <row r="29" spans="1:34" x14ac:dyDescent="0.25">
      <c r="D29" s="375"/>
      <c r="E29" s="375"/>
      <c r="F29" s="375"/>
      <c r="G29" s="375"/>
      <c r="H29" s="375"/>
      <c r="I29" s="375"/>
      <c r="J29" s="375"/>
      <c r="K29" s="375"/>
      <c r="L29" s="375"/>
      <c r="M29" s="375"/>
      <c r="N29" s="375"/>
      <c r="O29" s="375"/>
      <c r="P29" s="375"/>
      <c r="Q29" s="375"/>
      <c r="R29" s="375"/>
      <c r="S29" s="375"/>
      <c r="T29" s="375"/>
      <c r="U29" s="375"/>
      <c r="V29" s="375"/>
      <c r="W29" s="375"/>
      <c r="X29" s="375"/>
      <c r="Y29" s="375"/>
      <c r="Z29" s="375"/>
      <c r="AA29" s="375"/>
      <c r="AB29" s="349"/>
      <c r="AC29" s="349"/>
      <c r="AD29" s="9"/>
    </row>
    <row r="30" spans="1:34" x14ac:dyDescent="0.25"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75"/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5"/>
      <c r="AB30" s="375"/>
      <c r="AC30" s="375"/>
    </row>
    <row r="31" spans="1:34" ht="18.75" x14ac:dyDescent="0.3">
      <c r="D31" s="2162" t="s">
        <v>307</v>
      </c>
      <c r="E31" s="2162"/>
      <c r="F31" s="2162"/>
      <c r="G31" s="2162"/>
      <c r="H31" s="2162"/>
      <c r="I31" s="2162"/>
      <c r="J31" s="2162"/>
      <c r="K31" s="2162"/>
      <c r="L31" s="2162"/>
      <c r="M31" s="2162"/>
      <c r="N31" s="2162"/>
      <c r="O31" s="2162"/>
      <c r="P31" s="2162"/>
      <c r="Q31" s="2162"/>
      <c r="R31" s="2162"/>
      <c r="S31" s="850"/>
      <c r="T31" s="850"/>
      <c r="U31" s="850"/>
      <c r="V31" s="850"/>
      <c r="W31" s="850"/>
      <c r="X31" s="850"/>
      <c r="Y31" s="375"/>
      <c r="Z31" s="375"/>
      <c r="AA31" s="851"/>
      <c r="AB31" s="375"/>
      <c r="AC31" s="375"/>
    </row>
    <row r="32" spans="1:34" ht="15.75" x14ac:dyDescent="0.25">
      <c r="D32" s="2091" t="s">
        <v>627</v>
      </c>
      <c r="E32" s="2091"/>
      <c r="F32" s="2091"/>
      <c r="G32" s="2091"/>
      <c r="H32" s="2091"/>
      <c r="I32" s="2091"/>
      <c r="J32" s="2091"/>
      <c r="K32" s="2091"/>
      <c r="L32" s="2091"/>
      <c r="M32" s="2091"/>
      <c r="N32" s="2091"/>
      <c r="O32" s="2091"/>
      <c r="P32" s="2091"/>
      <c r="Q32" s="2091"/>
      <c r="R32" s="2091"/>
      <c r="S32" s="852"/>
      <c r="T32" s="852"/>
      <c r="U32" s="852"/>
      <c r="V32" s="852"/>
      <c r="W32" s="852"/>
      <c r="X32" s="852"/>
      <c r="Y32" s="375"/>
      <c r="Z32" s="375"/>
      <c r="AA32" s="851"/>
      <c r="AB32" s="375"/>
      <c r="AC32" s="375"/>
    </row>
    <row r="33" spans="1:30" x14ac:dyDescent="0.25">
      <c r="D33" s="375"/>
      <c r="E33" s="375"/>
      <c r="F33" s="375"/>
      <c r="G33" s="375"/>
      <c r="H33" s="375"/>
      <c r="I33" s="375"/>
      <c r="J33" s="375"/>
      <c r="K33" s="375"/>
      <c r="L33" s="375"/>
      <c r="M33" s="375"/>
      <c r="N33" s="375"/>
      <c r="O33" s="375"/>
      <c r="P33" s="375"/>
      <c r="Q33" s="375"/>
      <c r="R33" s="375"/>
      <c r="S33" s="375"/>
      <c r="T33" s="375"/>
      <c r="U33" s="349"/>
      <c r="V33" s="349"/>
      <c r="W33" s="349"/>
      <c r="X33" s="349"/>
      <c r="Y33" s="349"/>
      <c r="Z33" s="349"/>
      <c r="AA33" s="790"/>
      <c r="AB33" s="349"/>
      <c r="AC33" s="349"/>
      <c r="AD33" s="9"/>
    </row>
    <row r="34" spans="1:30" ht="24" customHeight="1" x14ac:dyDescent="0.25">
      <c r="A34" s="2083" t="s">
        <v>0</v>
      </c>
      <c r="B34" s="2014"/>
      <c r="C34" s="2083" t="s">
        <v>184</v>
      </c>
      <c r="D34" s="2084" t="s">
        <v>54</v>
      </c>
      <c r="E34" s="2085" t="s">
        <v>55</v>
      </c>
      <c r="F34" s="2084" t="s">
        <v>56</v>
      </c>
      <c r="G34" s="2084" t="s">
        <v>57</v>
      </c>
      <c r="H34" s="2085" t="s">
        <v>6</v>
      </c>
      <c r="I34" s="959"/>
      <c r="J34" s="959"/>
      <c r="K34" s="2163" t="s">
        <v>284</v>
      </c>
      <c r="L34" s="2163"/>
      <c r="M34" s="964"/>
      <c r="N34" s="964"/>
      <c r="O34" s="2074" t="s">
        <v>181</v>
      </c>
      <c r="P34" s="2084" t="s">
        <v>332</v>
      </c>
      <c r="Q34" s="2074" t="s">
        <v>175</v>
      </c>
      <c r="R34" s="2074" t="s">
        <v>183</v>
      </c>
      <c r="S34" s="2076" t="s">
        <v>182</v>
      </c>
      <c r="T34" s="2081" t="s">
        <v>547</v>
      </c>
      <c r="U34" s="2093" t="s">
        <v>566</v>
      </c>
      <c r="V34" s="2165"/>
      <c r="W34" s="2165"/>
      <c r="X34" s="2165"/>
      <c r="Y34" s="2166"/>
      <c r="Z34" s="1213"/>
      <c r="AA34" s="2168"/>
      <c r="AB34" s="2165"/>
      <c r="AC34" s="2166"/>
      <c r="AD34" s="2160"/>
    </row>
    <row r="35" spans="1:30" ht="30" customHeight="1" x14ac:dyDescent="0.25">
      <c r="A35" s="2083"/>
      <c r="B35" s="2015"/>
      <c r="C35" s="2083"/>
      <c r="D35" s="2084"/>
      <c r="E35" s="2086"/>
      <c r="F35" s="2084"/>
      <c r="G35" s="2084"/>
      <c r="H35" s="2086"/>
      <c r="I35" s="950"/>
      <c r="J35" s="950"/>
      <c r="K35" s="853" t="s">
        <v>15</v>
      </c>
      <c r="L35" s="1212" t="s">
        <v>16</v>
      </c>
      <c r="M35" s="965"/>
      <c r="N35" s="965"/>
      <c r="O35" s="2075"/>
      <c r="P35" s="2084"/>
      <c r="Q35" s="2075"/>
      <c r="R35" s="2075"/>
      <c r="S35" s="2077"/>
      <c r="T35" s="2082"/>
      <c r="U35" s="2093"/>
      <c r="V35" s="2165"/>
      <c r="W35" s="2167"/>
      <c r="X35" s="2165"/>
      <c r="Y35" s="2166"/>
      <c r="Z35" s="1213"/>
      <c r="AA35" s="2168"/>
      <c r="AB35" s="2165"/>
      <c r="AC35" s="2166"/>
      <c r="AD35" s="2160"/>
    </row>
    <row r="36" spans="1:30" x14ac:dyDescent="0.25">
      <c r="A36" s="112">
        <v>1</v>
      </c>
      <c r="B36" s="584">
        <v>42569</v>
      </c>
      <c r="C36" s="52" t="s">
        <v>126</v>
      </c>
      <c r="D36" s="702">
        <v>1965</v>
      </c>
      <c r="E36" s="702">
        <v>2</v>
      </c>
      <c r="F36" s="702">
        <v>16</v>
      </c>
      <c r="G36" s="661">
        <v>35</v>
      </c>
      <c r="H36" s="728">
        <v>653.4</v>
      </c>
      <c r="I36" s="960"/>
      <c r="J36" s="960"/>
      <c r="K36" s="736">
        <v>18317.599999999999</v>
      </c>
      <c r="L36" s="736">
        <v>13343.82</v>
      </c>
      <c r="M36" s="966"/>
      <c r="N36" s="966"/>
      <c r="O36" s="736">
        <f>P36</f>
        <v>0</v>
      </c>
      <c r="P36" s="736"/>
      <c r="Q36" s="736">
        <f>K36-O36</f>
        <v>18317.599999999999</v>
      </c>
      <c r="R36" s="736">
        <f>L36/K36*100</f>
        <v>72.846988688474482</v>
      </c>
      <c r="S36" s="736">
        <f>O36/H36/4</f>
        <v>0</v>
      </c>
      <c r="T36" s="736">
        <v>4</v>
      </c>
      <c r="U36" s="736">
        <f>K36-L36</f>
        <v>4973.7799999999988</v>
      </c>
      <c r="V36" s="349"/>
      <c r="W36" s="350"/>
      <c r="X36" s="350"/>
      <c r="Y36" s="350"/>
      <c r="Z36" s="350"/>
      <c r="AA36" s="350"/>
      <c r="AB36" s="350"/>
      <c r="AC36" s="350"/>
      <c r="AD36" s="9"/>
    </row>
    <row r="37" spans="1:30" x14ac:dyDescent="0.25">
      <c r="A37" s="22">
        <v>2</v>
      </c>
      <c r="B37" s="584">
        <v>42569</v>
      </c>
      <c r="C37" s="43" t="s">
        <v>127</v>
      </c>
      <c r="D37" s="737">
        <v>1965</v>
      </c>
      <c r="E37" s="737">
        <v>2</v>
      </c>
      <c r="F37" s="737">
        <v>16</v>
      </c>
      <c r="G37" s="661">
        <v>31</v>
      </c>
      <c r="H37" s="855">
        <v>658.2</v>
      </c>
      <c r="I37" s="961"/>
      <c r="J37" s="961"/>
      <c r="K37" s="736">
        <v>18429.599999999999</v>
      </c>
      <c r="L37" s="736">
        <v>12617.59</v>
      </c>
      <c r="M37" s="966"/>
      <c r="N37" s="966"/>
      <c r="O37" s="736">
        <f t="shared" ref="O37:O44" si="15">P37</f>
        <v>0</v>
      </c>
      <c r="P37" s="736"/>
      <c r="Q37" s="736">
        <f t="shared" ref="Q37:Q43" si="16">K37-O37</f>
        <v>18429.599999999999</v>
      </c>
      <c r="R37" s="736">
        <f t="shared" ref="R37:R44" si="17">L37/K37*100</f>
        <v>68.463721404696798</v>
      </c>
      <c r="S37" s="736">
        <f t="shared" ref="S37:S43" si="18">O37/H37/4</f>
        <v>0</v>
      </c>
      <c r="T37" s="736">
        <v>4</v>
      </c>
      <c r="U37" s="736">
        <f t="shared" ref="U37:U43" si="19">K37-L37</f>
        <v>5812.0099999999984</v>
      </c>
      <c r="V37" s="349"/>
      <c r="W37" s="350"/>
      <c r="X37" s="350"/>
      <c r="Y37" s="350"/>
      <c r="Z37" s="350"/>
      <c r="AA37" s="350"/>
      <c r="AB37" s="350"/>
      <c r="AC37" s="350"/>
      <c r="AD37" s="9"/>
    </row>
    <row r="38" spans="1:30" x14ac:dyDescent="0.25">
      <c r="A38" s="22">
        <v>3</v>
      </c>
      <c r="B38" s="584">
        <v>42569</v>
      </c>
      <c r="C38" s="43" t="s">
        <v>128</v>
      </c>
      <c r="D38" s="737">
        <v>1965</v>
      </c>
      <c r="E38" s="737">
        <v>2</v>
      </c>
      <c r="F38" s="737">
        <v>16</v>
      </c>
      <c r="G38" s="661">
        <v>36</v>
      </c>
      <c r="H38" s="855">
        <v>663.6</v>
      </c>
      <c r="I38" s="961"/>
      <c r="J38" s="961"/>
      <c r="K38" s="736">
        <v>18580.8</v>
      </c>
      <c r="L38" s="736">
        <v>14918.03</v>
      </c>
      <c r="M38" s="966"/>
      <c r="N38" s="966"/>
      <c r="O38" s="736">
        <f t="shared" si="15"/>
        <v>0</v>
      </c>
      <c r="P38" s="736"/>
      <c r="Q38" s="736">
        <f t="shared" si="16"/>
        <v>18580.8</v>
      </c>
      <c r="R38" s="736">
        <f t="shared" si="17"/>
        <v>80.287339619392057</v>
      </c>
      <c r="S38" s="736">
        <f t="shared" si="18"/>
        <v>0</v>
      </c>
      <c r="T38" s="736">
        <v>4</v>
      </c>
      <c r="U38" s="736">
        <f t="shared" si="19"/>
        <v>3662.7699999999986</v>
      </c>
      <c r="V38" s="349"/>
      <c r="W38" s="350"/>
      <c r="X38" s="350"/>
      <c r="Y38" s="350"/>
      <c r="Z38" s="350"/>
      <c r="AA38" s="350"/>
      <c r="AB38" s="350"/>
      <c r="AC38" s="350"/>
      <c r="AD38" s="9"/>
    </row>
    <row r="39" spans="1:30" x14ac:dyDescent="0.25">
      <c r="A39" s="22">
        <v>4</v>
      </c>
      <c r="B39" s="584">
        <v>42569</v>
      </c>
      <c r="C39" s="43" t="s">
        <v>129</v>
      </c>
      <c r="D39" s="737">
        <v>1965</v>
      </c>
      <c r="E39" s="737">
        <v>2</v>
      </c>
      <c r="F39" s="737">
        <v>16</v>
      </c>
      <c r="G39" s="661">
        <v>39</v>
      </c>
      <c r="H39" s="855">
        <v>654.70000000000005</v>
      </c>
      <c r="I39" s="961"/>
      <c r="J39" s="961"/>
      <c r="K39" s="736">
        <v>18331.599999999999</v>
      </c>
      <c r="L39" s="736">
        <v>13326.99</v>
      </c>
      <c r="M39" s="966"/>
      <c r="N39" s="966"/>
      <c r="O39" s="736">
        <f t="shared" si="15"/>
        <v>0</v>
      </c>
      <c r="P39" s="736"/>
      <c r="Q39" s="736">
        <f t="shared" si="16"/>
        <v>18331.599999999999</v>
      </c>
      <c r="R39" s="736">
        <f t="shared" si="17"/>
        <v>72.699546138907678</v>
      </c>
      <c r="S39" s="736">
        <f t="shared" si="18"/>
        <v>0</v>
      </c>
      <c r="T39" s="736">
        <v>4</v>
      </c>
      <c r="U39" s="736">
        <f t="shared" si="19"/>
        <v>5004.6099999999988</v>
      </c>
      <c r="V39" s="349"/>
      <c r="W39" s="350"/>
      <c r="X39" s="350"/>
      <c r="Y39" s="350"/>
      <c r="Z39" s="350"/>
      <c r="AA39" s="350"/>
      <c r="AB39" s="350"/>
      <c r="AC39" s="350"/>
      <c r="AD39" s="9"/>
    </row>
    <row r="40" spans="1:30" x14ac:dyDescent="0.25">
      <c r="A40" s="22">
        <v>5</v>
      </c>
      <c r="B40" s="584">
        <v>42569</v>
      </c>
      <c r="C40" s="43" t="s">
        <v>130</v>
      </c>
      <c r="D40" s="737">
        <v>1995</v>
      </c>
      <c r="E40" s="737">
        <v>2</v>
      </c>
      <c r="F40" s="737">
        <v>8</v>
      </c>
      <c r="G40" s="661">
        <v>23</v>
      </c>
      <c r="H40" s="855">
        <v>548.70000000000005</v>
      </c>
      <c r="I40" s="961"/>
      <c r="J40" s="961"/>
      <c r="K40" s="736">
        <v>15363.6</v>
      </c>
      <c r="L40" s="736">
        <v>15272.72</v>
      </c>
      <c r="M40" s="966"/>
      <c r="N40" s="966"/>
      <c r="O40" s="736">
        <f t="shared" si="15"/>
        <v>0</v>
      </c>
      <c r="P40" s="736"/>
      <c r="Q40" s="736">
        <f t="shared" si="16"/>
        <v>15363.6</v>
      </c>
      <c r="R40" s="736">
        <f t="shared" si="17"/>
        <v>99.408471972714722</v>
      </c>
      <c r="S40" s="736">
        <f t="shared" si="18"/>
        <v>0</v>
      </c>
      <c r="T40" s="736">
        <v>4</v>
      </c>
      <c r="U40" s="736">
        <f t="shared" si="19"/>
        <v>90.880000000001019</v>
      </c>
      <c r="V40" s="349"/>
      <c r="W40" s="350"/>
      <c r="X40" s="350"/>
      <c r="Y40" s="350"/>
      <c r="Z40" s="350"/>
      <c r="AA40" s="350"/>
      <c r="AB40" s="350"/>
      <c r="AC40" s="350"/>
      <c r="AD40" s="9"/>
    </row>
    <row r="41" spans="1:30" x14ac:dyDescent="0.25">
      <c r="A41" s="22">
        <v>6</v>
      </c>
      <c r="B41" s="584">
        <v>42569</v>
      </c>
      <c r="C41" s="43" t="s">
        <v>131</v>
      </c>
      <c r="D41" s="737">
        <v>1995</v>
      </c>
      <c r="E41" s="737">
        <v>2</v>
      </c>
      <c r="F41" s="737">
        <v>8</v>
      </c>
      <c r="G41" s="661">
        <v>27</v>
      </c>
      <c r="H41" s="855">
        <v>548.6</v>
      </c>
      <c r="I41" s="961"/>
      <c r="J41" s="961"/>
      <c r="K41" s="736">
        <v>15360.8</v>
      </c>
      <c r="L41" s="736">
        <v>13700.27</v>
      </c>
      <c r="M41" s="966"/>
      <c r="N41" s="966"/>
      <c r="O41" s="736">
        <f t="shared" si="15"/>
        <v>0</v>
      </c>
      <c r="P41" s="736"/>
      <c r="Q41" s="736">
        <f t="shared" si="16"/>
        <v>15360.8</v>
      </c>
      <c r="R41" s="736">
        <f t="shared" si="17"/>
        <v>89.189820842664446</v>
      </c>
      <c r="S41" s="736">
        <f t="shared" si="18"/>
        <v>0</v>
      </c>
      <c r="T41" s="736">
        <v>4</v>
      </c>
      <c r="U41" s="736">
        <f t="shared" si="19"/>
        <v>1660.5299999999988</v>
      </c>
      <c r="V41" s="349"/>
      <c r="W41" s="350"/>
      <c r="X41" s="350"/>
      <c r="Y41" s="350"/>
      <c r="Z41" s="350"/>
      <c r="AA41" s="350"/>
      <c r="AB41" s="350"/>
      <c r="AC41" s="350"/>
      <c r="AD41" s="9"/>
    </row>
    <row r="42" spans="1:30" x14ac:dyDescent="0.25">
      <c r="A42" s="22">
        <v>7</v>
      </c>
      <c r="B42" s="584">
        <v>42569</v>
      </c>
      <c r="C42" s="43" t="s">
        <v>132</v>
      </c>
      <c r="D42" s="737">
        <v>1995</v>
      </c>
      <c r="E42" s="737">
        <v>2</v>
      </c>
      <c r="F42" s="737">
        <v>8</v>
      </c>
      <c r="G42" s="661">
        <v>30</v>
      </c>
      <c r="H42" s="855">
        <v>544.20000000000005</v>
      </c>
      <c r="I42" s="961"/>
      <c r="J42" s="961"/>
      <c r="K42" s="736">
        <v>15237.6</v>
      </c>
      <c r="L42" s="736">
        <v>9069.19</v>
      </c>
      <c r="M42" s="966"/>
      <c r="N42" s="966"/>
      <c r="O42" s="736">
        <f t="shared" si="15"/>
        <v>0</v>
      </c>
      <c r="P42" s="736"/>
      <c r="Q42" s="736">
        <f t="shared" si="16"/>
        <v>15237.6</v>
      </c>
      <c r="R42" s="736">
        <f t="shared" si="17"/>
        <v>59.518493726046096</v>
      </c>
      <c r="S42" s="736">
        <f t="shared" si="18"/>
        <v>0</v>
      </c>
      <c r="T42" s="736">
        <v>4</v>
      </c>
      <c r="U42" s="736">
        <f t="shared" si="19"/>
        <v>6168.41</v>
      </c>
      <c r="V42" s="349"/>
      <c r="W42" s="350"/>
      <c r="X42" s="350"/>
      <c r="Y42" s="350"/>
      <c r="Z42" s="350"/>
      <c r="AA42" s="350"/>
      <c r="AB42" s="350"/>
      <c r="AC42" s="350"/>
      <c r="AD42" s="9"/>
    </row>
    <row r="43" spans="1:30" x14ac:dyDescent="0.25">
      <c r="A43" s="379">
        <v>8</v>
      </c>
      <c r="B43" s="584">
        <v>42569</v>
      </c>
      <c r="C43" s="256" t="s">
        <v>133</v>
      </c>
      <c r="D43" s="842">
        <v>1995</v>
      </c>
      <c r="E43" s="842">
        <v>2</v>
      </c>
      <c r="F43" s="842">
        <v>8</v>
      </c>
      <c r="G43" s="661">
        <v>29</v>
      </c>
      <c r="H43" s="856">
        <v>548.70000000000005</v>
      </c>
      <c r="I43" s="962"/>
      <c r="J43" s="962"/>
      <c r="K43" s="844">
        <v>15363.6</v>
      </c>
      <c r="L43" s="844">
        <v>15721.28</v>
      </c>
      <c r="M43" s="967"/>
      <c r="N43" s="967"/>
      <c r="O43" s="736">
        <f t="shared" si="15"/>
        <v>0</v>
      </c>
      <c r="P43" s="844"/>
      <c r="Q43" s="736">
        <f t="shared" si="16"/>
        <v>15363.6</v>
      </c>
      <c r="R43" s="736">
        <f t="shared" si="17"/>
        <v>102.3281001848525</v>
      </c>
      <c r="S43" s="736">
        <f t="shared" si="18"/>
        <v>0</v>
      </c>
      <c r="T43" s="844">
        <v>4</v>
      </c>
      <c r="U43" s="736">
        <f t="shared" si="19"/>
        <v>-357.68000000000029</v>
      </c>
      <c r="V43" s="349"/>
      <c r="W43" s="350"/>
      <c r="X43" s="350"/>
      <c r="Y43" s="350"/>
      <c r="Z43" s="350"/>
      <c r="AA43" s="350"/>
      <c r="AB43" s="350"/>
      <c r="AC43" s="350"/>
      <c r="AD43" s="9"/>
    </row>
    <row r="44" spans="1:30" x14ac:dyDescent="0.25">
      <c r="A44" s="22"/>
      <c r="B44" s="22"/>
      <c r="C44" s="381" t="s">
        <v>125</v>
      </c>
      <c r="D44" s="845"/>
      <c r="E44" s="845"/>
      <c r="F44" s="845">
        <f>SUM(F36:F43)</f>
        <v>96</v>
      </c>
      <c r="G44" s="845">
        <f>SUM(G36:G43)</f>
        <v>250</v>
      </c>
      <c r="H44" s="847">
        <f>SUM(H36:H43)</f>
        <v>4820.0999999999995</v>
      </c>
      <c r="I44" s="963"/>
      <c r="J44" s="963"/>
      <c r="K44" s="762">
        <f>SUM(K36:K43)</f>
        <v>134985.20000000001</v>
      </c>
      <c r="L44" s="762">
        <f>SUM(L36:L43)</f>
        <v>107969.89</v>
      </c>
      <c r="M44" s="968"/>
      <c r="N44" s="968"/>
      <c r="O44" s="762">
        <f t="shared" si="15"/>
        <v>0</v>
      </c>
      <c r="P44" s="762">
        <f>SUM(P36:P43)</f>
        <v>0</v>
      </c>
      <c r="Q44" s="762">
        <f>SUM(Q36:Q43)</f>
        <v>134985.20000000001</v>
      </c>
      <c r="R44" s="762">
        <f t="shared" si="17"/>
        <v>79.98646518284967</v>
      </c>
      <c r="S44" s="762">
        <f t="shared" ref="S44" si="20">O44/H44/12</f>
        <v>0</v>
      </c>
      <c r="T44" s="762"/>
      <c r="U44" s="762">
        <f>SUM(U36:U43)</f>
        <v>27015.309999999994</v>
      </c>
      <c r="V44" s="679"/>
      <c r="W44" s="857"/>
      <c r="X44" s="857"/>
      <c r="Y44" s="857"/>
      <c r="Z44" s="857"/>
      <c r="AA44" s="857"/>
      <c r="AB44" s="857"/>
      <c r="AC44" s="857"/>
      <c r="AD44" s="385"/>
    </row>
    <row r="45" spans="1:30" x14ac:dyDescent="0.25"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49"/>
      <c r="V45" s="349"/>
      <c r="W45" s="349"/>
      <c r="X45" s="349"/>
      <c r="Y45" s="349"/>
      <c r="Z45" s="349"/>
      <c r="AA45" s="349"/>
      <c r="AB45" s="349"/>
      <c r="AC45" s="349"/>
      <c r="AD45" s="9"/>
    </row>
    <row r="46" spans="1:30" x14ac:dyDescent="0.25"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375"/>
      <c r="Q46" s="375"/>
      <c r="R46" s="375"/>
      <c r="S46" s="375"/>
      <c r="T46" s="375"/>
      <c r="U46" s="349"/>
      <c r="V46" s="349"/>
      <c r="W46" s="349"/>
      <c r="X46" s="349"/>
      <c r="Y46" s="349"/>
      <c r="Z46" s="349"/>
      <c r="AA46" s="349"/>
      <c r="AB46" s="349"/>
      <c r="AC46" s="349"/>
      <c r="AD46" s="9"/>
    </row>
    <row r="47" spans="1:30" x14ac:dyDescent="0.25"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5"/>
      <c r="S47" s="375"/>
      <c r="T47" s="375"/>
      <c r="U47" s="349"/>
      <c r="V47" s="349"/>
      <c r="W47" s="349"/>
      <c r="X47" s="349"/>
      <c r="Y47" s="349"/>
      <c r="Z47" s="349"/>
      <c r="AA47" s="349"/>
      <c r="AB47" s="349"/>
      <c r="AC47" s="349"/>
      <c r="AD47" s="9"/>
    </row>
    <row r="48" spans="1:30" x14ac:dyDescent="0.25"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49"/>
      <c r="V48" s="349"/>
      <c r="W48" s="349"/>
      <c r="X48" s="349"/>
      <c r="Y48" s="349"/>
      <c r="Z48" s="349"/>
      <c r="AA48" s="349"/>
      <c r="AB48" s="349"/>
      <c r="AC48" s="349"/>
      <c r="AD48" s="9"/>
    </row>
    <row r="49" spans="4:29" x14ac:dyDescent="0.25"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75"/>
      <c r="AB49" s="375"/>
      <c r="AC49" s="375"/>
    </row>
    <row r="50" spans="4:29" x14ac:dyDescent="0.25">
      <c r="D50" s="375"/>
      <c r="E50" s="375"/>
      <c r="F50" s="375"/>
      <c r="G50" s="375"/>
      <c r="H50" s="375"/>
      <c r="I50" s="375"/>
      <c r="J50" s="375"/>
      <c r="K50" s="375"/>
      <c r="L50" s="375"/>
      <c r="M50" s="375"/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  <c r="Y50" s="375"/>
      <c r="Z50" s="375"/>
      <c r="AA50" s="375"/>
      <c r="AB50" s="375"/>
      <c r="AC50" s="375"/>
    </row>
    <row r="51" spans="4:29" x14ac:dyDescent="0.25"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  <c r="R51" s="375"/>
      <c r="S51" s="375"/>
      <c r="T51" s="375"/>
      <c r="U51" s="375"/>
      <c r="V51" s="375"/>
      <c r="W51" s="375"/>
      <c r="X51" s="375"/>
      <c r="Y51" s="375"/>
      <c r="Z51" s="375"/>
      <c r="AA51" s="375"/>
      <c r="AB51" s="375"/>
      <c r="AC51" s="375"/>
    </row>
    <row r="52" spans="4:29" x14ac:dyDescent="0.25"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  <c r="Y52" s="375"/>
      <c r="Z52" s="375"/>
      <c r="AA52" s="375"/>
      <c r="AB52" s="375"/>
      <c r="AC52" s="375"/>
    </row>
    <row r="53" spans="4:29" x14ac:dyDescent="0.25"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5"/>
    </row>
    <row r="54" spans="4:29" x14ac:dyDescent="0.25">
      <c r="D54" s="375"/>
      <c r="E54" s="375"/>
      <c r="F54" s="375"/>
      <c r="G54" s="375"/>
      <c r="H54" s="375"/>
      <c r="I54" s="375"/>
      <c r="J54" s="375"/>
      <c r="K54" s="375"/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375"/>
      <c r="Y54" s="375"/>
      <c r="Z54" s="375"/>
      <c r="AA54" s="375"/>
      <c r="AB54" s="375"/>
      <c r="AC54" s="375"/>
    </row>
    <row r="55" spans="4:29" x14ac:dyDescent="0.25">
      <c r="D55" s="375"/>
      <c r="E55" s="375"/>
      <c r="F55" s="375"/>
      <c r="G55" s="375"/>
      <c r="H55" s="375"/>
      <c r="I55" s="375"/>
      <c r="J55" s="375"/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  <c r="Y55" s="375"/>
      <c r="Z55" s="375"/>
      <c r="AA55" s="375"/>
      <c r="AB55" s="375"/>
      <c r="AC55" s="375"/>
    </row>
    <row r="56" spans="4:29" x14ac:dyDescent="0.25"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375"/>
      <c r="Y56" s="375"/>
      <c r="Z56" s="375"/>
      <c r="AA56" s="375"/>
      <c r="AB56" s="375"/>
      <c r="AC56" s="375"/>
    </row>
    <row r="57" spans="4:29" x14ac:dyDescent="0.25"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</row>
    <row r="58" spans="4:29" x14ac:dyDescent="0.25"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  <c r="Y58" s="375"/>
      <c r="Z58" s="375"/>
      <c r="AA58" s="375"/>
      <c r="AB58" s="375"/>
      <c r="AC58" s="375"/>
    </row>
    <row r="59" spans="4:29" x14ac:dyDescent="0.25">
      <c r="D59" s="375"/>
      <c r="E59" s="375"/>
      <c r="F59" s="375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375"/>
      <c r="U59" s="375"/>
      <c r="V59" s="375"/>
      <c r="W59" s="375"/>
      <c r="X59" s="375"/>
      <c r="Y59" s="375"/>
      <c r="Z59" s="375"/>
      <c r="AA59" s="375"/>
      <c r="AB59" s="375"/>
      <c r="AC59" s="375"/>
    </row>
    <row r="60" spans="4:29" x14ac:dyDescent="0.25">
      <c r="D60" s="375"/>
      <c r="E60" s="375"/>
      <c r="F60" s="375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375"/>
      <c r="Y60" s="375"/>
      <c r="Z60" s="375"/>
      <c r="AA60" s="375"/>
      <c r="AB60" s="375"/>
      <c r="AC60" s="375"/>
    </row>
    <row r="61" spans="4:29" x14ac:dyDescent="0.25"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375"/>
      <c r="Y61" s="375"/>
      <c r="Z61" s="375"/>
      <c r="AA61" s="375"/>
      <c r="AB61" s="375"/>
      <c r="AC61" s="375"/>
    </row>
    <row r="62" spans="4:29" x14ac:dyDescent="0.25">
      <c r="D62" s="375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375"/>
      <c r="Y62" s="375"/>
      <c r="Z62" s="375"/>
      <c r="AA62" s="375"/>
      <c r="AB62" s="375"/>
      <c r="AC62" s="375"/>
    </row>
    <row r="63" spans="4:29" x14ac:dyDescent="0.25">
      <c r="D63" s="375"/>
      <c r="E63" s="375"/>
      <c r="F63" s="375"/>
      <c r="G63" s="375"/>
      <c r="H63" s="375"/>
      <c r="I63" s="375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  <c r="AA63" s="375"/>
      <c r="AB63" s="375"/>
      <c r="AC63" s="375"/>
    </row>
    <row r="64" spans="4:29" x14ac:dyDescent="0.25">
      <c r="D64" s="375"/>
      <c r="E64" s="375"/>
      <c r="F64" s="375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  <c r="Y64" s="375"/>
      <c r="Z64" s="375"/>
      <c r="AA64" s="375"/>
      <c r="AB64" s="375"/>
      <c r="AC64" s="375"/>
    </row>
    <row r="65" spans="4:29" x14ac:dyDescent="0.25"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  <c r="Y65" s="375"/>
      <c r="Z65" s="375"/>
      <c r="AA65" s="375"/>
      <c r="AB65" s="375"/>
      <c r="AC65" s="375"/>
    </row>
    <row r="66" spans="4:29" x14ac:dyDescent="0.25"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  <c r="Y66" s="375"/>
      <c r="Z66" s="375"/>
      <c r="AA66" s="375"/>
      <c r="AB66" s="375"/>
      <c r="AC66" s="375"/>
    </row>
    <row r="67" spans="4:29" x14ac:dyDescent="0.25">
      <c r="D67" s="375"/>
      <c r="E67" s="375"/>
      <c r="F67" s="375"/>
      <c r="G67" s="375"/>
      <c r="H67" s="375"/>
      <c r="I67" s="375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375"/>
    </row>
    <row r="68" spans="4:29" x14ac:dyDescent="0.25"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</row>
    <row r="69" spans="4:29" x14ac:dyDescent="0.25">
      <c r="D69" s="375"/>
      <c r="E69" s="375"/>
      <c r="F69" s="375"/>
      <c r="G69" s="375"/>
      <c r="H69" s="375"/>
      <c r="I69" s="375"/>
      <c r="J69" s="375"/>
      <c r="K69" s="37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</row>
    <row r="70" spans="4:29" x14ac:dyDescent="0.25"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5"/>
    </row>
    <row r="71" spans="4:29" x14ac:dyDescent="0.25">
      <c r="D71" s="375"/>
      <c r="E71" s="375"/>
      <c r="F71" s="375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</row>
    <row r="72" spans="4:29" x14ac:dyDescent="0.25">
      <c r="D72" s="375"/>
      <c r="E72" s="375"/>
      <c r="F72" s="375"/>
      <c r="G72" s="375"/>
      <c r="H72" s="375"/>
      <c r="I72" s="375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  <c r="AB72" s="375"/>
      <c r="AC72" s="375"/>
    </row>
    <row r="73" spans="4:29" x14ac:dyDescent="0.25">
      <c r="D73" s="375"/>
      <c r="E73" s="375"/>
      <c r="F73" s="375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  <c r="Y73" s="375"/>
      <c r="Z73" s="375"/>
      <c r="AA73" s="375"/>
      <c r="AB73" s="375"/>
      <c r="AC73" s="375"/>
    </row>
    <row r="74" spans="4:29" x14ac:dyDescent="0.25">
      <c r="D74" s="375"/>
      <c r="E74" s="375"/>
      <c r="F74" s="375"/>
      <c r="G74" s="375"/>
      <c r="H74" s="375"/>
      <c r="I74" s="375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  <c r="Y74" s="375"/>
      <c r="Z74" s="375"/>
      <c r="AA74" s="375"/>
      <c r="AB74" s="375"/>
      <c r="AC74" s="375"/>
    </row>
    <row r="75" spans="4:29" x14ac:dyDescent="0.25">
      <c r="D75" s="375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5"/>
      <c r="AC75" s="375"/>
    </row>
    <row r="76" spans="4:29" x14ac:dyDescent="0.25">
      <c r="D76" s="375"/>
      <c r="E76" s="375"/>
      <c r="F76" s="375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  <c r="Y76" s="375"/>
      <c r="Z76" s="375"/>
      <c r="AA76" s="375"/>
      <c r="AB76" s="375"/>
      <c r="AC76" s="375"/>
    </row>
    <row r="77" spans="4:29" x14ac:dyDescent="0.25">
      <c r="D77" s="375"/>
      <c r="E77" s="375"/>
      <c r="F77" s="375"/>
      <c r="G77" s="375"/>
      <c r="H77" s="375"/>
      <c r="I77" s="375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  <c r="AB77" s="375"/>
      <c r="AC77" s="375"/>
    </row>
    <row r="78" spans="4:29" x14ac:dyDescent="0.25">
      <c r="D78" s="375"/>
      <c r="E78" s="375"/>
      <c r="F78" s="375"/>
      <c r="G78" s="375"/>
      <c r="H78" s="375"/>
      <c r="I78" s="375"/>
      <c r="J78" s="375"/>
      <c r="K78" s="37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  <c r="Y78" s="375"/>
      <c r="Z78" s="375"/>
      <c r="AA78" s="375"/>
      <c r="AB78" s="375"/>
      <c r="AC78" s="375"/>
    </row>
    <row r="79" spans="4:29" x14ac:dyDescent="0.25">
      <c r="D79" s="375"/>
      <c r="E79" s="375"/>
      <c r="F79" s="375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</row>
    <row r="80" spans="4:29" x14ac:dyDescent="0.25">
      <c r="D80" s="375"/>
      <c r="E80" s="375"/>
      <c r="F80" s="375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  <c r="Y80" s="375"/>
      <c r="Z80" s="375"/>
      <c r="AA80" s="375"/>
      <c r="AB80" s="375"/>
      <c r="AC80" s="375"/>
    </row>
    <row r="81" spans="4:29" x14ac:dyDescent="0.25">
      <c r="D81" s="375"/>
      <c r="E81" s="375"/>
      <c r="F81" s="375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5"/>
    </row>
    <row r="82" spans="4:29" x14ac:dyDescent="0.25">
      <c r="D82" s="375"/>
      <c r="E82" s="375"/>
      <c r="F82" s="375"/>
      <c r="G82" s="375"/>
      <c r="H82" s="375"/>
      <c r="I82" s="375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  <c r="AB82" s="375"/>
      <c r="AC82" s="375"/>
    </row>
    <row r="83" spans="4:29" x14ac:dyDescent="0.25">
      <c r="D83" s="375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</row>
    <row r="84" spans="4:29" x14ac:dyDescent="0.25">
      <c r="D84" s="375"/>
      <c r="E84" s="375"/>
      <c r="F84" s="375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  <c r="Y84" s="375"/>
      <c r="Z84" s="375"/>
      <c r="AA84" s="375"/>
      <c r="AB84" s="375"/>
      <c r="AC84" s="375"/>
    </row>
    <row r="85" spans="4:29" x14ac:dyDescent="0.25">
      <c r="D85" s="375"/>
      <c r="E85" s="375"/>
      <c r="F85" s="375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</row>
    <row r="86" spans="4:29" x14ac:dyDescent="0.25">
      <c r="D86" s="375"/>
      <c r="E86" s="375"/>
      <c r="F86" s="375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</row>
    <row r="87" spans="4:29" x14ac:dyDescent="0.25">
      <c r="D87" s="375"/>
      <c r="E87" s="375"/>
      <c r="F87" s="375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</row>
    <row r="88" spans="4:29" x14ac:dyDescent="0.25">
      <c r="D88" s="375"/>
      <c r="E88" s="375"/>
      <c r="F88" s="375"/>
      <c r="G88" s="375"/>
      <c r="H88" s="375"/>
      <c r="I88" s="375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  <c r="AB88" s="375"/>
      <c r="AC88" s="375"/>
    </row>
    <row r="89" spans="4:29" x14ac:dyDescent="0.25">
      <c r="D89" s="375"/>
      <c r="E89" s="375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</row>
    <row r="90" spans="4:29" x14ac:dyDescent="0.25">
      <c r="D90" s="375"/>
      <c r="E90" s="375"/>
      <c r="F90" s="375"/>
      <c r="G90" s="375"/>
      <c r="H90" s="375"/>
      <c r="I90" s="375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  <c r="Y90" s="375"/>
      <c r="Z90" s="375"/>
      <c r="AA90" s="375"/>
      <c r="AB90" s="375"/>
      <c r="AC90" s="375"/>
    </row>
    <row r="91" spans="4:29" x14ac:dyDescent="0.25">
      <c r="D91" s="375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</row>
    <row r="92" spans="4:29" x14ac:dyDescent="0.25">
      <c r="D92" s="375"/>
      <c r="E92" s="375"/>
      <c r="F92" s="375"/>
      <c r="G92" s="375"/>
      <c r="H92" s="375"/>
      <c r="I92" s="375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5"/>
      <c r="AC92" s="375"/>
    </row>
    <row r="93" spans="4:29" x14ac:dyDescent="0.25">
      <c r="D93" s="375"/>
      <c r="E93" s="375"/>
      <c r="F93" s="375"/>
      <c r="G93" s="375"/>
      <c r="H93" s="375"/>
      <c r="I93" s="375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</row>
    <row r="94" spans="4:29" x14ac:dyDescent="0.25">
      <c r="D94" s="375"/>
      <c r="E94" s="375"/>
      <c r="F94" s="375"/>
      <c r="G94" s="375"/>
      <c r="H94" s="375"/>
      <c r="I94" s="375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  <c r="Y94" s="375"/>
      <c r="Z94" s="375"/>
      <c r="AA94" s="375"/>
      <c r="AB94" s="375"/>
      <c r="AC94" s="375"/>
    </row>
    <row r="95" spans="4:29" x14ac:dyDescent="0.25">
      <c r="D95" s="375"/>
      <c r="E95" s="375"/>
      <c r="F95" s="375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</row>
    <row r="96" spans="4:29" x14ac:dyDescent="0.25">
      <c r="D96" s="375"/>
      <c r="E96" s="375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</row>
    <row r="97" spans="4:29" x14ac:dyDescent="0.25">
      <c r="D97" s="375"/>
      <c r="E97" s="375"/>
      <c r="F97" s="375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</row>
    <row r="98" spans="4:29" x14ac:dyDescent="0.25">
      <c r="D98" s="375"/>
      <c r="E98" s="375"/>
      <c r="F98" s="375"/>
      <c r="G98" s="375"/>
      <c r="H98" s="375"/>
      <c r="I98" s="375"/>
      <c r="J98" s="375"/>
      <c r="K98" s="37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  <c r="Y98" s="375"/>
      <c r="Z98" s="375"/>
      <c r="AA98" s="375"/>
      <c r="AB98" s="375"/>
      <c r="AC98" s="375"/>
    </row>
    <row r="99" spans="4:29" x14ac:dyDescent="0.25">
      <c r="D99" s="375"/>
      <c r="E99" s="375"/>
      <c r="F99" s="375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  <c r="Y99" s="375"/>
      <c r="Z99" s="375"/>
      <c r="AA99" s="375"/>
      <c r="AB99" s="375"/>
      <c r="AC99" s="375"/>
    </row>
    <row r="100" spans="4:29" x14ac:dyDescent="0.25">
      <c r="D100" s="375"/>
      <c r="E100" s="375"/>
      <c r="F100" s="375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  <c r="Y100" s="375"/>
      <c r="Z100" s="375"/>
      <c r="AA100" s="375"/>
      <c r="AB100" s="375"/>
      <c r="AC100" s="375"/>
    </row>
    <row r="101" spans="4:29" x14ac:dyDescent="0.25">
      <c r="D101" s="375"/>
      <c r="E101" s="375"/>
      <c r="F101" s="375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</row>
    <row r="102" spans="4:29" x14ac:dyDescent="0.25">
      <c r="D102" s="375"/>
      <c r="E102" s="375"/>
      <c r="F102" s="375"/>
      <c r="G102" s="375"/>
      <c r="H102" s="375"/>
      <c r="I102" s="375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5"/>
      <c r="Z102" s="375"/>
      <c r="AA102" s="375"/>
      <c r="AB102" s="375"/>
      <c r="AC102" s="375"/>
    </row>
    <row r="103" spans="4:29" x14ac:dyDescent="0.25">
      <c r="D103" s="375"/>
      <c r="E103" s="375"/>
      <c r="F103" s="375"/>
      <c r="G103" s="375"/>
      <c r="H103" s="375"/>
      <c r="I103" s="375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</row>
    <row r="104" spans="4:29" x14ac:dyDescent="0.25">
      <c r="D104" s="375"/>
      <c r="E104" s="375"/>
      <c r="F104" s="375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  <c r="Y104" s="375"/>
      <c r="Z104" s="375"/>
      <c r="AA104" s="375"/>
      <c r="AB104" s="375"/>
      <c r="AC104" s="375"/>
    </row>
    <row r="105" spans="4:29" x14ac:dyDescent="0.25">
      <c r="D105" s="375"/>
      <c r="E105" s="375"/>
      <c r="F105" s="375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  <c r="Y105" s="375"/>
      <c r="Z105" s="375"/>
      <c r="AA105" s="375"/>
      <c r="AB105" s="375"/>
      <c r="AC105" s="375"/>
    </row>
    <row r="106" spans="4:29" x14ac:dyDescent="0.25">
      <c r="D106" s="375"/>
      <c r="E106" s="375"/>
      <c r="F106" s="375"/>
      <c r="G106" s="375"/>
      <c r="H106" s="375"/>
      <c r="I106" s="375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  <c r="Y106" s="375"/>
      <c r="Z106" s="375"/>
      <c r="AA106" s="375"/>
      <c r="AB106" s="375"/>
      <c r="AC106" s="375"/>
    </row>
    <row r="107" spans="4:29" x14ac:dyDescent="0.25">
      <c r="D107" s="375"/>
      <c r="E107" s="375"/>
      <c r="F107" s="375"/>
      <c r="G107" s="375"/>
      <c r="H107" s="375"/>
      <c r="I107" s="375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5"/>
      <c r="AC107" s="375"/>
    </row>
    <row r="108" spans="4:29" x14ac:dyDescent="0.25">
      <c r="D108" s="375"/>
      <c r="E108" s="375"/>
      <c r="F108" s="375"/>
      <c r="G108" s="375"/>
      <c r="H108" s="375"/>
      <c r="I108" s="375"/>
      <c r="J108" s="375"/>
      <c r="K108" s="37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  <c r="Y108" s="375"/>
      <c r="Z108" s="375"/>
      <c r="AA108" s="375"/>
      <c r="AB108" s="375"/>
      <c r="AC108" s="375"/>
    </row>
    <row r="109" spans="4:29" x14ac:dyDescent="0.25">
      <c r="D109" s="375"/>
      <c r="E109" s="375"/>
      <c r="F109" s="375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  <c r="Y109" s="375"/>
      <c r="Z109" s="375"/>
      <c r="AA109" s="375"/>
      <c r="AB109" s="375"/>
      <c r="AC109" s="375"/>
    </row>
    <row r="110" spans="4:29" x14ac:dyDescent="0.25">
      <c r="D110" s="375"/>
      <c r="E110" s="375"/>
      <c r="F110" s="375"/>
      <c r="G110" s="375"/>
      <c r="H110" s="375"/>
      <c r="I110" s="375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  <c r="Y110" s="375"/>
      <c r="Z110" s="375"/>
      <c r="AA110" s="375"/>
      <c r="AB110" s="375"/>
      <c r="AC110" s="375"/>
    </row>
    <row r="111" spans="4:29" x14ac:dyDescent="0.25">
      <c r="D111" s="375"/>
      <c r="E111" s="375"/>
      <c r="F111" s="375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</row>
    <row r="112" spans="4:29" x14ac:dyDescent="0.25">
      <c r="D112" s="375"/>
      <c r="E112" s="375"/>
      <c r="F112" s="375"/>
      <c r="G112" s="375"/>
      <c r="H112" s="375"/>
      <c r="I112" s="375"/>
      <c r="J112" s="375"/>
      <c r="K112" s="37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  <c r="Y112" s="375"/>
      <c r="Z112" s="375"/>
      <c r="AA112" s="375"/>
      <c r="AB112" s="375"/>
      <c r="AC112" s="375"/>
    </row>
    <row r="113" spans="4:29" x14ac:dyDescent="0.25">
      <c r="D113" s="375"/>
      <c r="E113" s="375"/>
      <c r="F113" s="375"/>
      <c r="G113" s="375"/>
      <c r="H113" s="375"/>
      <c r="I113" s="375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  <c r="Y113" s="375"/>
      <c r="Z113" s="375"/>
      <c r="AA113" s="375"/>
      <c r="AB113" s="375"/>
      <c r="AC113" s="375"/>
    </row>
    <row r="114" spans="4:29" x14ac:dyDescent="0.25">
      <c r="D114" s="375"/>
      <c r="E114" s="375"/>
      <c r="F114" s="375"/>
      <c r="G114" s="375"/>
      <c r="H114" s="375"/>
      <c r="I114" s="375"/>
      <c r="J114" s="375"/>
      <c r="K114" s="37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  <c r="Y114" s="375"/>
      <c r="Z114" s="375"/>
      <c r="AA114" s="375"/>
      <c r="AB114" s="375"/>
      <c r="AC114" s="375"/>
    </row>
    <row r="115" spans="4:29" x14ac:dyDescent="0.25">
      <c r="D115" s="375"/>
      <c r="E115" s="375"/>
      <c r="F115" s="375"/>
      <c r="G115" s="375"/>
      <c r="H115" s="375"/>
      <c r="I115" s="375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5"/>
      <c r="AC115" s="375"/>
    </row>
    <row r="116" spans="4:29" x14ac:dyDescent="0.25">
      <c r="D116" s="375"/>
      <c r="E116" s="375"/>
      <c r="F116" s="375"/>
      <c r="G116" s="375"/>
      <c r="H116" s="375"/>
      <c r="I116" s="375"/>
      <c r="J116" s="375"/>
      <c r="K116" s="37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  <c r="Y116" s="375"/>
      <c r="Z116" s="375"/>
      <c r="AA116" s="375"/>
      <c r="AB116" s="375"/>
      <c r="AC116" s="375"/>
    </row>
    <row r="117" spans="4:29" x14ac:dyDescent="0.25">
      <c r="D117" s="375"/>
      <c r="E117" s="375"/>
      <c r="F117" s="375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</row>
    <row r="118" spans="4:29" x14ac:dyDescent="0.25">
      <c r="D118" s="375"/>
      <c r="E118" s="375"/>
      <c r="F118" s="375"/>
      <c r="G118" s="375"/>
      <c r="H118" s="375"/>
      <c r="I118" s="375"/>
      <c r="J118" s="375"/>
      <c r="K118" s="37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</row>
    <row r="119" spans="4:29" x14ac:dyDescent="0.25">
      <c r="D119" s="375"/>
      <c r="E119" s="375"/>
      <c r="F119" s="375"/>
      <c r="G119" s="375"/>
      <c r="H119" s="375"/>
      <c r="I119" s="375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</row>
    <row r="120" spans="4:29" x14ac:dyDescent="0.25">
      <c r="D120" s="375"/>
      <c r="E120" s="375"/>
      <c r="F120" s="375"/>
      <c r="G120" s="375"/>
      <c r="H120" s="375"/>
      <c r="I120" s="375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5"/>
      <c r="AC120" s="375"/>
    </row>
    <row r="121" spans="4:29" x14ac:dyDescent="0.25">
      <c r="D121" s="375"/>
      <c r="E121" s="375"/>
      <c r="F121" s="375"/>
      <c r="G121" s="375"/>
      <c r="H121" s="375"/>
      <c r="I121" s="375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5"/>
      <c r="AB121" s="375"/>
      <c r="AC121" s="375"/>
    </row>
    <row r="122" spans="4:29" x14ac:dyDescent="0.25">
      <c r="D122" s="375"/>
      <c r="E122" s="375"/>
      <c r="F122" s="375"/>
      <c r="G122" s="375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5"/>
      <c r="AC122" s="375"/>
    </row>
    <row r="123" spans="4:29" x14ac:dyDescent="0.25">
      <c r="D123" s="375"/>
      <c r="E123" s="375"/>
      <c r="F123" s="375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</row>
    <row r="124" spans="4:29" x14ac:dyDescent="0.25">
      <c r="D124" s="375"/>
      <c r="E124" s="375"/>
      <c r="F124" s="375"/>
      <c r="G124" s="375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  <c r="Y124" s="375"/>
      <c r="Z124" s="375"/>
      <c r="AA124" s="375"/>
      <c r="AB124" s="375"/>
      <c r="AC124" s="375"/>
    </row>
    <row r="125" spans="4:29" x14ac:dyDescent="0.25">
      <c r="D125" s="375"/>
      <c r="E125" s="375"/>
      <c r="F125" s="375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</row>
    <row r="126" spans="4:29" x14ac:dyDescent="0.25">
      <c r="D126" s="375"/>
      <c r="E126" s="375"/>
      <c r="F126" s="375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5"/>
      <c r="AC126" s="375"/>
    </row>
    <row r="127" spans="4:29" x14ac:dyDescent="0.25">
      <c r="D127" s="375"/>
      <c r="E127" s="375"/>
      <c r="F127" s="375"/>
      <c r="G127" s="375"/>
      <c r="H127" s="375"/>
      <c r="I127" s="375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  <c r="Y127" s="375"/>
      <c r="Z127" s="375"/>
      <c r="AA127" s="375"/>
      <c r="AB127" s="375"/>
      <c r="AC127" s="375"/>
    </row>
    <row r="128" spans="4:29" x14ac:dyDescent="0.25">
      <c r="D128" s="375"/>
      <c r="E128" s="375"/>
      <c r="F128" s="375"/>
      <c r="G128" s="375"/>
      <c r="H128" s="375"/>
      <c r="I128" s="375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</row>
    <row r="129" spans="4:29" x14ac:dyDescent="0.25">
      <c r="D129" s="375"/>
      <c r="E129" s="375"/>
      <c r="F129" s="375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</row>
    <row r="130" spans="4:29" x14ac:dyDescent="0.25">
      <c r="D130" s="375"/>
      <c r="E130" s="375"/>
      <c r="F130" s="375"/>
      <c r="G130" s="375"/>
      <c r="H130" s="375"/>
      <c r="I130" s="375"/>
      <c r="J130" s="375"/>
      <c r="K130" s="37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  <c r="Y130" s="375"/>
      <c r="Z130" s="375"/>
      <c r="AA130" s="375"/>
      <c r="AB130" s="375"/>
      <c r="AC130" s="375"/>
    </row>
    <row r="131" spans="4:29" x14ac:dyDescent="0.25">
      <c r="D131" s="375"/>
      <c r="E131" s="375"/>
      <c r="F131" s="375"/>
      <c r="G131" s="375"/>
      <c r="H131" s="375"/>
      <c r="I131" s="375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</row>
    <row r="132" spans="4:29" x14ac:dyDescent="0.25">
      <c r="D132" s="375"/>
      <c r="E132" s="375"/>
      <c r="F132" s="375"/>
      <c r="G132" s="375"/>
      <c r="H132" s="375"/>
      <c r="I132" s="375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  <c r="Y132" s="375"/>
      <c r="Z132" s="375"/>
      <c r="AA132" s="375"/>
      <c r="AB132" s="375"/>
      <c r="AC132" s="375"/>
    </row>
    <row r="133" spans="4:29" x14ac:dyDescent="0.25">
      <c r="D133" s="375"/>
      <c r="E133" s="375"/>
      <c r="F133" s="375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</row>
    <row r="134" spans="4:29" x14ac:dyDescent="0.25">
      <c r="D134" s="375"/>
      <c r="E134" s="375"/>
      <c r="F134" s="375"/>
      <c r="G134" s="375"/>
      <c r="H134" s="375"/>
      <c r="I134" s="375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  <c r="Y134" s="375"/>
      <c r="Z134" s="375"/>
      <c r="AA134" s="375"/>
      <c r="AB134" s="375"/>
      <c r="AC134" s="375"/>
    </row>
    <row r="135" spans="4:29" x14ac:dyDescent="0.25">
      <c r="D135" s="375"/>
      <c r="E135" s="375"/>
      <c r="F135" s="375"/>
      <c r="G135" s="375"/>
      <c r="H135" s="375"/>
      <c r="I135" s="375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</row>
    <row r="136" spans="4:29" x14ac:dyDescent="0.25">
      <c r="D136" s="375"/>
      <c r="E136" s="375"/>
      <c r="F136" s="375"/>
      <c r="G136" s="375"/>
      <c r="H136" s="375"/>
      <c r="I136" s="375"/>
      <c r="J136" s="375"/>
      <c r="K136" s="37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  <c r="Y136" s="375"/>
      <c r="Z136" s="375"/>
      <c r="AA136" s="375"/>
      <c r="AB136" s="375"/>
      <c r="AC136" s="375"/>
    </row>
    <row r="137" spans="4:29" x14ac:dyDescent="0.25">
      <c r="D137" s="375"/>
      <c r="E137" s="375"/>
      <c r="F137" s="375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</row>
    <row r="138" spans="4:29" x14ac:dyDescent="0.25">
      <c r="D138" s="375"/>
      <c r="E138" s="375"/>
      <c r="F138" s="375"/>
      <c r="G138" s="375"/>
      <c r="H138" s="375"/>
      <c r="I138" s="375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  <c r="Y138" s="375"/>
      <c r="Z138" s="375"/>
      <c r="AA138" s="375"/>
      <c r="AB138" s="375"/>
      <c r="AC138" s="375"/>
    </row>
    <row r="139" spans="4:29" x14ac:dyDescent="0.25">
      <c r="D139" s="375"/>
      <c r="E139" s="375"/>
      <c r="F139" s="375"/>
      <c r="G139" s="375"/>
      <c r="H139" s="375"/>
      <c r="I139" s="375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</row>
    <row r="140" spans="4:29" x14ac:dyDescent="0.25">
      <c r="D140" s="375"/>
      <c r="E140" s="375"/>
      <c r="F140" s="375"/>
      <c r="G140" s="375"/>
      <c r="H140" s="375"/>
      <c r="I140" s="375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5"/>
      <c r="AC140" s="375"/>
    </row>
    <row r="141" spans="4:29" x14ac:dyDescent="0.25">
      <c r="D141" s="375"/>
      <c r="E141" s="375"/>
      <c r="F141" s="375"/>
      <c r="G141" s="375"/>
      <c r="H141" s="375"/>
      <c r="I141" s="375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375"/>
      <c r="AA141" s="375"/>
      <c r="AB141" s="375"/>
      <c r="AC141" s="375"/>
    </row>
    <row r="142" spans="4:29" x14ac:dyDescent="0.25">
      <c r="D142" s="375"/>
      <c r="E142" s="375"/>
      <c r="F142" s="375"/>
      <c r="G142" s="375"/>
      <c r="H142" s="375"/>
      <c r="I142" s="375"/>
      <c r="J142" s="375"/>
      <c r="K142" s="37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  <c r="Y142" s="375"/>
      <c r="Z142" s="375"/>
      <c r="AA142" s="375"/>
      <c r="AB142" s="375"/>
      <c r="AC142" s="375"/>
    </row>
    <row r="143" spans="4:29" x14ac:dyDescent="0.25">
      <c r="D143" s="375"/>
      <c r="E143" s="375"/>
      <c r="F143" s="375"/>
      <c r="G143" s="375"/>
      <c r="H143" s="375"/>
      <c r="I143" s="375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</row>
    <row r="144" spans="4:29" x14ac:dyDescent="0.25">
      <c r="D144" s="375"/>
      <c r="E144" s="375"/>
      <c r="F144" s="375"/>
      <c r="G144" s="375"/>
      <c r="H144" s="375"/>
      <c r="I144" s="375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  <c r="Y144" s="375"/>
      <c r="Z144" s="375"/>
      <c r="AA144" s="375"/>
      <c r="AB144" s="375"/>
      <c r="AC144" s="375"/>
    </row>
    <row r="145" spans="4:29" x14ac:dyDescent="0.25">
      <c r="D145" s="375"/>
      <c r="E145" s="375"/>
      <c r="F145" s="375"/>
      <c r="G145" s="375"/>
      <c r="H145" s="375"/>
      <c r="I145" s="375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  <c r="Y145" s="375"/>
      <c r="Z145" s="375"/>
      <c r="AA145" s="375"/>
      <c r="AB145" s="375"/>
      <c r="AC145" s="375"/>
    </row>
    <row r="146" spans="4:29" x14ac:dyDescent="0.25">
      <c r="D146" s="375"/>
      <c r="E146" s="375"/>
      <c r="F146" s="375"/>
      <c r="G146" s="375"/>
      <c r="H146" s="375"/>
      <c r="I146" s="375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5"/>
      <c r="AC146" s="375"/>
    </row>
    <row r="147" spans="4:29" x14ac:dyDescent="0.25">
      <c r="D147" s="375"/>
      <c r="E147" s="375"/>
      <c r="F147" s="375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</row>
    <row r="148" spans="4:29" x14ac:dyDescent="0.25">
      <c r="D148" s="375"/>
      <c r="E148" s="375"/>
      <c r="F148" s="375"/>
      <c r="G148" s="375"/>
      <c r="H148" s="375"/>
      <c r="I148" s="375"/>
      <c r="J148" s="375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  <c r="Y148" s="375"/>
      <c r="Z148" s="375"/>
      <c r="AA148" s="375"/>
      <c r="AB148" s="375"/>
      <c r="AC148" s="375"/>
    </row>
    <row r="149" spans="4:29" x14ac:dyDescent="0.25">
      <c r="D149" s="375"/>
      <c r="E149" s="375"/>
      <c r="F149" s="375"/>
      <c r="G149" s="375"/>
      <c r="H149" s="375"/>
      <c r="I149" s="375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  <c r="Y149" s="375"/>
      <c r="Z149" s="375"/>
      <c r="AA149" s="375"/>
      <c r="AB149" s="375"/>
      <c r="AC149" s="375"/>
    </row>
    <row r="150" spans="4:29" x14ac:dyDescent="0.25">
      <c r="D150" s="375"/>
      <c r="E150" s="375"/>
      <c r="F150" s="375"/>
      <c r="G150" s="375"/>
      <c r="H150" s="375"/>
      <c r="I150" s="375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  <c r="Y150" s="375"/>
      <c r="Z150" s="375"/>
      <c r="AA150" s="375"/>
      <c r="AB150" s="375"/>
      <c r="AC150" s="375"/>
    </row>
    <row r="151" spans="4:29" x14ac:dyDescent="0.25">
      <c r="D151" s="375"/>
      <c r="E151" s="375"/>
      <c r="F151" s="375"/>
      <c r="G151" s="375"/>
      <c r="H151" s="375"/>
      <c r="I151" s="375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  <c r="Y151" s="375"/>
      <c r="Z151" s="375"/>
      <c r="AA151" s="375"/>
      <c r="AB151" s="375"/>
      <c r="AC151" s="375"/>
    </row>
    <row r="152" spans="4:29" x14ac:dyDescent="0.25">
      <c r="D152" s="375"/>
      <c r="E152" s="375"/>
      <c r="F152" s="375"/>
      <c r="G152" s="375"/>
      <c r="H152" s="375"/>
      <c r="I152" s="375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  <c r="Y152" s="375"/>
      <c r="Z152" s="375"/>
      <c r="AA152" s="375"/>
      <c r="AB152" s="375"/>
      <c r="AC152" s="375"/>
    </row>
    <row r="153" spans="4:29" x14ac:dyDescent="0.25">
      <c r="D153" s="375"/>
      <c r="E153" s="375"/>
      <c r="F153" s="375"/>
      <c r="G153" s="375"/>
      <c r="H153" s="375"/>
      <c r="I153" s="375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</row>
    <row r="154" spans="4:29" x14ac:dyDescent="0.25">
      <c r="D154" s="375"/>
      <c r="E154" s="375"/>
      <c r="F154" s="375"/>
      <c r="G154" s="375"/>
      <c r="H154" s="375"/>
      <c r="I154" s="375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  <c r="Y154" s="375"/>
      <c r="Z154" s="375"/>
      <c r="AA154" s="375"/>
      <c r="AB154" s="375"/>
      <c r="AC154" s="375"/>
    </row>
    <row r="155" spans="4:29" x14ac:dyDescent="0.25">
      <c r="D155" s="375"/>
      <c r="E155" s="375"/>
      <c r="F155" s="375"/>
      <c r="G155" s="375"/>
      <c r="H155" s="375"/>
      <c r="I155" s="375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  <c r="Y155" s="375"/>
      <c r="Z155" s="375"/>
      <c r="AA155" s="375"/>
      <c r="AB155" s="375"/>
      <c r="AC155" s="375"/>
    </row>
    <row r="156" spans="4:29" x14ac:dyDescent="0.25">
      <c r="D156" s="375"/>
      <c r="E156" s="375"/>
      <c r="F156" s="375"/>
      <c r="G156" s="375"/>
      <c r="H156" s="375"/>
      <c r="I156" s="375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5"/>
      <c r="AC156" s="375"/>
    </row>
    <row r="157" spans="4:29" x14ac:dyDescent="0.25">
      <c r="D157" s="375"/>
      <c r="E157" s="375"/>
      <c r="F157" s="375"/>
      <c r="G157" s="375"/>
      <c r="H157" s="375"/>
      <c r="I157" s="375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  <c r="Y157" s="375"/>
      <c r="Z157" s="375"/>
      <c r="AA157" s="375"/>
      <c r="AB157" s="375"/>
      <c r="AC157" s="375"/>
    </row>
    <row r="158" spans="4:29" x14ac:dyDescent="0.25">
      <c r="D158" s="375"/>
      <c r="E158" s="375"/>
      <c r="F158" s="375"/>
      <c r="G158" s="375"/>
      <c r="H158" s="375"/>
      <c r="I158" s="375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  <c r="Y158" s="375"/>
      <c r="Z158" s="375"/>
      <c r="AA158" s="375"/>
      <c r="AB158" s="375"/>
      <c r="AC158" s="375"/>
    </row>
    <row r="159" spans="4:29" x14ac:dyDescent="0.25">
      <c r="D159" s="375"/>
      <c r="E159" s="375"/>
      <c r="F159" s="375"/>
      <c r="G159" s="375"/>
      <c r="H159" s="375"/>
      <c r="I159" s="375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</row>
    <row r="160" spans="4:29" x14ac:dyDescent="0.25">
      <c r="D160" s="375"/>
      <c r="E160" s="375"/>
      <c r="F160" s="375"/>
      <c r="G160" s="375"/>
      <c r="H160" s="375"/>
      <c r="I160" s="375"/>
      <c r="J160" s="375"/>
      <c r="K160" s="37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  <c r="Y160" s="375"/>
      <c r="Z160" s="375"/>
      <c r="AA160" s="375"/>
      <c r="AB160" s="375"/>
      <c r="AC160" s="375"/>
    </row>
    <row r="161" spans="4:29" x14ac:dyDescent="0.25">
      <c r="D161" s="375"/>
      <c r="E161" s="375"/>
      <c r="F161" s="375"/>
      <c r="G161" s="375"/>
      <c r="H161" s="375"/>
      <c r="I161" s="375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</row>
    <row r="162" spans="4:29" x14ac:dyDescent="0.25">
      <c r="D162" s="375"/>
      <c r="E162" s="375"/>
      <c r="F162" s="375"/>
      <c r="G162" s="375"/>
      <c r="H162" s="375"/>
      <c r="I162" s="375"/>
      <c r="J162" s="375"/>
      <c r="K162" s="37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  <c r="Y162" s="375"/>
      <c r="Z162" s="375"/>
      <c r="AA162" s="375"/>
      <c r="AB162" s="375"/>
      <c r="AC162" s="375"/>
    </row>
    <row r="163" spans="4:29" x14ac:dyDescent="0.25">
      <c r="D163" s="375"/>
      <c r="E163" s="375"/>
      <c r="F163" s="375"/>
      <c r="G163" s="375"/>
      <c r="H163" s="375"/>
      <c r="I163" s="375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  <c r="Y163" s="375"/>
      <c r="Z163" s="375"/>
      <c r="AA163" s="375"/>
      <c r="AB163" s="375"/>
      <c r="AC163" s="375"/>
    </row>
    <row r="164" spans="4:29" x14ac:dyDescent="0.25">
      <c r="D164" s="375"/>
      <c r="E164" s="375"/>
      <c r="F164" s="375"/>
      <c r="G164" s="375"/>
      <c r="H164" s="375"/>
      <c r="I164" s="375"/>
      <c r="J164" s="375"/>
      <c r="K164" s="37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  <c r="Y164" s="375"/>
      <c r="Z164" s="375"/>
      <c r="AA164" s="375"/>
      <c r="AB164" s="375"/>
      <c r="AC164" s="375"/>
    </row>
    <row r="165" spans="4:29" x14ac:dyDescent="0.25">
      <c r="D165" s="375"/>
      <c r="E165" s="375"/>
      <c r="F165" s="375"/>
      <c r="G165" s="375"/>
      <c r="H165" s="375"/>
      <c r="I165" s="375"/>
      <c r="J165" s="375"/>
      <c r="K165" s="37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  <c r="Y165" s="375"/>
      <c r="Z165" s="375"/>
      <c r="AA165" s="375"/>
      <c r="AB165" s="375"/>
      <c r="AC165" s="375"/>
    </row>
    <row r="166" spans="4:29" x14ac:dyDescent="0.25">
      <c r="D166" s="375"/>
      <c r="E166" s="375"/>
      <c r="F166" s="375"/>
      <c r="G166" s="375"/>
      <c r="H166" s="375"/>
      <c r="I166" s="375"/>
      <c r="J166" s="375"/>
      <c r="K166" s="37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  <c r="Y166" s="375"/>
      <c r="Z166" s="375"/>
      <c r="AA166" s="375"/>
      <c r="AB166" s="375"/>
      <c r="AC166" s="375"/>
    </row>
    <row r="167" spans="4:29" x14ac:dyDescent="0.25">
      <c r="D167" s="375"/>
      <c r="E167" s="375"/>
      <c r="F167" s="375"/>
      <c r="G167" s="375"/>
      <c r="H167" s="375"/>
      <c r="I167" s="375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</row>
    <row r="168" spans="4:29" x14ac:dyDescent="0.25">
      <c r="D168" s="375"/>
      <c r="E168" s="375"/>
      <c r="F168" s="375"/>
      <c r="G168" s="375"/>
      <c r="H168" s="375"/>
      <c r="I168" s="375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  <c r="Y168" s="375"/>
      <c r="Z168" s="375"/>
      <c r="AA168" s="375"/>
      <c r="AB168" s="375"/>
      <c r="AC168" s="375"/>
    </row>
    <row r="169" spans="4:29" x14ac:dyDescent="0.25">
      <c r="D169" s="375"/>
      <c r="E169" s="375"/>
      <c r="F169" s="375"/>
      <c r="G169" s="375"/>
      <c r="H169" s="375"/>
      <c r="I169" s="375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</row>
    <row r="170" spans="4:29" x14ac:dyDescent="0.25">
      <c r="D170" s="375"/>
      <c r="E170" s="375"/>
      <c r="F170" s="375"/>
      <c r="G170" s="375"/>
      <c r="H170" s="375"/>
      <c r="I170" s="375"/>
      <c r="J170" s="375"/>
      <c r="K170" s="37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  <c r="Y170" s="375"/>
      <c r="Z170" s="375"/>
      <c r="AA170" s="375"/>
      <c r="AB170" s="375"/>
      <c r="AC170" s="375"/>
    </row>
    <row r="171" spans="4:29" x14ac:dyDescent="0.25">
      <c r="D171" s="375"/>
      <c r="E171" s="375"/>
      <c r="F171" s="375"/>
      <c r="G171" s="375"/>
      <c r="H171" s="375"/>
      <c r="I171" s="375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</row>
    <row r="172" spans="4:29" x14ac:dyDescent="0.25">
      <c r="D172" s="375"/>
      <c r="E172" s="375"/>
      <c r="F172" s="375"/>
      <c r="G172" s="375"/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5"/>
      <c r="AC172" s="375"/>
    </row>
    <row r="173" spans="4:29" x14ac:dyDescent="0.25">
      <c r="D173" s="375"/>
      <c r="E173" s="375"/>
      <c r="F173" s="375"/>
      <c r="G173" s="375"/>
      <c r="H173" s="375"/>
      <c r="I173" s="375"/>
      <c r="J173" s="375"/>
      <c r="K173" s="37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  <c r="Y173" s="375"/>
      <c r="Z173" s="375"/>
      <c r="AA173" s="375"/>
      <c r="AB173" s="375"/>
      <c r="AC173" s="375"/>
    </row>
    <row r="174" spans="4:29" x14ac:dyDescent="0.25">
      <c r="D174" s="375"/>
      <c r="E174" s="375"/>
      <c r="F174" s="375"/>
      <c r="G174" s="375"/>
      <c r="H174" s="375"/>
      <c r="I174" s="375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  <c r="Y174" s="375"/>
      <c r="Z174" s="375"/>
      <c r="AA174" s="375"/>
      <c r="AB174" s="375"/>
      <c r="AC174" s="375"/>
    </row>
    <row r="175" spans="4:29" x14ac:dyDescent="0.25">
      <c r="D175" s="375"/>
      <c r="E175" s="375"/>
      <c r="F175" s="375"/>
      <c r="G175" s="375"/>
      <c r="H175" s="375"/>
      <c r="I175" s="375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</row>
    <row r="176" spans="4:29" x14ac:dyDescent="0.25">
      <c r="D176" s="375"/>
      <c r="E176" s="375"/>
      <c r="F176" s="375"/>
      <c r="G176" s="375"/>
      <c r="H176" s="375"/>
      <c r="I176" s="375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  <c r="Y176" s="375"/>
      <c r="Z176" s="375"/>
      <c r="AA176" s="375"/>
      <c r="AB176" s="375"/>
      <c r="AC176" s="375"/>
    </row>
    <row r="177" spans="4:29" x14ac:dyDescent="0.25">
      <c r="D177" s="375"/>
      <c r="E177" s="375"/>
      <c r="F177" s="375"/>
      <c r="G177" s="375"/>
      <c r="H177" s="375"/>
      <c r="I177" s="375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</row>
    <row r="178" spans="4:29" x14ac:dyDescent="0.25">
      <c r="D178" s="375"/>
      <c r="E178" s="375"/>
      <c r="F178" s="375"/>
      <c r="G178" s="375"/>
      <c r="H178" s="375"/>
      <c r="I178" s="375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  <c r="Y178" s="375"/>
      <c r="Z178" s="375"/>
      <c r="AA178" s="375"/>
      <c r="AB178" s="375"/>
      <c r="AC178" s="375"/>
    </row>
    <row r="179" spans="4:29" x14ac:dyDescent="0.25">
      <c r="D179" s="375"/>
      <c r="E179" s="375"/>
      <c r="F179" s="375"/>
      <c r="G179" s="375"/>
      <c r="H179" s="375"/>
      <c r="I179" s="375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5"/>
      <c r="AC179" s="375"/>
    </row>
    <row r="180" spans="4:29" x14ac:dyDescent="0.25">
      <c r="D180" s="375"/>
      <c r="E180" s="375"/>
      <c r="F180" s="375"/>
      <c r="G180" s="375"/>
      <c r="H180" s="375"/>
      <c r="I180" s="375"/>
      <c r="J180" s="375"/>
      <c r="K180" s="37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  <c r="Y180" s="375"/>
      <c r="Z180" s="375"/>
      <c r="AA180" s="375"/>
      <c r="AB180" s="375"/>
      <c r="AC180" s="375"/>
    </row>
    <row r="181" spans="4:29" x14ac:dyDescent="0.25">
      <c r="D181" s="375"/>
      <c r="E181" s="375"/>
      <c r="F181" s="375"/>
      <c r="G181" s="375"/>
      <c r="H181" s="375"/>
      <c r="I181" s="375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</row>
    <row r="182" spans="4:29" x14ac:dyDescent="0.25">
      <c r="D182" s="375"/>
      <c r="E182" s="375"/>
      <c r="F182" s="375"/>
      <c r="G182" s="375"/>
      <c r="H182" s="375"/>
      <c r="I182" s="375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  <c r="Y182" s="375"/>
      <c r="Z182" s="375"/>
      <c r="AA182" s="375"/>
      <c r="AB182" s="375"/>
      <c r="AC182" s="375"/>
    </row>
    <row r="183" spans="4:29" x14ac:dyDescent="0.25">
      <c r="D183" s="375"/>
      <c r="E183" s="375"/>
      <c r="F183" s="375"/>
      <c r="G183" s="375"/>
      <c r="H183" s="375"/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</row>
    <row r="184" spans="4:29" x14ac:dyDescent="0.25">
      <c r="D184" s="375"/>
      <c r="E184" s="375"/>
      <c r="F184" s="375"/>
      <c r="G184" s="375"/>
      <c r="H184" s="375"/>
      <c r="I184" s="375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  <c r="Y184" s="375"/>
      <c r="Z184" s="375"/>
      <c r="AA184" s="375"/>
      <c r="AB184" s="375"/>
      <c r="AC184" s="375"/>
    </row>
    <row r="185" spans="4:29" x14ac:dyDescent="0.25">
      <c r="D185" s="375"/>
      <c r="E185" s="375"/>
      <c r="F185" s="375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5"/>
      <c r="AC185" s="375"/>
    </row>
    <row r="186" spans="4:29" x14ac:dyDescent="0.25">
      <c r="D186" s="375"/>
      <c r="E186" s="375"/>
      <c r="F186" s="375"/>
      <c r="G186" s="375"/>
      <c r="H186" s="375"/>
      <c r="I186" s="375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  <c r="Y186" s="375"/>
      <c r="Z186" s="375"/>
      <c r="AA186" s="375"/>
      <c r="AB186" s="375"/>
      <c r="AC186" s="375"/>
    </row>
    <row r="187" spans="4:29" x14ac:dyDescent="0.25">
      <c r="D187" s="375"/>
      <c r="E187" s="375"/>
      <c r="F187" s="375"/>
      <c r="G187" s="375"/>
      <c r="H187" s="375"/>
      <c r="I187" s="375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  <c r="Y187" s="375"/>
      <c r="Z187" s="375"/>
      <c r="AA187" s="375"/>
      <c r="AB187" s="375"/>
      <c r="AC187" s="375"/>
    </row>
    <row r="188" spans="4:29" x14ac:dyDescent="0.25">
      <c r="D188" s="375"/>
      <c r="E188" s="375"/>
      <c r="F188" s="375"/>
      <c r="G188" s="375"/>
      <c r="H188" s="375"/>
      <c r="I188" s="375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</row>
    <row r="189" spans="4:29" x14ac:dyDescent="0.25">
      <c r="D189" s="375"/>
      <c r="E189" s="375"/>
      <c r="F189" s="375"/>
      <c r="G189" s="375"/>
      <c r="H189" s="375"/>
      <c r="I189" s="375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  <c r="Y189" s="375"/>
      <c r="Z189" s="375"/>
      <c r="AA189" s="375"/>
      <c r="AB189" s="375"/>
      <c r="AC189" s="375"/>
    </row>
    <row r="190" spans="4:29" x14ac:dyDescent="0.25">
      <c r="D190" s="375"/>
      <c r="E190" s="375"/>
      <c r="F190" s="375"/>
      <c r="G190" s="375"/>
      <c r="H190" s="375"/>
      <c r="I190" s="375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  <c r="Y190" s="375"/>
      <c r="Z190" s="375"/>
      <c r="AA190" s="375"/>
      <c r="AB190" s="375"/>
      <c r="AC190" s="375"/>
    </row>
    <row r="191" spans="4:29" x14ac:dyDescent="0.25">
      <c r="D191" s="375"/>
      <c r="E191" s="375"/>
      <c r="F191" s="375"/>
      <c r="G191" s="375"/>
      <c r="H191" s="375"/>
      <c r="I191" s="375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  <c r="Y191" s="375"/>
      <c r="Z191" s="375"/>
      <c r="AA191" s="375"/>
      <c r="AB191" s="375"/>
      <c r="AC191" s="375"/>
    </row>
    <row r="192" spans="4:29" x14ac:dyDescent="0.25">
      <c r="D192" s="375"/>
      <c r="E192" s="375"/>
      <c r="F192" s="375"/>
      <c r="G192" s="375"/>
      <c r="H192" s="375"/>
      <c r="I192" s="375"/>
      <c r="J192" s="375"/>
      <c r="K192" s="375"/>
      <c r="L192" s="375"/>
      <c r="M192" s="375"/>
      <c r="N192" s="375"/>
      <c r="O192" s="375"/>
      <c r="P192" s="375"/>
      <c r="Q192" s="375"/>
      <c r="R192" s="375"/>
      <c r="S192" s="375"/>
      <c r="T192" s="375"/>
      <c r="U192" s="375"/>
      <c r="V192" s="375"/>
      <c r="W192" s="375"/>
      <c r="X192" s="375"/>
      <c r="Y192" s="375"/>
      <c r="Z192" s="375"/>
      <c r="AA192" s="375"/>
      <c r="AB192" s="375"/>
      <c r="AC192" s="375"/>
    </row>
    <row r="193" spans="4:29" x14ac:dyDescent="0.25">
      <c r="D193" s="375"/>
      <c r="E193" s="375"/>
      <c r="F193" s="375"/>
      <c r="G193" s="375"/>
      <c r="H193" s="375"/>
      <c r="I193" s="375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  <c r="Y193" s="375"/>
      <c r="Z193" s="375"/>
      <c r="AA193" s="375"/>
      <c r="AB193" s="375"/>
      <c r="AC193" s="375"/>
    </row>
    <row r="194" spans="4:29" x14ac:dyDescent="0.25">
      <c r="D194" s="375"/>
      <c r="E194" s="375"/>
      <c r="F194" s="375"/>
      <c r="G194" s="375"/>
      <c r="H194" s="375"/>
      <c r="I194" s="375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  <c r="Y194" s="375"/>
      <c r="Z194" s="375"/>
      <c r="AA194" s="375"/>
      <c r="AB194" s="375"/>
      <c r="AC194" s="375"/>
    </row>
    <row r="195" spans="4:29" x14ac:dyDescent="0.25">
      <c r="D195" s="375"/>
      <c r="E195" s="375"/>
      <c r="F195" s="375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  <c r="Y195" s="375"/>
      <c r="Z195" s="375"/>
      <c r="AA195" s="375"/>
      <c r="AB195" s="375"/>
      <c r="AC195" s="375"/>
    </row>
    <row r="196" spans="4:29" x14ac:dyDescent="0.25">
      <c r="D196" s="375"/>
      <c r="E196" s="375"/>
      <c r="F196" s="375"/>
      <c r="G196" s="375"/>
      <c r="H196" s="375"/>
      <c r="I196" s="375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  <c r="Y196" s="375"/>
      <c r="Z196" s="375"/>
      <c r="AA196" s="375"/>
      <c r="AB196" s="375"/>
      <c r="AC196" s="375"/>
    </row>
    <row r="197" spans="4:29" x14ac:dyDescent="0.25">
      <c r="D197" s="375"/>
      <c r="E197" s="375"/>
      <c r="F197" s="375"/>
      <c r="G197" s="375"/>
      <c r="H197" s="375"/>
      <c r="I197" s="375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  <c r="Y197" s="375"/>
      <c r="Z197" s="375"/>
      <c r="AA197" s="375"/>
      <c r="AB197" s="375"/>
      <c r="AC197" s="375"/>
    </row>
    <row r="198" spans="4:29" x14ac:dyDescent="0.25">
      <c r="D198" s="375"/>
      <c r="E198" s="375"/>
      <c r="F198" s="375"/>
      <c r="G198" s="375"/>
      <c r="H198" s="375"/>
      <c r="I198" s="375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  <c r="Y198" s="375"/>
      <c r="Z198" s="375"/>
      <c r="AA198" s="375"/>
      <c r="AB198" s="375"/>
      <c r="AC198" s="375"/>
    </row>
    <row r="199" spans="4:29" x14ac:dyDescent="0.25">
      <c r="D199" s="375"/>
      <c r="E199" s="375"/>
      <c r="F199" s="375"/>
      <c r="G199" s="375"/>
      <c r="H199" s="375"/>
      <c r="I199" s="375"/>
      <c r="J199" s="375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375"/>
      <c r="W199" s="375"/>
      <c r="X199" s="375"/>
      <c r="Y199" s="375"/>
      <c r="Z199" s="375"/>
      <c r="AA199" s="375"/>
      <c r="AB199" s="375"/>
      <c r="AC199" s="375"/>
    </row>
    <row r="200" spans="4:29" x14ac:dyDescent="0.25">
      <c r="D200" s="375"/>
      <c r="E200" s="375"/>
      <c r="F200" s="375"/>
      <c r="G200" s="375"/>
      <c r="H200" s="375"/>
      <c r="I200" s="375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  <c r="Y200" s="375"/>
      <c r="Z200" s="375"/>
      <c r="AA200" s="375"/>
      <c r="AB200" s="375"/>
      <c r="AC200" s="375"/>
    </row>
    <row r="201" spans="4:29" x14ac:dyDescent="0.25">
      <c r="D201" s="375"/>
      <c r="E201" s="375"/>
      <c r="F201" s="375"/>
      <c r="G201" s="375"/>
      <c r="H201" s="375"/>
      <c r="I201" s="375"/>
      <c r="J201" s="375"/>
      <c r="K201" s="375"/>
      <c r="L201" s="375"/>
      <c r="M201" s="375"/>
      <c r="N201" s="375"/>
      <c r="O201" s="375"/>
      <c r="P201" s="375"/>
      <c r="Q201" s="375"/>
      <c r="R201" s="375"/>
      <c r="S201" s="375"/>
      <c r="T201" s="375"/>
      <c r="U201" s="375"/>
      <c r="V201" s="375"/>
      <c r="W201" s="375"/>
      <c r="X201" s="375"/>
      <c r="Y201" s="375"/>
      <c r="Z201" s="375"/>
      <c r="AA201" s="375"/>
      <c r="AB201" s="375"/>
      <c r="AC201" s="375"/>
    </row>
    <row r="202" spans="4:29" x14ac:dyDescent="0.25">
      <c r="D202" s="375"/>
      <c r="E202" s="375"/>
      <c r="F202" s="375"/>
      <c r="G202" s="375"/>
      <c r="H202" s="375"/>
      <c r="I202" s="375"/>
      <c r="J202" s="375"/>
      <c r="K202" s="375"/>
      <c r="L202" s="375"/>
      <c r="M202" s="375"/>
      <c r="N202" s="375"/>
      <c r="O202" s="375"/>
      <c r="P202" s="375"/>
      <c r="Q202" s="375"/>
      <c r="R202" s="375"/>
      <c r="S202" s="375"/>
      <c r="T202" s="375"/>
      <c r="U202" s="375"/>
      <c r="V202" s="375"/>
      <c r="W202" s="375"/>
      <c r="X202" s="375"/>
      <c r="Y202" s="375"/>
      <c r="Z202" s="375"/>
      <c r="AA202" s="375"/>
      <c r="AB202" s="375"/>
      <c r="AC202" s="375"/>
    </row>
    <row r="203" spans="4:29" x14ac:dyDescent="0.25">
      <c r="D203" s="375"/>
      <c r="E203" s="375"/>
      <c r="F203" s="375"/>
      <c r="G203" s="375"/>
      <c r="H203" s="375"/>
      <c r="I203" s="375"/>
      <c r="J203" s="375"/>
      <c r="K203" s="375"/>
      <c r="L203" s="375"/>
      <c r="M203" s="375"/>
      <c r="N203" s="375"/>
      <c r="O203" s="375"/>
      <c r="P203" s="375"/>
      <c r="Q203" s="375"/>
      <c r="R203" s="375"/>
      <c r="S203" s="375"/>
      <c r="T203" s="375"/>
      <c r="U203" s="375"/>
      <c r="V203" s="375"/>
      <c r="W203" s="375"/>
      <c r="X203" s="375"/>
      <c r="Y203" s="375"/>
      <c r="Z203" s="375"/>
      <c r="AA203" s="375"/>
      <c r="AB203" s="375"/>
      <c r="AC203" s="375"/>
    </row>
    <row r="204" spans="4:29" x14ac:dyDescent="0.25">
      <c r="D204" s="375"/>
      <c r="E204" s="375"/>
      <c r="F204" s="375"/>
      <c r="G204" s="375"/>
      <c r="H204" s="375"/>
      <c r="I204" s="375"/>
      <c r="J204" s="375"/>
      <c r="K204" s="375"/>
      <c r="L204" s="375"/>
      <c r="M204" s="375"/>
      <c r="N204" s="375"/>
      <c r="O204" s="375"/>
      <c r="P204" s="375"/>
      <c r="Q204" s="375"/>
      <c r="R204" s="375"/>
      <c r="S204" s="375"/>
      <c r="T204" s="375"/>
      <c r="U204" s="375"/>
      <c r="V204" s="375"/>
      <c r="W204" s="375"/>
      <c r="X204" s="375"/>
      <c r="Y204" s="375"/>
      <c r="Z204" s="375"/>
      <c r="AA204" s="375"/>
      <c r="AB204" s="375"/>
      <c r="AC204" s="375"/>
    </row>
    <row r="205" spans="4:29" x14ac:dyDescent="0.25">
      <c r="D205" s="375"/>
      <c r="E205" s="375"/>
      <c r="F205" s="375"/>
      <c r="G205" s="375"/>
      <c r="H205" s="375"/>
      <c r="I205" s="375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  <c r="Y205" s="375"/>
      <c r="Z205" s="375"/>
      <c r="AA205" s="375"/>
      <c r="AB205" s="375"/>
      <c r="AC205" s="375"/>
    </row>
    <row r="206" spans="4:29" x14ac:dyDescent="0.25">
      <c r="D206" s="375"/>
      <c r="E206" s="375"/>
      <c r="F206" s="375"/>
      <c r="G206" s="375"/>
      <c r="H206" s="375"/>
      <c r="I206" s="375"/>
      <c r="J206" s="375"/>
      <c r="K206" s="375"/>
      <c r="L206" s="375"/>
      <c r="M206" s="375"/>
      <c r="N206" s="375"/>
      <c r="O206" s="375"/>
      <c r="P206" s="375"/>
      <c r="Q206" s="375"/>
      <c r="R206" s="375"/>
      <c r="S206" s="375"/>
      <c r="T206" s="375"/>
      <c r="U206" s="375"/>
      <c r="V206" s="375"/>
      <c r="W206" s="375"/>
      <c r="X206" s="375"/>
      <c r="Y206" s="375"/>
      <c r="Z206" s="375"/>
      <c r="AA206" s="375"/>
      <c r="AB206" s="375"/>
      <c r="AC206" s="375"/>
    </row>
    <row r="207" spans="4:29" x14ac:dyDescent="0.25">
      <c r="D207" s="375"/>
      <c r="E207" s="375"/>
      <c r="F207" s="375"/>
      <c r="G207" s="375"/>
      <c r="H207" s="375"/>
      <c r="I207" s="375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  <c r="Y207" s="375"/>
      <c r="Z207" s="375"/>
      <c r="AA207" s="375"/>
      <c r="AB207" s="375"/>
      <c r="AC207" s="375"/>
    </row>
    <row r="208" spans="4:29" x14ac:dyDescent="0.25">
      <c r="D208" s="375"/>
      <c r="E208" s="375"/>
      <c r="F208" s="375"/>
      <c r="G208" s="375"/>
      <c r="H208" s="375"/>
      <c r="I208" s="375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  <c r="Y208" s="375"/>
      <c r="Z208" s="375"/>
      <c r="AA208" s="375"/>
      <c r="AB208" s="375"/>
      <c r="AC208" s="375"/>
    </row>
    <row r="209" spans="4:29" x14ac:dyDescent="0.25">
      <c r="D209" s="375"/>
      <c r="E209" s="375"/>
      <c r="F209" s="375"/>
      <c r="G209" s="375"/>
      <c r="H209" s="375"/>
      <c r="I209" s="375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  <c r="Y209" s="375"/>
      <c r="Z209" s="375"/>
      <c r="AA209" s="375"/>
      <c r="AB209" s="375"/>
      <c r="AC209" s="375"/>
    </row>
    <row r="210" spans="4:29" x14ac:dyDescent="0.25">
      <c r="D210" s="375"/>
      <c r="E210" s="375"/>
      <c r="F210" s="375"/>
      <c r="G210" s="375"/>
      <c r="H210" s="375"/>
      <c r="I210" s="375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  <c r="Y210" s="375"/>
      <c r="Z210" s="375"/>
      <c r="AA210" s="375"/>
      <c r="AB210" s="375"/>
      <c r="AC210" s="375"/>
    </row>
  </sheetData>
  <mergeCells count="54">
    <mergeCell ref="D3:H3"/>
    <mergeCell ref="A6:A7"/>
    <mergeCell ref="B6:B7"/>
    <mergeCell ref="C6:C7"/>
    <mergeCell ref="D6:D7"/>
    <mergeCell ref="E6:E7"/>
    <mergeCell ref="F6:F7"/>
    <mergeCell ref="G6:G7"/>
    <mergeCell ref="H6:H7"/>
    <mergeCell ref="W6:W7"/>
    <mergeCell ref="I6:J6"/>
    <mergeCell ref="K6:L6"/>
    <mergeCell ref="M6:N6"/>
    <mergeCell ref="O6:O7"/>
    <mergeCell ref="P6:P7"/>
    <mergeCell ref="Q6:Q7"/>
    <mergeCell ref="R6:R7"/>
    <mergeCell ref="S6:S7"/>
    <mergeCell ref="T6:T7"/>
    <mergeCell ref="U6:U7"/>
    <mergeCell ref="V6:V7"/>
    <mergeCell ref="AD6:AD7"/>
    <mergeCell ref="D31:R31"/>
    <mergeCell ref="D32:R32"/>
    <mergeCell ref="A34:A35"/>
    <mergeCell ref="B34:B35"/>
    <mergeCell ref="C34:C35"/>
    <mergeCell ref="D34:D35"/>
    <mergeCell ref="E34:E35"/>
    <mergeCell ref="F34:F35"/>
    <mergeCell ref="G34:G35"/>
    <mergeCell ref="X6:X7"/>
    <mergeCell ref="Y6:Y7"/>
    <mergeCell ref="Z6:Z7"/>
    <mergeCell ref="AA6:AA7"/>
    <mergeCell ref="AB6:AB7"/>
    <mergeCell ref="AC6:AC7"/>
    <mergeCell ref="X34:X35"/>
    <mergeCell ref="H34:H35"/>
    <mergeCell ref="K34:L34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Y34:Y35"/>
    <mergeCell ref="AA34:AA35"/>
    <mergeCell ref="AB34:AB35"/>
    <mergeCell ref="AC34:AC35"/>
    <mergeCell ref="AD34:AD35"/>
  </mergeCells>
  <pageMargins left="0.17" right="0.17" top="0.74803149606299213" bottom="0.74803149606299213" header="0.31496062992125984" footer="0.31496062992125984"/>
  <pageSetup paperSize="9" orientation="landscape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X210"/>
  <sheetViews>
    <sheetView zoomScaleNormal="100" workbookViewId="0">
      <selection activeCell="L4" sqref="L4"/>
    </sheetView>
  </sheetViews>
  <sheetFormatPr defaultRowHeight="15" x14ac:dyDescent="0.25"/>
  <cols>
    <col min="1" max="1" width="3.7109375" customWidth="1"/>
    <col min="2" max="2" width="9.5703125" customWidth="1"/>
    <col min="3" max="3" width="16" customWidth="1"/>
    <col min="4" max="4" width="7.5703125" customWidth="1"/>
    <col min="5" max="5" width="7.28515625" customWidth="1"/>
    <col min="6" max="6" width="8.5703125" customWidth="1"/>
    <col min="7" max="7" width="7.42578125" customWidth="1"/>
    <col min="8" max="8" width="9.85546875" customWidth="1"/>
    <col min="9" max="9" width="12" customWidth="1"/>
    <col min="10" max="10" width="11.7109375" customWidth="1"/>
    <col min="11" max="11" width="11.140625" customWidth="1"/>
    <col min="12" max="12" width="13.42578125" customWidth="1"/>
    <col min="13" max="13" width="11.42578125" customWidth="1"/>
    <col min="14" max="18" width="12.28515625" customWidth="1"/>
    <col min="19" max="19" width="13.42578125" customWidth="1"/>
    <col min="20" max="20" width="12.7109375" customWidth="1"/>
    <col min="21" max="21" width="11.7109375" customWidth="1"/>
    <col min="22" max="22" width="10" customWidth="1"/>
    <col min="23" max="23" width="11.140625" customWidth="1"/>
    <col min="24" max="24" width="11" customWidth="1"/>
    <col min="25" max="25" width="10.140625" customWidth="1"/>
    <col min="26" max="26" width="11.140625" customWidth="1"/>
    <col min="27" max="27" width="10.5703125" customWidth="1"/>
    <col min="28" max="28" width="10.85546875" customWidth="1"/>
    <col min="29" max="29" width="10.140625" customWidth="1"/>
    <col min="30" max="30" width="9.42578125" customWidth="1"/>
    <col min="31" max="31" width="11.85546875" customWidth="1"/>
    <col min="32" max="32" width="10.140625" customWidth="1"/>
    <col min="33" max="33" width="11.5703125" customWidth="1"/>
    <col min="34" max="34" width="10.5703125" customWidth="1"/>
    <col min="35" max="35" width="10.42578125" customWidth="1"/>
    <col min="36" max="36" width="10.28515625" customWidth="1"/>
    <col min="37" max="37" width="9.85546875" customWidth="1"/>
    <col min="38" max="42" width="9.140625" customWidth="1"/>
    <col min="43" max="43" width="10.5703125" customWidth="1"/>
    <col min="44" max="44" width="11.28515625" customWidth="1"/>
    <col min="45" max="46" width="9.140625" customWidth="1"/>
    <col min="47" max="47" width="10.5703125" customWidth="1"/>
    <col min="48" max="48" width="12" customWidth="1"/>
    <col min="49" max="49" width="10.5703125" customWidth="1"/>
    <col min="50" max="50" width="10.42578125" customWidth="1"/>
    <col min="51" max="53" width="9.140625" customWidth="1"/>
  </cols>
  <sheetData>
    <row r="2" spans="1:50" ht="15" customHeight="1" x14ac:dyDescent="0.3">
      <c r="A2" s="176"/>
      <c r="B2" s="176"/>
      <c r="C2" s="176"/>
      <c r="D2" s="84" t="s">
        <v>759</v>
      </c>
      <c r="E2" s="84"/>
      <c r="F2" s="84"/>
      <c r="G2" s="84"/>
      <c r="H2" s="84"/>
      <c r="I2" s="84"/>
      <c r="J2" s="84"/>
      <c r="K2" s="84"/>
      <c r="L2" s="84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</row>
    <row r="3" spans="1:50" ht="18.75" customHeight="1" x14ac:dyDescent="0.3">
      <c r="A3" s="176"/>
      <c r="B3" s="176"/>
      <c r="C3" s="176"/>
      <c r="D3" s="1993" t="s">
        <v>655</v>
      </c>
      <c r="E3" s="1994"/>
      <c r="F3" s="1994"/>
      <c r="G3" s="1994"/>
      <c r="H3" s="1994"/>
      <c r="I3" s="1314"/>
      <c r="J3" s="1314"/>
      <c r="K3" s="1314"/>
      <c r="L3" s="1314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</row>
    <row r="4" spans="1:50" ht="15.75" customHeight="1" x14ac:dyDescent="0.3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64"/>
      <c r="AH4" s="164"/>
      <c r="AI4" s="164"/>
      <c r="AJ4" s="176"/>
      <c r="AK4" s="176"/>
      <c r="AL4" s="176"/>
      <c r="AM4" s="176"/>
    </row>
    <row r="5" spans="1:50" ht="15.75" customHeight="1" x14ac:dyDescent="0.3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64"/>
      <c r="AH5" s="164"/>
      <c r="AI5" s="164"/>
      <c r="AJ5" s="176"/>
      <c r="AK5" s="176"/>
      <c r="AL5" s="176"/>
      <c r="AM5" s="176"/>
    </row>
    <row r="6" spans="1:50" ht="30" customHeight="1" x14ac:dyDescent="0.25">
      <c r="A6" s="2083" t="s">
        <v>0</v>
      </c>
      <c r="B6" s="2014"/>
      <c r="C6" s="2083" t="s">
        <v>184</v>
      </c>
      <c r="D6" s="2083" t="s">
        <v>54</v>
      </c>
      <c r="E6" s="2014" t="s">
        <v>55</v>
      </c>
      <c r="F6" s="2083" t="s">
        <v>56</v>
      </c>
      <c r="G6" s="2083" t="s">
        <v>57</v>
      </c>
      <c r="H6" s="2014" t="s">
        <v>6</v>
      </c>
      <c r="I6" s="1991" t="s">
        <v>656</v>
      </c>
      <c r="J6" s="1992"/>
      <c r="K6" s="1989" t="s">
        <v>658</v>
      </c>
      <c r="L6" s="1990"/>
      <c r="M6" s="2017" t="s">
        <v>310</v>
      </c>
      <c r="N6" s="2017"/>
      <c r="O6" s="1991" t="s">
        <v>593</v>
      </c>
      <c r="P6" s="1992"/>
      <c r="Q6" s="1991" t="s">
        <v>284</v>
      </c>
      <c r="R6" s="1992"/>
      <c r="S6" s="2017" t="s">
        <v>745</v>
      </c>
      <c r="T6" s="2017"/>
      <c r="U6" s="1997" t="s">
        <v>746</v>
      </c>
      <c r="V6" s="2026" t="s">
        <v>332</v>
      </c>
      <c r="W6" s="1997" t="s">
        <v>333</v>
      </c>
      <c r="X6" s="1997" t="s">
        <v>337</v>
      </c>
      <c r="Y6" s="1997" t="s">
        <v>10</v>
      </c>
      <c r="Z6" s="1997" t="s">
        <v>578</v>
      </c>
      <c r="AA6" s="2172" t="s">
        <v>503</v>
      </c>
      <c r="AB6" s="2026" t="s">
        <v>316</v>
      </c>
      <c r="AC6" s="2026" t="s">
        <v>369</v>
      </c>
      <c r="AD6" s="1997" t="s">
        <v>766</v>
      </c>
      <c r="AE6" s="1997" t="s">
        <v>321</v>
      </c>
      <c r="AF6" s="2170" t="s">
        <v>554</v>
      </c>
      <c r="AG6" s="2022" t="s">
        <v>688</v>
      </c>
      <c r="AH6" s="1997" t="s">
        <v>689</v>
      </c>
      <c r="AI6" s="1997" t="s">
        <v>606</v>
      </c>
      <c r="AJ6" s="1997" t="s">
        <v>375</v>
      </c>
      <c r="AK6" s="1997" t="s">
        <v>372</v>
      </c>
      <c r="AL6" s="1997" t="s">
        <v>314</v>
      </c>
      <c r="AM6" s="1997" t="s">
        <v>616</v>
      </c>
      <c r="AN6" s="2173" t="s">
        <v>691</v>
      </c>
      <c r="AO6" s="1987" t="s">
        <v>693</v>
      </c>
      <c r="AP6" s="1987" t="s">
        <v>656</v>
      </c>
      <c r="AQ6" s="1987" t="s">
        <v>694</v>
      </c>
      <c r="AR6" s="1987" t="s">
        <v>735</v>
      </c>
      <c r="AS6" s="2005" t="s">
        <v>724</v>
      </c>
      <c r="AT6" s="2001" t="s">
        <v>182</v>
      </c>
      <c r="AU6" s="2001" t="s">
        <v>736</v>
      </c>
      <c r="AV6" s="2001" t="s">
        <v>725</v>
      </c>
      <c r="AW6" s="1999" t="s">
        <v>715</v>
      </c>
      <c r="AX6" s="1999" t="s">
        <v>716</v>
      </c>
    </row>
    <row r="7" spans="1:50" ht="60" customHeight="1" x14ac:dyDescent="0.25">
      <c r="A7" s="2083"/>
      <c r="B7" s="2015"/>
      <c r="C7" s="2083"/>
      <c r="D7" s="2083"/>
      <c r="E7" s="2015"/>
      <c r="F7" s="2083"/>
      <c r="G7" s="2083"/>
      <c r="H7" s="2015"/>
      <c r="I7" s="150" t="s">
        <v>15</v>
      </c>
      <c r="J7" s="1316" t="s">
        <v>16</v>
      </c>
      <c r="K7" s="150" t="s">
        <v>15</v>
      </c>
      <c r="L7" s="1316" t="s">
        <v>16</v>
      </c>
      <c r="M7" s="51" t="s">
        <v>15</v>
      </c>
      <c r="N7" s="1315" t="s">
        <v>16</v>
      </c>
      <c r="O7" s="150" t="s">
        <v>15</v>
      </c>
      <c r="P7" s="1359" t="s">
        <v>16</v>
      </c>
      <c r="Q7" s="150" t="s">
        <v>15</v>
      </c>
      <c r="R7" s="1543" t="s">
        <v>16</v>
      </c>
      <c r="S7" s="150" t="s">
        <v>15</v>
      </c>
      <c r="T7" s="1316" t="s">
        <v>16</v>
      </c>
      <c r="U7" s="1998"/>
      <c r="V7" s="2026"/>
      <c r="W7" s="1998"/>
      <c r="X7" s="1998"/>
      <c r="Y7" s="2171"/>
      <c r="Z7" s="1998"/>
      <c r="AA7" s="2172"/>
      <c r="AB7" s="2026"/>
      <c r="AC7" s="2169"/>
      <c r="AD7" s="1998"/>
      <c r="AE7" s="1998"/>
      <c r="AF7" s="2171"/>
      <c r="AG7" s="2023"/>
      <c r="AH7" s="1998"/>
      <c r="AI7" s="1998"/>
      <c r="AJ7" s="1998"/>
      <c r="AK7" s="1998"/>
      <c r="AL7" s="1998"/>
      <c r="AM7" s="1998"/>
      <c r="AN7" s="2174"/>
      <c r="AO7" s="1988"/>
      <c r="AP7" s="1988"/>
      <c r="AQ7" s="1988"/>
      <c r="AR7" s="1988"/>
      <c r="AS7" s="2006"/>
      <c r="AT7" s="2002"/>
      <c r="AU7" s="2002"/>
      <c r="AV7" s="2002"/>
      <c r="AW7" s="2000"/>
      <c r="AX7" s="2000"/>
    </row>
    <row r="8" spans="1:50" x14ac:dyDescent="0.25">
      <c r="A8" s="1582">
        <v>1</v>
      </c>
      <c r="B8" s="584">
        <v>42569</v>
      </c>
      <c r="C8" s="52" t="s">
        <v>126</v>
      </c>
      <c r="D8" s="702">
        <v>1965</v>
      </c>
      <c r="E8" s="702">
        <v>2</v>
      </c>
      <c r="F8" s="702">
        <v>16</v>
      </c>
      <c r="G8" s="349">
        <v>35</v>
      </c>
      <c r="H8" s="840">
        <v>653.4</v>
      </c>
      <c r="I8" s="840">
        <v>628.02</v>
      </c>
      <c r="J8" s="840">
        <v>631.91999999999996</v>
      </c>
      <c r="K8" s="840">
        <v>6986.94</v>
      </c>
      <c r="L8" s="840">
        <v>6611.01</v>
      </c>
      <c r="M8" s="736">
        <v>58466.13</v>
      </c>
      <c r="N8" s="736">
        <v>44696.1</v>
      </c>
      <c r="O8" s="736">
        <v>1788.14</v>
      </c>
      <c r="P8" s="736">
        <v>1227.93</v>
      </c>
      <c r="Q8" s="736">
        <v>23551.200000000001</v>
      </c>
      <c r="R8" s="736">
        <v>18709.86</v>
      </c>
      <c r="S8" s="736">
        <f>I8+K8+M8+O8+Q8</f>
        <v>91420.43</v>
      </c>
      <c r="T8" s="736">
        <f>J8+L8+N8+P8+R8</f>
        <v>71876.820000000007</v>
      </c>
      <c r="U8" s="736">
        <f>AG8+AN8+AO8+AP8+AQ8</f>
        <v>53000.612847237426</v>
      </c>
      <c r="V8" s="736"/>
      <c r="W8" s="736"/>
      <c r="X8" s="736">
        <v>1186.78</v>
      </c>
      <c r="Y8" s="736"/>
      <c r="Z8" s="736">
        <f>3175.98/6252*H8</f>
        <v>331.92343761996159</v>
      </c>
      <c r="AA8" s="736">
        <f>15087.26/6252*H8</f>
        <v>1576.7779404990404</v>
      </c>
      <c r="AB8" s="736">
        <f>153526.16/6252*H8</f>
        <v>16045.104437619962</v>
      </c>
      <c r="AC8" s="736">
        <f>25914.89/6252*H8</f>
        <v>2708.3795786948176</v>
      </c>
      <c r="AD8" s="736">
        <f>3698.45/6252*H8</f>
        <v>386.52706813819572</v>
      </c>
      <c r="AE8" s="736">
        <f>125768.45/4820.1*H8</f>
        <v>17048.838246094478</v>
      </c>
      <c r="AF8" s="736">
        <f>AE8*0.202</f>
        <v>3443.8653257110846</v>
      </c>
      <c r="AG8" s="736">
        <f>AF8+AE8+AD8+AC8+AB8+AA8+Z8+Y8+X8+W8+V8</f>
        <v>42728.196034377543</v>
      </c>
      <c r="AH8" s="736"/>
      <c r="AI8" s="391"/>
      <c r="AJ8" s="391"/>
      <c r="AK8" s="391"/>
      <c r="AL8" s="1544"/>
      <c r="AM8" s="1544"/>
      <c r="AN8" s="47">
        <f>AM8+AL8+AK8+AJ8+AI8+AH8</f>
        <v>0</v>
      </c>
      <c r="AO8" s="47"/>
      <c r="AP8" s="47">
        <f>7902.72/6252*H8</f>
        <v>825.91766602687142</v>
      </c>
      <c r="AQ8" s="47">
        <f>90387.99/6252*H8</f>
        <v>9446.4991468330136</v>
      </c>
      <c r="AR8" s="47">
        <f>S8-U8</f>
        <v>38419.817152762567</v>
      </c>
      <c r="AS8" s="47">
        <f>T8/S8*100</f>
        <v>78.622272942710964</v>
      </c>
      <c r="AT8" s="47">
        <f>U8/H8/9</f>
        <v>9.0127899954490065</v>
      </c>
      <c r="AU8" s="47">
        <f>S8-T8</f>
        <v>19543.609999999986</v>
      </c>
      <c r="AV8" s="47">
        <f>Q8-R8</f>
        <v>4841.34</v>
      </c>
      <c r="AW8" s="47">
        <v>11.89</v>
      </c>
      <c r="AX8" s="47">
        <v>4</v>
      </c>
    </row>
    <row r="9" spans="1:50" x14ac:dyDescent="0.25">
      <c r="A9" s="16">
        <v>2</v>
      </c>
      <c r="B9" s="584">
        <v>42569</v>
      </c>
      <c r="C9" s="43" t="s">
        <v>127</v>
      </c>
      <c r="D9" s="737">
        <v>1965</v>
      </c>
      <c r="E9" s="737">
        <v>2</v>
      </c>
      <c r="F9" s="737">
        <v>16</v>
      </c>
      <c r="G9" s="708">
        <v>31</v>
      </c>
      <c r="H9" s="841">
        <v>658.2</v>
      </c>
      <c r="I9" s="841">
        <v>631.79999999999995</v>
      </c>
      <c r="J9" s="841">
        <v>583.04</v>
      </c>
      <c r="K9" s="841">
        <v>7029.54</v>
      </c>
      <c r="L9" s="841">
        <v>6231.55</v>
      </c>
      <c r="M9" s="736">
        <v>58823.58</v>
      </c>
      <c r="N9" s="736">
        <v>39997.5</v>
      </c>
      <c r="O9" s="736">
        <v>1624.92</v>
      </c>
      <c r="P9" s="736">
        <v>1000.19</v>
      </c>
      <c r="Q9" s="736">
        <v>23695.200000000001</v>
      </c>
      <c r="R9" s="736">
        <v>16918.97</v>
      </c>
      <c r="S9" s="736">
        <f t="shared" ref="S9:S26" si="0">I9+K9+M9+O9+Q9</f>
        <v>91805.04</v>
      </c>
      <c r="T9" s="736">
        <f t="shared" ref="T9:T26" si="1">J9+L9+N9+P9+R9</f>
        <v>64731.25</v>
      </c>
      <c r="U9" s="736">
        <f t="shared" ref="U9:U26" si="2">AG9+AN9+AO9+AP9+AQ9</f>
        <v>53582.707064664341</v>
      </c>
      <c r="V9" s="736"/>
      <c r="W9" s="736"/>
      <c r="X9" s="736">
        <v>1388.24</v>
      </c>
      <c r="Y9" s="736"/>
      <c r="Z9" s="736">
        <f t="shared" ref="Z9:Z26" si="3">3175.98/6252*H9</f>
        <v>334.36180998080613</v>
      </c>
      <c r="AA9" s="736">
        <f t="shared" ref="AA9:AA26" si="4">15087.26/6252*H9</f>
        <v>1588.3612495201537</v>
      </c>
      <c r="AB9" s="736">
        <f t="shared" ref="AB9:AB26" si="5">153526.16/6252*H9</f>
        <v>16162.974809980809</v>
      </c>
      <c r="AC9" s="736">
        <f t="shared" ref="AC9:AC26" si="6">25914.89/6252*H9</f>
        <v>2728.2758474088296</v>
      </c>
      <c r="AD9" s="736">
        <f t="shared" ref="AD9:AD26" si="7">3698.45/6252*H9</f>
        <v>389.36656909788866</v>
      </c>
      <c r="AE9" s="736">
        <f t="shared" ref="AE9:AE15" si="8">125768.45/4820.1*H9</f>
        <v>17174.082236883052</v>
      </c>
      <c r="AF9" s="736">
        <f t="shared" ref="AF9:AF15" si="9">AE9*0.202</f>
        <v>3469.1646118503768</v>
      </c>
      <c r="AG9" s="736">
        <f t="shared" ref="AG9:AG26" si="10">AF9+AE9+AD9+AC9+AB9+AA9+Z9+Y9+X9+W9+V9</f>
        <v>43234.82713472192</v>
      </c>
      <c r="AH9" s="736"/>
      <c r="AI9" s="391"/>
      <c r="AJ9" s="391"/>
      <c r="AK9" s="391"/>
      <c r="AL9" s="1544"/>
      <c r="AM9" s="1544"/>
      <c r="AN9" s="47">
        <f t="shared" ref="AN9:AN26" si="11">AM9+AL9+AK9+AJ9+AI9+AH9</f>
        <v>0</v>
      </c>
      <c r="AO9" s="47"/>
      <c r="AP9" s="47">
        <f t="shared" ref="AP9:AP26" si="12">7902.72/6252*H9</f>
        <v>831.98501343570069</v>
      </c>
      <c r="AQ9" s="47">
        <f t="shared" ref="AQ9:AQ26" si="13">90387.99/6252*H9</f>
        <v>9515.8949165067188</v>
      </c>
      <c r="AR9" s="47">
        <f t="shared" ref="AR9:AR26" si="14">S9-U9</f>
        <v>38222.332935335653</v>
      </c>
      <c r="AS9" s="47">
        <f t="shared" ref="AS9:AS27" si="15">T9/S9*100</f>
        <v>70.509473118251464</v>
      </c>
      <c r="AT9" s="47">
        <f t="shared" ref="AT9:AT26" si="16">U9/H9/9</f>
        <v>9.045326828161711</v>
      </c>
      <c r="AU9" s="47">
        <f t="shared" ref="AU9:AU26" si="17">S9-T9</f>
        <v>27073.789999999994</v>
      </c>
      <c r="AV9" s="47">
        <f t="shared" ref="AV9:AV26" si="18">Q9-R9</f>
        <v>6776.23</v>
      </c>
      <c r="AW9" s="47">
        <v>11.89</v>
      </c>
      <c r="AX9" s="47">
        <v>4</v>
      </c>
    </row>
    <row r="10" spans="1:50" x14ac:dyDescent="0.25">
      <c r="A10" s="16">
        <v>3</v>
      </c>
      <c r="B10" s="584">
        <v>42569</v>
      </c>
      <c r="C10" s="43" t="s">
        <v>128</v>
      </c>
      <c r="D10" s="737">
        <v>1965</v>
      </c>
      <c r="E10" s="737">
        <v>2</v>
      </c>
      <c r="F10" s="737">
        <v>16</v>
      </c>
      <c r="G10" s="349">
        <v>36</v>
      </c>
      <c r="H10" s="841">
        <v>663.6</v>
      </c>
      <c r="I10" s="841">
        <v>637.08000000000004</v>
      </c>
      <c r="J10" s="841">
        <v>624.94000000000005</v>
      </c>
      <c r="K10" s="841">
        <v>7087.32</v>
      </c>
      <c r="L10" s="841">
        <v>6780.08</v>
      </c>
      <c r="M10" s="736">
        <v>59306.400000000001</v>
      </c>
      <c r="N10" s="736">
        <v>44778.8</v>
      </c>
      <c r="O10" s="736">
        <v>1904.71</v>
      </c>
      <c r="P10" s="736">
        <v>1350.14</v>
      </c>
      <c r="Q10" s="736">
        <v>23889.599999999999</v>
      </c>
      <c r="R10" s="736">
        <v>18831.55</v>
      </c>
      <c r="S10" s="736">
        <f t="shared" si="0"/>
        <v>92825.110000000015</v>
      </c>
      <c r="T10" s="736">
        <f t="shared" si="1"/>
        <v>72365.510000000009</v>
      </c>
      <c r="U10" s="736">
        <f t="shared" si="2"/>
        <v>56830.170559269594</v>
      </c>
      <c r="V10" s="736"/>
      <c r="W10" s="736"/>
      <c r="X10" s="736">
        <v>4207.49</v>
      </c>
      <c r="Y10" s="736"/>
      <c r="Z10" s="736">
        <f t="shared" si="3"/>
        <v>337.10497888675621</v>
      </c>
      <c r="AA10" s="736">
        <f t="shared" si="4"/>
        <v>1601.3924721689061</v>
      </c>
      <c r="AB10" s="736">
        <f t="shared" si="5"/>
        <v>16295.578978886759</v>
      </c>
      <c r="AC10" s="736">
        <f t="shared" si="6"/>
        <v>2750.6591497120926</v>
      </c>
      <c r="AD10" s="736">
        <f t="shared" si="7"/>
        <v>392.56100767754316</v>
      </c>
      <c r="AE10" s="736">
        <f t="shared" si="8"/>
        <v>17314.981726520196</v>
      </c>
      <c r="AF10" s="736">
        <f t="shared" si="9"/>
        <v>3497.6263087570801</v>
      </c>
      <c r="AG10" s="736">
        <f t="shared" si="10"/>
        <v>46397.394622609325</v>
      </c>
      <c r="AH10" s="736"/>
      <c r="AI10" s="391"/>
      <c r="AJ10" s="391"/>
      <c r="AK10" s="391"/>
      <c r="AL10" s="1544"/>
      <c r="AM10" s="1544"/>
      <c r="AN10" s="47">
        <f t="shared" si="11"/>
        <v>0</v>
      </c>
      <c r="AO10" s="47"/>
      <c r="AP10" s="47">
        <f t="shared" si="12"/>
        <v>838.81077927063347</v>
      </c>
      <c r="AQ10" s="47">
        <f t="shared" si="13"/>
        <v>9593.9651573896372</v>
      </c>
      <c r="AR10" s="47">
        <f t="shared" si="14"/>
        <v>35994.939440730421</v>
      </c>
      <c r="AS10" s="47">
        <f t="shared" si="15"/>
        <v>77.95898114206382</v>
      </c>
      <c r="AT10" s="47">
        <f t="shared" si="16"/>
        <v>9.5154662379059651</v>
      </c>
      <c r="AU10" s="47">
        <f t="shared" si="17"/>
        <v>20459.600000000006</v>
      </c>
      <c r="AV10" s="47">
        <f t="shared" si="18"/>
        <v>5058.0499999999993</v>
      </c>
      <c r="AW10" s="47">
        <v>11.89</v>
      </c>
      <c r="AX10" s="47">
        <v>4</v>
      </c>
    </row>
    <row r="11" spans="1:50" x14ac:dyDescent="0.25">
      <c r="A11" s="16">
        <v>4</v>
      </c>
      <c r="B11" s="584">
        <v>42569</v>
      </c>
      <c r="C11" s="43" t="s">
        <v>129</v>
      </c>
      <c r="D11" s="737">
        <v>1965</v>
      </c>
      <c r="E11" s="737">
        <v>2</v>
      </c>
      <c r="F11" s="737">
        <v>16</v>
      </c>
      <c r="G11" s="708">
        <v>39</v>
      </c>
      <c r="H11" s="841">
        <v>654.70000000000005</v>
      </c>
      <c r="I11" s="841">
        <v>628.5</v>
      </c>
      <c r="J11" s="841">
        <v>570.07000000000005</v>
      </c>
      <c r="K11" s="841">
        <v>6992.16</v>
      </c>
      <c r="L11" s="841">
        <v>6122.84</v>
      </c>
      <c r="M11" s="736">
        <v>58510.89</v>
      </c>
      <c r="N11" s="736">
        <v>40206.730000000003</v>
      </c>
      <c r="O11" s="736">
        <v>1979.91</v>
      </c>
      <c r="P11" s="736">
        <v>1299.22</v>
      </c>
      <c r="Q11" s="736">
        <v>23569.200000000001</v>
      </c>
      <c r="R11" s="736">
        <v>16928.37</v>
      </c>
      <c r="S11" s="736">
        <f t="shared" si="0"/>
        <v>91680.66</v>
      </c>
      <c r="T11" s="736">
        <f t="shared" si="1"/>
        <v>65127.229999999996</v>
      </c>
      <c r="U11" s="736">
        <f t="shared" si="2"/>
        <v>55999.041281123878</v>
      </c>
      <c r="V11" s="736"/>
      <c r="W11" s="736"/>
      <c r="X11" s="736">
        <v>4082.12</v>
      </c>
      <c r="Y11" s="736"/>
      <c r="Z11" s="736">
        <f t="shared" si="3"/>
        <v>332.58383013435702</v>
      </c>
      <c r="AA11" s="736">
        <f t="shared" si="4"/>
        <v>1579.9150866922587</v>
      </c>
      <c r="AB11" s="736">
        <f t="shared" si="5"/>
        <v>16077.027663467692</v>
      </c>
      <c r="AC11" s="736">
        <f t="shared" si="6"/>
        <v>2713.7681514715296</v>
      </c>
      <c r="AD11" s="736">
        <f t="shared" si="7"/>
        <v>387.2960996481126</v>
      </c>
      <c r="AE11" s="736">
        <f t="shared" si="8"/>
        <v>17082.758493599718</v>
      </c>
      <c r="AF11" s="736">
        <f t="shared" si="9"/>
        <v>3450.7172157071432</v>
      </c>
      <c r="AG11" s="736">
        <f t="shared" si="10"/>
        <v>45706.18654072081</v>
      </c>
      <c r="AH11" s="736"/>
      <c r="AI11" s="391"/>
      <c r="AJ11" s="391"/>
      <c r="AK11" s="391"/>
      <c r="AL11" s="1544"/>
      <c r="AM11" s="1544"/>
      <c r="AN11" s="47">
        <f t="shared" si="11"/>
        <v>0</v>
      </c>
      <c r="AO11" s="47"/>
      <c r="AP11" s="47">
        <f t="shared" si="12"/>
        <v>827.56090595009607</v>
      </c>
      <c r="AQ11" s="47">
        <f t="shared" si="13"/>
        <v>9465.2938344529775</v>
      </c>
      <c r="AR11" s="47">
        <f t="shared" si="14"/>
        <v>35681.618718876125</v>
      </c>
      <c r="AS11" s="47">
        <f t="shared" si="15"/>
        <v>71.037043145195497</v>
      </c>
      <c r="AT11" s="47">
        <f t="shared" si="16"/>
        <v>9.5037661492327068</v>
      </c>
      <c r="AU11" s="47">
        <f t="shared" si="17"/>
        <v>26553.430000000008</v>
      </c>
      <c r="AV11" s="47">
        <f t="shared" si="18"/>
        <v>6640.8300000000017</v>
      </c>
      <c r="AW11" s="47">
        <v>11.89</v>
      </c>
      <c r="AX11" s="47">
        <v>4</v>
      </c>
    </row>
    <row r="12" spans="1:50" x14ac:dyDescent="0.25">
      <c r="A12" s="16">
        <v>5</v>
      </c>
      <c r="B12" s="584">
        <v>42569</v>
      </c>
      <c r="C12" s="43" t="s">
        <v>130</v>
      </c>
      <c r="D12" s="737">
        <v>1995</v>
      </c>
      <c r="E12" s="737">
        <v>2</v>
      </c>
      <c r="F12" s="737">
        <v>8</v>
      </c>
      <c r="G12" s="349">
        <v>23</v>
      </c>
      <c r="H12" s="841">
        <v>548.70000000000005</v>
      </c>
      <c r="I12" s="841">
        <v>526.74</v>
      </c>
      <c r="J12" s="841">
        <v>611.91999999999996</v>
      </c>
      <c r="K12" s="841">
        <v>5860.2</v>
      </c>
      <c r="L12" s="841">
        <v>6796.45</v>
      </c>
      <c r="M12" s="736">
        <v>53926.29</v>
      </c>
      <c r="N12" s="736">
        <v>47285.27</v>
      </c>
      <c r="O12" s="736">
        <v>2185.16</v>
      </c>
      <c r="P12" s="736">
        <v>2022.97</v>
      </c>
      <c r="Q12" s="736">
        <v>19753.2</v>
      </c>
      <c r="R12" s="736">
        <v>18171</v>
      </c>
      <c r="S12" s="736">
        <f t="shared" si="0"/>
        <v>82251.59</v>
      </c>
      <c r="T12" s="736">
        <f t="shared" si="1"/>
        <v>74887.61</v>
      </c>
      <c r="U12" s="736">
        <f t="shared" si="2"/>
        <v>45581.868979613064</v>
      </c>
      <c r="V12" s="736"/>
      <c r="W12" s="736"/>
      <c r="X12" s="736">
        <v>1003.45</v>
      </c>
      <c r="Y12" s="736"/>
      <c r="Z12" s="736">
        <f t="shared" si="3"/>
        <v>278.73644049904033</v>
      </c>
      <c r="AA12" s="736">
        <f t="shared" si="4"/>
        <v>1324.1170124760079</v>
      </c>
      <c r="AB12" s="736">
        <f t="shared" si="5"/>
        <v>13474.056940499042</v>
      </c>
      <c r="AC12" s="736">
        <f t="shared" si="6"/>
        <v>2274.3922173704418</v>
      </c>
      <c r="AD12" s="736">
        <f t="shared" si="7"/>
        <v>324.59045345489443</v>
      </c>
      <c r="AE12" s="736">
        <f t="shared" si="8"/>
        <v>14316.953697018735</v>
      </c>
      <c r="AF12" s="736">
        <f t="shared" si="9"/>
        <v>2892.0246467977845</v>
      </c>
      <c r="AG12" s="736">
        <f t="shared" si="10"/>
        <v>35888.321408115939</v>
      </c>
      <c r="AH12" s="736">
        <v>1067.17</v>
      </c>
      <c r="AI12" s="391"/>
      <c r="AJ12" s="391"/>
      <c r="AK12" s="391"/>
      <c r="AL12" s="1544"/>
      <c r="AM12" s="1544"/>
      <c r="AN12" s="47">
        <f t="shared" si="11"/>
        <v>1067.17</v>
      </c>
      <c r="AO12" s="47"/>
      <c r="AP12" s="47">
        <f t="shared" si="12"/>
        <v>693.57365067178512</v>
      </c>
      <c r="AQ12" s="47">
        <f t="shared" si="13"/>
        <v>7932.8039208253376</v>
      </c>
      <c r="AR12" s="47">
        <f t="shared" si="14"/>
        <v>36669.721020386933</v>
      </c>
      <c r="AS12" s="47">
        <f t="shared" si="15"/>
        <v>91.047005899825166</v>
      </c>
      <c r="AT12" s="47">
        <f t="shared" si="16"/>
        <v>9.2302753942881282</v>
      </c>
      <c r="AU12" s="47">
        <f t="shared" si="17"/>
        <v>7363.9799999999959</v>
      </c>
      <c r="AV12" s="47">
        <f t="shared" si="18"/>
        <v>1582.2000000000007</v>
      </c>
      <c r="AW12" s="47">
        <v>12.88</v>
      </c>
      <c r="AX12" s="47">
        <v>4</v>
      </c>
    </row>
    <row r="13" spans="1:50" x14ac:dyDescent="0.25">
      <c r="A13" s="16">
        <v>6</v>
      </c>
      <c r="B13" s="584">
        <v>42569</v>
      </c>
      <c r="C13" s="43" t="s">
        <v>131</v>
      </c>
      <c r="D13" s="737">
        <v>1995</v>
      </c>
      <c r="E13" s="737">
        <v>2</v>
      </c>
      <c r="F13" s="737">
        <v>8</v>
      </c>
      <c r="G13" s="708">
        <v>27</v>
      </c>
      <c r="H13" s="841">
        <v>548.6</v>
      </c>
      <c r="I13" s="841">
        <v>526.67999999999995</v>
      </c>
      <c r="J13" s="841">
        <v>559.44000000000005</v>
      </c>
      <c r="K13" s="841">
        <v>5859.12</v>
      </c>
      <c r="L13" s="841">
        <v>6223.46</v>
      </c>
      <c r="M13" s="736">
        <v>53916.42</v>
      </c>
      <c r="N13" s="736">
        <v>46957.66</v>
      </c>
      <c r="O13" s="736">
        <v>2425.39</v>
      </c>
      <c r="P13" s="736">
        <v>1998.7</v>
      </c>
      <c r="Q13" s="736">
        <v>19749.599999999999</v>
      </c>
      <c r="R13" s="736">
        <v>17775.38</v>
      </c>
      <c r="S13" s="736">
        <f t="shared" si="0"/>
        <v>82477.209999999992</v>
      </c>
      <c r="T13" s="736">
        <f t="shared" si="1"/>
        <v>73514.64</v>
      </c>
      <c r="U13" s="736">
        <f t="shared" si="2"/>
        <v>48625.049100083328</v>
      </c>
      <c r="V13" s="736"/>
      <c r="W13" s="736"/>
      <c r="X13" s="736">
        <v>3327.24</v>
      </c>
      <c r="Y13" s="736"/>
      <c r="Z13" s="736">
        <f t="shared" si="3"/>
        <v>278.68564107485605</v>
      </c>
      <c r="AA13" s="736">
        <f t="shared" si="4"/>
        <v>1323.8756935380679</v>
      </c>
      <c r="AB13" s="736">
        <f t="shared" si="5"/>
        <v>13471.601307741525</v>
      </c>
      <c r="AC13" s="736">
        <f t="shared" si="6"/>
        <v>2273.9777117722333</v>
      </c>
      <c r="AD13" s="736">
        <f t="shared" si="7"/>
        <v>324.53129718490078</v>
      </c>
      <c r="AE13" s="736">
        <f t="shared" si="8"/>
        <v>14314.344447210638</v>
      </c>
      <c r="AF13" s="736">
        <f t="shared" si="9"/>
        <v>2891.4975783365489</v>
      </c>
      <c r="AG13" s="736">
        <f t="shared" si="10"/>
        <v>38205.753676858767</v>
      </c>
      <c r="AH13" s="736">
        <v>1794.49</v>
      </c>
      <c r="AI13" s="391"/>
      <c r="AJ13" s="391"/>
      <c r="AK13" s="391"/>
      <c r="AL13" s="1544"/>
      <c r="AM13" s="1544"/>
      <c r="AN13" s="47">
        <f t="shared" si="11"/>
        <v>1794.49</v>
      </c>
      <c r="AO13" s="47"/>
      <c r="AP13" s="47">
        <f t="shared" si="12"/>
        <v>693.44724760076781</v>
      </c>
      <c r="AQ13" s="47">
        <f t="shared" si="13"/>
        <v>7931.3581756238018</v>
      </c>
      <c r="AR13" s="47">
        <f t="shared" si="14"/>
        <v>33852.160899916664</v>
      </c>
      <c r="AS13" s="47">
        <f t="shared" si="15"/>
        <v>89.133276937956566</v>
      </c>
      <c r="AT13" s="47">
        <f t="shared" si="16"/>
        <v>9.8483106696000586</v>
      </c>
      <c r="AU13" s="47">
        <f t="shared" si="17"/>
        <v>8962.5699999999924</v>
      </c>
      <c r="AV13" s="47">
        <f t="shared" si="18"/>
        <v>1974.2199999999975</v>
      </c>
      <c r="AW13" s="47">
        <v>12.88</v>
      </c>
      <c r="AX13" s="47">
        <v>4</v>
      </c>
    </row>
    <row r="14" spans="1:50" x14ac:dyDescent="0.25">
      <c r="A14" s="16">
        <v>7</v>
      </c>
      <c r="B14" s="584">
        <v>42569</v>
      </c>
      <c r="C14" s="43" t="s">
        <v>132</v>
      </c>
      <c r="D14" s="737">
        <v>1995</v>
      </c>
      <c r="E14" s="737">
        <v>2</v>
      </c>
      <c r="F14" s="737">
        <v>8</v>
      </c>
      <c r="G14" s="349">
        <v>30</v>
      </c>
      <c r="H14" s="841">
        <v>544.20000000000005</v>
      </c>
      <c r="I14" s="841">
        <v>522.41999999999996</v>
      </c>
      <c r="J14" s="841">
        <v>374.96</v>
      </c>
      <c r="K14" s="841">
        <v>5812.08</v>
      </c>
      <c r="L14" s="841">
        <v>4035.82</v>
      </c>
      <c r="M14" s="736">
        <v>53484</v>
      </c>
      <c r="N14" s="736">
        <v>27587.67</v>
      </c>
      <c r="O14" s="736">
        <v>2475.3000000000002</v>
      </c>
      <c r="P14" s="736">
        <v>1412.33</v>
      </c>
      <c r="Q14" s="736">
        <v>19591.2</v>
      </c>
      <c r="R14" s="736">
        <v>10637.73</v>
      </c>
      <c r="S14" s="736">
        <f t="shared" si="0"/>
        <v>81885</v>
      </c>
      <c r="T14" s="736">
        <f t="shared" si="1"/>
        <v>44048.509999999995</v>
      </c>
      <c r="U14" s="736">
        <f t="shared" si="2"/>
        <v>47352.684400775353</v>
      </c>
      <c r="V14" s="736"/>
      <c r="W14" s="736"/>
      <c r="X14" s="736">
        <v>2165.94</v>
      </c>
      <c r="Y14" s="736">
        <v>836</v>
      </c>
      <c r="Z14" s="736">
        <f t="shared" si="3"/>
        <v>276.45046641074856</v>
      </c>
      <c r="AA14" s="736">
        <f t="shared" si="4"/>
        <v>1313.2576602687143</v>
      </c>
      <c r="AB14" s="736">
        <f t="shared" si="5"/>
        <v>13363.553466410751</v>
      </c>
      <c r="AC14" s="736">
        <f t="shared" si="6"/>
        <v>2255.7394654510558</v>
      </c>
      <c r="AD14" s="736">
        <f t="shared" si="7"/>
        <v>321.92842130518233</v>
      </c>
      <c r="AE14" s="736">
        <f t="shared" si="8"/>
        <v>14199.537455654448</v>
      </c>
      <c r="AF14" s="736">
        <f t="shared" si="9"/>
        <v>2868.3065660421989</v>
      </c>
      <c r="AG14" s="736">
        <f t="shared" si="10"/>
        <v>37600.713501543105</v>
      </c>
      <c r="AH14" s="736">
        <v>1196.3399999999999</v>
      </c>
      <c r="AI14" s="391"/>
      <c r="AJ14" s="391"/>
      <c r="AK14" s="391"/>
      <c r="AL14" s="1544"/>
      <c r="AM14" s="1544"/>
      <c r="AN14" s="47">
        <f t="shared" si="11"/>
        <v>1196.3399999999999</v>
      </c>
      <c r="AO14" s="47"/>
      <c r="AP14" s="47">
        <f t="shared" si="12"/>
        <v>687.88551247600776</v>
      </c>
      <c r="AQ14" s="47">
        <f t="shared" si="13"/>
        <v>7867.7453867562399</v>
      </c>
      <c r="AR14" s="47">
        <f t="shared" si="14"/>
        <v>34532.315599224647</v>
      </c>
      <c r="AS14" s="47">
        <f t="shared" si="15"/>
        <v>53.79313671612627</v>
      </c>
      <c r="AT14" s="47">
        <f t="shared" si="16"/>
        <v>9.6681539468282391</v>
      </c>
      <c r="AU14" s="47">
        <f t="shared" si="17"/>
        <v>37836.490000000005</v>
      </c>
      <c r="AV14" s="47">
        <f t="shared" si="18"/>
        <v>8953.4700000000012</v>
      </c>
      <c r="AW14" s="47">
        <v>12.88</v>
      </c>
      <c r="AX14" s="47">
        <v>4</v>
      </c>
    </row>
    <row r="15" spans="1:50" x14ac:dyDescent="0.25">
      <c r="A15" s="16">
        <v>8</v>
      </c>
      <c r="B15" s="584">
        <v>42569</v>
      </c>
      <c r="C15" s="43" t="s">
        <v>133</v>
      </c>
      <c r="D15" s="737">
        <v>1995</v>
      </c>
      <c r="E15" s="737">
        <v>2</v>
      </c>
      <c r="F15" s="737">
        <v>8</v>
      </c>
      <c r="G15" s="708">
        <v>29</v>
      </c>
      <c r="H15" s="841">
        <v>548.70000000000005</v>
      </c>
      <c r="I15" s="841">
        <v>526.74</v>
      </c>
      <c r="J15" s="841">
        <v>634.22</v>
      </c>
      <c r="K15" s="841">
        <v>5860.2</v>
      </c>
      <c r="L15" s="841">
        <v>7013.39</v>
      </c>
      <c r="M15" s="736">
        <v>53926.29</v>
      </c>
      <c r="N15" s="736">
        <v>50902.79</v>
      </c>
      <c r="O15" s="736">
        <v>2172.65</v>
      </c>
      <c r="P15" s="736">
        <v>1977.43</v>
      </c>
      <c r="Q15" s="736">
        <v>19753.2</v>
      </c>
      <c r="R15" s="736">
        <v>19405.75</v>
      </c>
      <c r="S15" s="736">
        <f t="shared" si="0"/>
        <v>82239.08</v>
      </c>
      <c r="T15" s="736">
        <f t="shared" si="1"/>
        <v>79933.58</v>
      </c>
      <c r="U15" s="736">
        <f t="shared" si="2"/>
        <v>44288.248979613069</v>
      </c>
      <c r="V15" s="736"/>
      <c r="W15" s="736"/>
      <c r="X15" s="736">
        <v>777</v>
      </c>
      <c r="Y15" s="736"/>
      <c r="Z15" s="736">
        <f t="shared" si="3"/>
        <v>278.73644049904033</v>
      </c>
      <c r="AA15" s="736">
        <f t="shared" si="4"/>
        <v>1324.1170124760079</v>
      </c>
      <c r="AB15" s="736">
        <f t="shared" si="5"/>
        <v>13474.056940499042</v>
      </c>
      <c r="AC15" s="736">
        <f t="shared" si="6"/>
        <v>2274.3922173704418</v>
      </c>
      <c r="AD15" s="736">
        <f t="shared" si="7"/>
        <v>324.59045345489443</v>
      </c>
      <c r="AE15" s="736">
        <f t="shared" si="8"/>
        <v>14316.953697018735</v>
      </c>
      <c r="AF15" s="736">
        <f t="shared" si="9"/>
        <v>2892.0246467977845</v>
      </c>
      <c r="AG15" s="736">
        <f t="shared" si="10"/>
        <v>35661.871408115941</v>
      </c>
      <c r="AH15" s="736"/>
      <c r="AI15" s="391"/>
      <c r="AJ15" s="391"/>
      <c r="AK15" s="391"/>
      <c r="AL15" s="1544"/>
      <c r="AM15" s="1544"/>
      <c r="AN15" s="47">
        <f t="shared" si="11"/>
        <v>0</v>
      </c>
      <c r="AO15" s="47"/>
      <c r="AP15" s="47">
        <f t="shared" si="12"/>
        <v>693.57365067178512</v>
      </c>
      <c r="AQ15" s="47">
        <f t="shared" si="13"/>
        <v>7932.8039208253376</v>
      </c>
      <c r="AR15" s="47">
        <f t="shared" si="14"/>
        <v>37950.831020386933</v>
      </c>
      <c r="AS15" s="47">
        <f t="shared" si="15"/>
        <v>97.196588288682221</v>
      </c>
      <c r="AT15" s="47">
        <f t="shared" si="16"/>
        <v>8.9683188505382549</v>
      </c>
      <c r="AU15" s="47">
        <f t="shared" si="17"/>
        <v>2305.5</v>
      </c>
      <c r="AV15" s="47">
        <f t="shared" si="18"/>
        <v>347.45000000000073</v>
      </c>
      <c r="AW15" s="47">
        <v>12.88</v>
      </c>
      <c r="AX15" s="47">
        <v>4</v>
      </c>
    </row>
    <row r="16" spans="1:50" x14ac:dyDescent="0.25">
      <c r="A16" s="16">
        <v>9</v>
      </c>
      <c r="B16" s="584">
        <v>42569</v>
      </c>
      <c r="C16" s="43" t="s">
        <v>134</v>
      </c>
      <c r="D16" s="737">
        <v>1958</v>
      </c>
      <c r="E16" s="737">
        <v>1</v>
      </c>
      <c r="F16" s="737">
        <v>3</v>
      </c>
      <c r="G16" s="349">
        <v>7</v>
      </c>
      <c r="H16" s="738">
        <v>111.3</v>
      </c>
      <c r="I16" s="738">
        <v>106.8</v>
      </c>
      <c r="J16" s="738">
        <v>137.11000000000001</v>
      </c>
      <c r="K16" s="738">
        <v>380.64</v>
      </c>
      <c r="L16" s="738">
        <v>488.67</v>
      </c>
      <c r="M16" s="736">
        <v>7569.57</v>
      </c>
      <c r="N16" s="736">
        <v>6381.67</v>
      </c>
      <c r="O16" s="736"/>
      <c r="P16" s="736"/>
      <c r="Q16" s="736">
        <v>0</v>
      </c>
      <c r="R16" s="736">
        <v>0</v>
      </c>
      <c r="S16" s="736">
        <f t="shared" si="0"/>
        <v>8057.0099999999993</v>
      </c>
      <c r="T16" s="736">
        <f t="shared" si="1"/>
        <v>7007.45</v>
      </c>
      <c r="U16" s="736">
        <f t="shared" si="2"/>
        <v>5335.2336828214975</v>
      </c>
      <c r="V16" s="736"/>
      <c r="W16" s="736"/>
      <c r="X16" s="736"/>
      <c r="Y16" s="736"/>
      <c r="Z16" s="736">
        <f t="shared" si="3"/>
        <v>56.539759117082525</v>
      </c>
      <c r="AA16" s="736">
        <f t="shared" si="4"/>
        <v>268.58797792706332</v>
      </c>
      <c r="AB16" s="736">
        <f t="shared" si="5"/>
        <v>2733.1192591170825</v>
      </c>
      <c r="AC16" s="736">
        <f t="shared" si="6"/>
        <v>461.34473080614208</v>
      </c>
      <c r="AD16" s="736">
        <f t="shared" si="7"/>
        <v>65.840928502879066</v>
      </c>
      <c r="AE16" s="736"/>
      <c r="AF16" s="736"/>
      <c r="AG16" s="736">
        <f t="shared" si="10"/>
        <v>3585.4326554702498</v>
      </c>
      <c r="AH16" s="736"/>
      <c r="AI16" s="391"/>
      <c r="AJ16" s="391"/>
      <c r="AK16" s="391"/>
      <c r="AL16" s="1544"/>
      <c r="AM16" s="1544"/>
      <c r="AN16" s="47">
        <f t="shared" si="11"/>
        <v>0</v>
      </c>
      <c r="AO16" s="47"/>
      <c r="AP16" s="47">
        <f t="shared" si="12"/>
        <v>140.68661804222648</v>
      </c>
      <c r="AQ16" s="47">
        <f t="shared" si="13"/>
        <v>1609.1144093090213</v>
      </c>
      <c r="AR16" s="47">
        <f t="shared" si="14"/>
        <v>2721.7763171785018</v>
      </c>
      <c r="AS16" s="47">
        <f t="shared" si="15"/>
        <v>86.973331297838783</v>
      </c>
      <c r="AT16" s="47">
        <f t="shared" si="16"/>
        <v>5.3261791782185268</v>
      </c>
      <c r="AU16" s="47">
        <f t="shared" si="17"/>
        <v>1049.5599999999995</v>
      </c>
      <c r="AV16" s="47">
        <f t="shared" si="18"/>
        <v>0</v>
      </c>
      <c r="AW16" s="47">
        <v>8.7100000000000009</v>
      </c>
      <c r="AX16" s="47"/>
    </row>
    <row r="17" spans="1:50" x14ac:dyDescent="0.25">
      <c r="A17" s="16">
        <v>10</v>
      </c>
      <c r="B17" s="585">
        <v>42401</v>
      </c>
      <c r="C17" s="43" t="s">
        <v>135</v>
      </c>
      <c r="D17" s="737">
        <v>1958</v>
      </c>
      <c r="E17" s="737">
        <v>1</v>
      </c>
      <c r="F17" s="737">
        <v>3</v>
      </c>
      <c r="G17" s="708">
        <v>10</v>
      </c>
      <c r="H17" s="738">
        <v>118</v>
      </c>
      <c r="I17" s="738">
        <v>113.28</v>
      </c>
      <c r="J17" s="738">
        <v>130.24</v>
      </c>
      <c r="K17" s="738">
        <v>403.62</v>
      </c>
      <c r="L17" s="738">
        <v>464.05</v>
      </c>
      <c r="M17" s="736">
        <v>5419.74</v>
      </c>
      <c r="N17" s="736">
        <v>4902.37</v>
      </c>
      <c r="O17" s="736"/>
      <c r="P17" s="736"/>
      <c r="Q17" s="736">
        <v>0</v>
      </c>
      <c r="R17" s="736">
        <v>0</v>
      </c>
      <c r="S17" s="736">
        <f t="shared" si="0"/>
        <v>5936.6399999999994</v>
      </c>
      <c r="T17" s="736">
        <f t="shared" si="1"/>
        <v>5496.66</v>
      </c>
      <c r="U17" s="736">
        <f t="shared" si="2"/>
        <v>5656.4022872680744</v>
      </c>
      <c r="V17" s="736"/>
      <c r="W17" s="736"/>
      <c r="X17" s="736"/>
      <c r="Y17" s="736"/>
      <c r="Z17" s="736">
        <f t="shared" si="3"/>
        <v>59.943320537428022</v>
      </c>
      <c r="AA17" s="736">
        <f t="shared" si="4"/>
        <v>284.75634676903394</v>
      </c>
      <c r="AB17" s="736">
        <f t="shared" si="5"/>
        <v>2897.6466538707614</v>
      </c>
      <c r="AC17" s="736">
        <f t="shared" si="6"/>
        <v>489.11660588611647</v>
      </c>
      <c r="AD17" s="736">
        <f t="shared" si="7"/>
        <v>69.804398592450411</v>
      </c>
      <c r="AE17" s="736"/>
      <c r="AF17" s="736"/>
      <c r="AG17" s="736">
        <f t="shared" si="10"/>
        <v>3801.26732565579</v>
      </c>
      <c r="AH17" s="736"/>
      <c r="AI17" s="391"/>
      <c r="AJ17" s="391"/>
      <c r="AK17" s="391"/>
      <c r="AL17" s="1544"/>
      <c r="AM17" s="1544"/>
      <c r="AN17" s="47">
        <f t="shared" si="11"/>
        <v>0</v>
      </c>
      <c r="AO17" s="47"/>
      <c r="AP17" s="47">
        <f t="shared" si="12"/>
        <v>149.15562380038389</v>
      </c>
      <c r="AQ17" s="47">
        <f t="shared" si="13"/>
        <v>1705.9793378119005</v>
      </c>
      <c r="AR17" s="47">
        <f t="shared" si="14"/>
        <v>280.23771273192506</v>
      </c>
      <c r="AS17" s="47">
        <f t="shared" si="15"/>
        <v>92.588737063389402</v>
      </c>
      <c r="AT17" s="47">
        <f t="shared" si="16"/>
        <v>5.3261791782185259</v>
      </c>
      <c r="AU17" s="47">
        <f t="shared" si="17"/>
        <v>439.97999999999956</v>
      </c>
      <c r="AV17" s="47">
        <f t="shared" si="18"/>
        <v>0</v>
      </c>
      <c r="AW17" s="47">
        <v>5.79</v>
      </c>
      <c r="AX17" s="47"/>
    </row>
    <row r="18" spans="1:50" x14ac:dyDescent="0.25">
      <c r="A18" s="16">
        <v>11</v>
      </c>
      <c r="B18" s="584">
        <v>42569</v>
      </c>
      <c r="C18" s="43" t="s">
        <v>136</v>
      </c>
      <c r="D18" s="737">
        <v>1958</v>
      </c>
      <c r="E18" s="737">
        <v>1</v>
      </c>
      <c r="F18" s="737">
        <v>4</v>
      </c>
      <c r="G18" s="349">
        <v>4</v>
      </c>
      <c r="H18" s="738">
        <v>115.8</v>
      </c>
      <c r="I18" s="738">
        <v>111.12</v>
      </c>
      <c r="J18" s="738">
        <v>66.27</v>
      </c>
      <c r="K18" s="738">
        <v>792.12</v>
      </c>
      <c r="L18" s="738">
        <v>472.73</v>
      </c>
      <c r="M18" s="736">
        <v>7882.5</v>
      </c>
      <c r="N18" s="736">
        <v>3892.17</v>
      </c>
      <c r="O18" s="736"/>
      <c r="P18" s="736"/>
      <c r="Q18" s="736">
        <v>0</v>
      </c>
      <c r="R18" s="736">
        <v>0</v>
      </c>
      <c r="S18" s="736">
        <f t="shared" si="0"/>
        <v>8785.74</v>
      </c>
      <c r="T18" s="736">
        <f t="shared" si="1"/>
        <v>4431.17</v>
      </c>
      <c r="U18" s="736">
        <f t="shared" si="2"/>
        <v>5550.9439395393483</v>
      </c>
      <c r="V18" s="736"/>
      <c r="W18" s="736"/>
      <c r="X18" s="736"/>
      <c r="Y18" s="736"/>
      <c r="Z18" s="736">
        <f t="shared" si="3"/>
        <v>58.825733205374277</v>
      </c>
      <c r="AA18" s="736">
        <f t="shared" si="4"/>
        <v>279.447330134357</v>
      </c>
      <c r="AB18" s="736">
        <f t="shared" si="5"/>
        <v>2843.6227332053745</v>
      </c>
      <c r="AC18" s="736">
        <f t="shared" si="6"/>
        <v>479.99748272552785</v>
      </c>
      <c r="AD18" s="736">
        <f t="shared" si="7"/>
        <v>68.502960652591156</v>
      </c>
      <c r="AE18" s="736"/>
      <c r="AF18" s="736"/>
      <c r="AG18" s="736">
        <f t="shared" si="10"/>
        <v>3730.396239923225</v>
      </c>
      <c r="AH18" s="736"/>
      <c r="AI18" s="391"/>
      <c r="AJ18" s="391"/>
      <c r="AK18" s="391"/>
      <c r="AL18" s="1544"/>
      <c r="AM18" s="1544"/>
      <c r="AN18" s="47">
        <f t="shared" si="11"/>
        <v>0</v>
      </c>
      <c r="AO18" s="47"/>
      <c r="AP18" s="47">
        <f t="shared" si="12"/>
        <v>146.37475623800384</v>
      </c>
      <c r="AQ18" s="47">
        <f t="shared" si="13"/>
        <v>1674.172943378119</v>
      </c>
      <c r="AR18" s="47">
        <f t="shared" si="14"/>
        <v>3234.7960604606515</v>
      </c>
      <c r="AS18" s="47">
        <f t="shared" si="15"/>
        <v>50.43593368344613</v>
      </c>
      <c r="AT18" s="47">
        <f t="shared" si="16"/>
        <v>5.3261791782185268</v>
      </c>
      <c r="AU18" s="47">
        <f t="shared" si="17"/>
        <v>4354.57</v>
      </c>
      <c r="AV18" s="47">
        <f t="shared" si="18"/>
        <v>0</v>
      </c>
      <c r="AW18" s="47">
        <v>8.73</v>
      </c>
      <c r="AX18" s="47"/>
    </row>
    <row r="19" spans="1:50" x14ac:dyDescent="0.25">
      <c r="A19" s="16">
        <v>12</v>
      </c>
      <c r="B19" s="585">
        <v>42401</v>
      </c>
      <c r="C19" s="43" t="s">
        <v>137</v>
      </c>
      <c r="D19" s="737">
        <v>1958</v>
      </c>
      <c r="E19" s="737">
        <v>1</v>
      </c>
      <c r="F19" s="737">
        <v>4</v>
      </c>
      <c r="G19" s="708">
        <v>9</v>
      </c>
      <c r="H19" s="738">
        <v>162.1</v>
      </c>
      <c r="I19" s="738">
        <v>155.63999999999999</v>
      </c>
      <c r="J19" s="738">
        <v>22.84</v>
      </c>
      <c r="K19" s="738">
        <v>1108.74</v>
      </c>
      <c r="L19" s="738">
        <v>162.28</v>
      </c>
      <c r="M19" s="736">
        <v>7737.06</v>
      </c>
      <c r="N19" s="736">
        <v>1598.63</v>
      </c>
      <c r="O19" s="736"/>
      <c r="P19" s="736"/>
      <c r="Q19" s="736">
        <v>0</v>
      </c>
      <c r="R19" s="736">
        <v>0</v>
      </c>
      <c r="S19" s="736">
        <f t="shared" si="0"/>
        <v>9001.44</v>
      </c>
      <c r="T19" s="736">
        <f t="shared" si="1"/>
        <v>1783.75</v>
      </c>
      <c r="U19" s="736">
        <f t="shared" si="2"/>
        <v>7770.3628031030075</v>
      </c>
      <c r="V19" s="736"/>
      <c r="W19" s="736"/>
      <c r="X19" s="736"/>
      <c r="Y19" s="736"/>
      <c r="Z19" s="736">
        <f t="shared" si="3"/>
        <v>82.345866602687124</v>
      </c>
      <c r="AA19" s="736">
        <f t="shared" si="4"/>
        <v>391.17799840051185</v>
      </c>
      <c r="AB19" s="736">
        <f t="shared" si="5"/>
        <v>3980.5806999360207</v>
      </c>
      <c r="AC19" s="736">
        <f t="shared" si="6"/>
        <v>671.91357469609727</v>
      </c>
      <c r="AD19" s="736">
        <f t="shared" si="7"/>
        <v>95.892313659628897</v>
      </c>
      <c r="AE19" s="736"/>
      <c r="AF19" s="736"/>
      <c r="AG19" s="736">
        <f t="shared" si="10"/>
        <v>5221.9104532949459</v>
      </c>
      <c r="AH19" s="736"/>
      <c r="AI19" s="391"/>
      <c r="AJ19" s="391"/>
      <c r="AK19" s="391"/>
      <c r="AL19" s="1544"/>
      <c r="AM19" s="1544"/>
      <c r="AN19" s="47">
        <f t="shared" si="11"/>
        <v>0</v>
      </c>
      <c r="AO19" s="47"/>
      <c r="AP19" s="47">
        <f t="shared" si="12"/>
        <v>204.89937811900194</v>
      </c>
      <c r="AQ19" s="47">
        <f t="shared" si="13"/>
        <v>2343.5529716890596</v>
      </c>
      <c r="AR19" s="47">
        <f t="shared" si="14"/>
        <v>1231.077196896993</v>
      </c>
      <c r="AS19" s="47">
        <f t="shared" si="15"/>
        <v>19.816273840629943</v>
      </c>
      <c r="AT19" s="47">
        <f t="shared" si="16"/>
        <v>5.3261791782185268</v>
      </c>
      <c r="AU19" s="47">
        <f t="shared" si="17"/>
        <v>7217.6900000000005</v>
      </c>
      <c r="AV19" s="47">
        <f t="shared" si="18"/>
        <v>0</v>
      </c>
      <c r="AW19" s="47">
        <v>6.39</v>
      </c>
      <c r="AX19" s="47"/>
    </row>
    <row r="20" spans="1:50" x14ac:dyDescent="0.25">
      <c r="A20" s="16">
        <v>13</v>
      </c>
      <c r="B20" s="585">
        <v>42461</v>
      </c>
      <c r="C20" s="43" t="s">
        <v>138</v>
      </c>
      <c r="D20" s="737">
        <v>1959</v>
      </c>
      <c r="E20" s="737">
        <v>1</v>
      </c>
      <c r="F20" s="737">
        <v>4</v>
      </c>
      <c r="G20" s="349">
        <v>8</v>
      </c>
      <c r="H20" s="738">
        <v>135.6</v>
      </c>
      <c r="I20" s="738">
        <v>130.13999999999999</v>
      </c>
      <c r="J20" s="738">
        <v>151.61000000000001</v>
      </c>
      <c r="K20" s="738">
        <v>927.54</v>
      </c>
      <c r="L20" s="738">
        <v>1080.51</v>
      </c>
      <c r="M20" s="736">
        <v>6472.17</v>
      </c>
      <c r="N20" s="736">
        <v>6098.56</v>
      </c>
      <c r="O20" s="736"/>
      <c r="P20" s="736"/>
      <c r="Q20" s="736">
        <v>0</v>
      </c>
      <c r="R20" s="736">
        <v>0</v>
      </c>
      <c r="S20" s="736">
        <f t="shared" si="0"/>
        <v>7529.85</v>
      </c>
      <c r="T20" s="736">
        <f t="shared" si="1"/>
        <v>7330.68</v>
      </c>
      <c r="U20" s="736">
        <f t="shared" si="2"/>
        <v>6500.0690690978881</v>
      </c>
      <c r="V20" s="736"/>
      <c r="W20" s="736"/>
      <c r="X20" s="736"/>
      <c r="Y20" s="736"/>
      <c r="Z20" s="736">
        <f t="shared" si="3"/>
        <v>68.884019193857952</v>
      </c>
      <c r="AA20" s="736">
        <f t="shared" si="4"/>
        <v>327.22847984644915</v>
      </c>
      <c r="AB20" s="736">
        <f t="shared" si="5"/>
        <v>3329.8380191938581</v>
      </c>
      <c r="AC20" s="736">
        <f t="shared" si="6"/>
        <v>562.06959117082533</v>
      </c>
      <c r="AD20" s="736">
        <f t="shared" si="7"/>
        <v>80.215902111324368</v>
      </c>
      <c r="AE20" s="736"/>
      <c r="AF20" s="736"/>
      <c r="AG20" s="736">
        <f t="shared" si="10"/>
        <v>4368.2360115163146</v>
      </c>
      <c r="AH20" s="736"/>
      <c r="AI20" s="391"/>
      <c r="AJ20" s="391"/>
      <c r="AK20" s="391"/>
      <c r="AL20" s="1544"/>
      <c r="AM20" s="1544"/>
      <c r="AN20" s="47">
        <f t="shared" si="11"/>
        <v>0</v>
      </c>
      <c r="AO20" s="47"/>
      <c r="AP20" s="47">
        <f t="shared" si="12"/>
        <v>171.4025642994242</v>
      </c>
      <c r="AQ20" s="47">
        <f t="shared" si="13"/>
        <v>1960.4304932821499</v>
      </c>
      <c r="AR20" s="47">
        <f t="shared" si="14"/>
        <v>1029.7809309021122</v>
      </c>
      <c r="AS20" s="47">
        <f t="shared" si="15"/>
        <v>97.354927388991811</v>
      </c>
      <c r="AT20" s="47">
        <f t="shared" si="16"/>
        <v>5.3261791782185259</v>
      </c>
      <c r="AU20" s="47">
        <f t="shared" si="17"/>
        <v>199.17000000000007</v>
      </c>
      <c r="AV20" s="47">
        <f t="shared" si="18"/>
        <v>0</v>
      </c>
      <c r="AW20" s="47">
        <v>6.39</v>
      </c>
      <c r="AX20" s="47"/>
    </row>
    <row r="21" spans="1:50" x14ac:dyDescent="0.25">
      <c r="A21" s="16">
        <v>14</v>
      </c>
      <c r="B21" s="584">
        <v>42569</v>
      </c>
      <c r="C21" s="43" t="s">
        <v>139</v>
      </c>
      <c r="D21" s="737">
        <v>1958</v>
      </c>
      <c r="E21" s="737">
        <v>1</v>
      </c>
      <c r="F21" s="737">
        <v>4</v>
      </c>
      <c r="G21" s="708">
        <v>12</v>
      </c>
      <c r="H21" s="738">
        <v>115.2</v>
      </c>
      <c r="I21" s="738">
        <v>165.87</v>
      </c>
      <c r="J21" s="738">
        <v>98.87</v>
      </c>
      <c r="K21" s="738">
        <v>787.98</v>
      </c>
      <c r="L21" s="738">
        <v>586.09</v>
      </c>
      <c r="M21" s="736">
        <v>8031.78</v>
      </c>
      <c r="N21" s="736">
        <v>4552.8100000000004</v>
      </c>
      <c r="O21" s="736"/>
      <c r="P21" s="736"/>
      <c r="Q21" s="736">
        <v>0</v>
      </c>
      <c r="R21" s="736">
        <v>0</v>
      </c>
      <c r="S21" s="736">
        <f t="shared" si="0"/>
        <v>8985.6299999999992</v>
      </c>
      <c r="T21" s="736">
        <f t="shared" si="1"/>
        <v>5237.7700000000004</v>
      </c>
      <c r="U21" s="736">
        <f t="shared" si="2"/>
        <v>5522.1825719769677</v>
      </c>
      <c r="V21" s="736"/>
      <c r="W21" s="736"/>
      <c r="X21" s="736"/>
      <c r="Y21" s="736"/>
      <c r="Z21" s="736">
        <f t="shared" si="3"/>
        <v>58.52093666026871</v>
      </c>
      <c r="AA21" s="736">
        <f t="shared" si="4"/>
        <v>277.99941650671786</v>
      </c>
      <c r="AB21" s="736">
        <f t="shared" si="5"/>
        <v>2828.8889366602689</v>
      </c>
      <c r="AC21" s="736">
        <f t="shared" si="6"/>
        <v>477.51044913627646</v>
      </c>
      <c r="AD21" s="736">
        <f t="shared" si="7"/>
        <v>68.148023032629553</v>
      </c>
      <c r="AE21" s="736"/>
      <c r="AF21" s="736"/>
      <c r="AG21" s="736">
        <f t="shared" si="10"/>
        <v>3711.0677619961612</v>
      </c>
      <c r="AH21" s="736"/>
      <c r="AI21" s="391"/>
      <c r="AJ21" s="391"/>
      <c r="AK21" s="391"/>
      <c r="AL21" s="1544"/>
      <c r="AM21" s="1544"/>
      <c r="AN21" s="47">
        <f t="shared" si="11"/>
        <v>0</v>
      </c>
      <c r="AO21" s="47"/>
      <c r="AP21" s="47">
        <f t="shared" si="12"/>
        <v>145.61633781190019</v>
      </c>
      <c r="AQ21" s="47">
        <f t="shared" si="13"/>
        <v>1665.4984721689061</v>
      </c>
      <c r="AR21" s="47">
        <f t="shared" si="14"/>
        <v>3463.4474280230315</v>
      </c>
      <c r="AS21" s="47">
        <f t="shared" si="15"/>
        <v>58.290514966674579</v>
      </c>
      <c r="AT21" s="47">
        <f t="shared" si="16"/>
        <v>5.3261791782185259</v>
      </c>
      <c r="AU21" s="47">
        <f t="shared" si="17"/>
        <v>3747.8599999999988</v>
      </c>
      <c r="AV21" s="47">
        <f t="shared" si="18"/>
        <v>0</v>
      </c>
      <c r="AW21" s="47">
        <v>9.2799999999999994</v>
      </c>
      <c r="AX21" s="47"/>
    </row>
    <row r="22" spans="1:50" x14ac:dyDescent="0.25">
      <c r="A22" s="16">
        <v>15</v>
      </c>
      <c r="B22" s="585">
        <v>42401</v>
      </c>
      <c r="C22" s="43" t="s">
        <v>140</v>
      </c>
      <c r="D22" s="737">
        <v>1958</v>
      </c>
      <c r="E22" s="737">
        <v>1</v>
      </c>
      <c r="F22" s="737">
        <v>3</v>
      </c>
      <c r="G22" s="349">
        <v>7</v>
      </c>
      <c r="H22" s="738">
        <v>122.3</v>
      </c>
      <c r="I22" s="738">
        <v>117.36</v>
      </c>
      <c r="J22" s="738">
        <v>185.43</v>
      </c>
      <c r="K22" s="738">
        <v>836.58</v>
      </c>
      <c r="L22" s="738">
        <v>1281.3399999999999</v>
      </c>
      <c r="M22" s="736">
        <v>5837.34</v>
      </c>
      <c r="N22" s="736">
        <v>6650.99</v>
      </c>
      <c r="O22" s="736"/>
      <c r="P22" s="736"/>
      <c r="Q22" s="736">
        <v>0</v>
      </c>
      <c r="R22" s="736">
        <v>0</v>
      </c>
      <c r="S22" s="736">
        <f t="shared" si="0"/>
        <v>6791.2800000000007</v>
      </c>
      <c r="T22" s="736">
        <f t="shared" si="1"/>
        <v>8117.76</v>
      </c>
      <c r="U22" s="736">
        <f t="shared" si="2"/>
        <v>5862.5254214651313</v>
      </c>
      <c r="V22" s="736"/>
      <c r="W22" s="736"/>
      <c r="X22" s="736"/>
      <c r="Y22" s="736"/>
      <c r="Z22" s="736">
        <f t="shared" si="3"/>
        <v>62.127695777351242</v>
      </c>
      <c r="AA22" s="736">
        <f t="shared" si="4"/>
        <v>295.13306110044789</v>
      </c>
      <c r="AB22" s="736">
        <f t="shared" si="5"/>
        <v>3003.2388624440182</v>
      </c>
      <c r="AC22" s="736">
        <f t="shared" si="6"/>
        <v>506.94034660908511</v>
      </c>
      <c r="AD22" s="736">
        <f t="shared" si="7"/>
        <v>72.3481182021753</v>
      </c>
      <c r="AE22" s="736"/>
      <c r="AF22" s="736"/>
      <c r="AG22" s="736">
        <f t="shared" si="10"/>
        <v>3939.7880841330775</v>
      </c>
      <c r="AH22" s="736"/>
      <c r="AI22" s="391"/>
      <c r="AJ22" s="391"/>
      <c r="AK22" s="391"/>
      <c r="AL22" s="1544"/>
      <c r="AM22" s="1544"/>
      <c r="AN22" s="47">
        <f t="shared" si="11"/>
        <v>0</v>
      </c>
      <c r="AO22" s="47"/>
      <c r="AP22" s="47">
        <f t="shared" si="12"/>
        <v>154.59095585412669</v>
      </c>
      <c r="AQ22" s="47">
        <f t="shared" si="13"/>
        <v>1768.1463814779272</v>
      </c>
      <c r="AR22" s="47">
        <f t="shared" si="14"/>
        <v>928.75457853486932</v>
      </c>
      <c r="AS22" s="47">
        <f t="shared" si="15"/>
        <v>119.53210587694807</v>
      </c>
      <c r="AT22" s="47">
        <f t="shared" si="16"/>
        <v>5.3261791782185259</v>
      </c>
      <c r="AU22" s="47">
        <f t="shared" si="17"/>
        <v>-1326.4799999999996</v>
      </c>
      <c r="AV22" s="47">
        <f t="shared" si="18"/>
        <v>0</v>
      </c>
      <c r="AW22" s="47">
        <v>6.39</v>
      </c>
      <c r="AX22" s="47"/>
    </row>
    <row r="23" spans="1:50" x14ac:dyDescent="0.25">
      <c r="A23" s="16">
        <v>16</v>
      </c>
      <c r="B23" s="585">
        <v>42401</v>
      </c>
      <c r="C23" s="43" t="s">
        <v>141</v>
      </c>
      <c r="D23" s="737">
        <v>1958</v>
      </c>
      <c r="E23" s="737">
        <v>1</v>
      </c>
      <c r="F23" s="737">
        <v>4</v>
      </c>
      <c r="G23" s="661">
        <v>7</v>
      </c>
      <c r="H23" s="738">
        <v>154.6</v>
      </c>
      <c r="I23" s="738">
        <v>148.38</v>
      </c>
      <c r="J23" s="738">
        <v>116.9</v>
      </c>
      <c r="K23" s="738">
        <v>1057.5</v>
      </c>
      <c r="L23" s="738">
        <v>833.14</v>
      </c>
      <c r="M23" s="736">
        <v>7379.04</v>
      </c>
      <c r="N23" s="736">
        <v>4602.59</v>
      </c>
      <c r="O23" s="736"/>
      <c r="P23" s="736"/>
      <c r="Q23" s="736">
        <v>0</v>
      </c>
      <c r="R23" s="736">
        <v>0</v>
      </c>
      <c r="S23" s="736">
        <f t="shared" si="0"/>
        <v>8584.92</v>
      </c>
      <c r="T23" s="736">
        <f t="shared" si="1"/>
        <v>5552.63</v>
      </c>
      <c r="U23" s="736">
        <f t="shared" si="2"/>
        <v>7410.8457085732571</v>
      </c>
      <c r="V23" s="736"/>
      <c r="W23" s="736"/>
      <c r="X23" s="736"/>
      <c r="Y23" s="736"/>
      <c r="Z23" s="736">
        <f t="shared" si="3"/>
        <v>78.535909788867556</v>
      </c>
      <c r="AA23" s="736">
        <f t="shared" si="4"/>
        <v>373.07907805502242</v>
      </c>
      <c r="AB23" s="736">
        <f t="shared" si="5"/>
        <v>3796.4082431222009</v>
      </c>
      <c r="AC23" s="736">
        <f t="shared" si="6"/>
        <v>640.82565483045425</v>
      </c>
      <c r="AD23" s="736">
        <f t="shared" si="7"/>
        <v>91.455593410108747</v>
      </c>
      <c r="AE23" s="736"/>
      <c r="AF23" s="736"/>
      <c r="AG23" s="736">
        <f t="shared" si="10"/>
        <v>4980.3044792066539</v>
      </c>
      <c r="AH23" s="736"/>
      <c r="AI23" s="391"/>
      <c r="AJ23" s="391"/>
      <c r="AK23" s="391"/>
      <c r="AL23" s="1544"/>
      <c r="AM23" s="1544"/>
      <c r="AN23" s="47">
        <f t="shared" si="11"/>
        <v>0</v>
      </c>
      <c r="AO23" s="47"/>
      <c r="AP23" s="47">
        <f t="shared" si="12"/>
        <v>195.41914779270635</v>
      </c>
      <c r="AQ23" s="47">
        <f t="shared" si="13"/>
        <v>2235.1220815738966</v>
      </c>
      <c r="AR23" s="47">
        <f t="shared" si="14"/>
        <v>1174.074291426743</v>
      </c>
      <c r="AS23" s="47">
        <f t="shared" si="15"/>
        <v>64.67887877813655</v>
      </c>
      <c r="AT23" s="47">
        <f t="shared" si="16"/>
        <v>5.3261791782185268</v>
      </c>
      <c r="AU23" s="47">
        <f t="shared" si="17"/>
        <v>3032.29</v>
      </c>
      <c r="AV23" s="47">
        <f t="shared" si="18"/>
        <v>0</v>
      </c>
      <c r="AW23" s="47">
        <v>6.39</v>
      </c>
      <c r="AX23" s="47"/>
    </row>
    <row r="24" spans="1:50" x14ac:dyDescent="0.25">
      <c r="A24" s="16">
        <v>17</v>
      </c>
      <c r="B24" s="585">
        <v>42461</v>
      </c>
      <c r="C24" s="43" t="s">
        <v>142</v>
      </c>
      <c r="D24" s="737">
        <v>1958</v>
      </c>
      <c r="E24" s="737">
        <v>1</v>
      </c>
      <c r="F24" s="737">
        <v>3</v>
      </c>
      <c r="G24" s="661">
        <v>10</v>
      </c>
      <c r="H24" s="738">
        <v>141.19999999999999</v>
      </c>
      <c r="I24" s="738">
        <v>135.6</v>
      </c>
      <c r="J24" s="738">
        <v>155.94</v>
      </c>
      <c r="K24" s="738">
        <v>965.76</v>
      </c>
      <c r="L24" s="738">
        <v>1111.18</v>
      </c>
      <c r="M24" s="736">
        <v>6739.53</v>
      </c>
      <c r="N24" s="736">
        <v>6865.12</v>
      </c>
      <c r="O24" s="736"/>
      <c r="P24" s="736"/>
      <c r="Q24" s="736">
        <v>0</v>
      </c>
      <c r="R24" s="736">
        <v>0</v>
      </c>
      <c r="S24" s="736">
        <f t="shared" si="0"/>
        <v>7840.8899999999994</v>
      </c>
      <c r="T24" s="736">
        <f t="shared" si="1"/>
        <v>8132.24</v>
      </c>
      <c r="U24" s="736">
        <f t="shared" si="2"/>
        <v>6768.5084996801015</v>
      </c>
      <c r="V24" s="736"/>
      <c r="W24" s="736"/>
      <c r="X24" s="736"/>
      <c r="Y24" s="736"/>
      <c r="Z24" s="736">
        <f t="shared" si="3"/>
        <v>71.728786948176577</v>
      </c>
      <c r="AA24" s="736">
        <f t="shared" si="4"/>
        <v>340.74234037108124</v>
      </c>
      <c r="AB24" s="736">
        <f t="shared" si="5"/>
        <v>3467.3534536148431</v>
      </c>
      <c r="AC24" s="736">
        <f t="shared" si="6"/>
        <v>585.28190467050547</v>
      </c>
      <c r="AD24" s="736">
        <f t="shared" si="7"/>
        <v>83.528653230966071</v>
      </c>
      <c r="AE24" s="736"/>
      <c r="AF24" s="736"/>
      <c r="AG24" s="736">
        <f t="shared" si="10"/>
        <v>4548.6351388355724</v>
      </c>
      <c r="AH24" s="736"/>
      <c r="AI24" s="391"/>
      <c r="AJ24" s="391"/>
      <c r="AK24" s="391"/>
      <c r="AL24" s="1544"/>
      <c r="AM24" s="1544"/>
      <c r="AN24" s="47">
        <f t="shared" si="11"/>
        <v>0</v>
      </c>
      <c r="AO24" s="47"/>
      <c r="AP24" s="47">
        <f t="shared" si="12"/>
        <v>178.48113627639157</v>
      </c>
      <c r="AQ24" s="47">
        <f t="shared" si="13"/>
        <v>2041.3922245681383</v>
      </c>
      <c r="AR24" s="47">
        <f t="shared" si="14"/>
        <v>1072.3815003198979</v>
      </c>
      <c r="AS24" s="47">
        <f t="shared" si="15"/>
        <v>103.71577716305165</v>
      </c>
      <c r="AT24" s="47">
        <f t="shared" si="16"/>
        <v>5.3261791782185259</v>
      </c>
      <c r="AU24" s="47">
        <f t="shared" si="17"/>
        <v>-291.35000000000036</v>
      </c>
      <c r="AV24" s="47">
        <f t="shared" si="18"/>
        <v>0</v>
      </c>
      <c r="AW24" s="47">
        <v>6.39</v>
      </c>
      <c r="AX24" s="47"/>
    </row>
    <row r="25" spans="1:50" x14ac:dyDescent="0.25">
      <c r="A25" s="16">
        <v>19</v>
      </c>
      <c r="B25" s="585">
        <v>42401</v>
      </c>
      <c r="C25" s="43" t="s">
        <v>143</v>
      </c>
      <c r="D25" s="737">
        <v>1959</v>
      </c>
      <c r="E25" s="737">
        <v>1</v>
      </c>
      <c r="F25" s="737">
        <v>3</v>
      </c>
      <c r="G25" s="661">
        <v>7</v>
      </c>
      <c r="H25" s="738">
        <v>136.30000000000001</v>
      </c>
      <c r="I25" s="738">
        <v>130.80000000000001</v>
      </c>
      <c r="J25" s="738">
        <v>113.54</v>
      </c>
      <c r="K25" s="738">
        <v>466.14</v>
      </c>
      <c r="L25" s="738">
        <v>404.6</v>
      </c>
      <c r="M25" s="736">
        <v>6260.22</v>
      </c>
      <c r="N25" s="736">
        <v>4552.84</v>
      </c>
      <c r="O25" s="736"/>
      <c r="P25" s="736"/>
      <c r="Q25" s="736">
        <v>0</v>
      </c>
      <c r="R25" s="736">
        <v>0</v>
      </c>
      <c r="S25" s="736">
        <f t="shared" si="0"/>
        <v>6857.16</v>
      </c>
      <c r="T25" s="736">
        <f t="shared" si="1"/>
        <v>5070.9800000000005</v>
      </c>
      <c r="U25" s="736">
        <f t="shared" si="2"/>
        <v>6533.6239979206657</v>
      </c>
      <c r="V25" s="736"/>
      <c r="W25" s="736"/>
      <c r="X25" s="736"/>
      <c r="Y25" s="736"/>
      <c r="Z25" s="736">
        <f t="shared" si="3"/>
        <v>69.239615163147789</v>
      </c>
      <c r="AA25" s="736">
        <f t="shared" si="4"/>
        <v>328.91771241202821</v>
      </c>
      <c r="AB25" s="736">
        <f t="shared" si="5"/>
        <v>3347.0274484964816</v>
      </c>
      <c r="AC25" s="736">
        <f t="shared" si="6"/>
        <v>564.97113035828545</v>
      </c>
      <c r="AD25" s="736">
        <f t="shared" si="7"/>
        <v>80.629996001279594</v>
      </c>
      <c r="AE25" s="736"/>
      <c r="AF25" s="736"/>
      <c r="AG25" s="736">
        <f t="shared" si="10"/>
        <v>4390.785902431222</v>
      </c>
      <c r="AH25" s="736"/>
      <c r="AI25" s="391"/>
      <c r="AJ25" s="391"/>
      <c r="AK25" s="391"/>
      <c r="AL25" s="1544"/>
      <c r="AM25" s="1544"/>
      <c r="AN25" s="47">
        <f t="shared" si="11"/>
        <v>0</v>
      </c>
      <c r="AO25" s="47"/>
      <c r="AP25" s="47">
        <f t="shared" si="12"/>
        <v>172.28738579654512</v>
      </c>
      <c r="AQ25" s="47">
        <f t="shared" si="13"/>
        <v>1970.5507096928986</v>
      </c>
      <c r="AR25" s="47">
        <f t="shared" si="14"/>
        <v>323.53600207933414</v>
      </c>
      <c r="AS25" s="47">
        <f t="shared" si="15"/>
        <v>73.951606787649709</v>
      </c>
      <c r="AT25" s="47">
        <f t="shared" si="16"/>
        <v>5.3261791782185259</v>
      </c>
      <c r="AU25" s="47">
        <f t="shared" si="17"/>
        <v>1786.1799999999994</v>
      </c>
      <c r="AV25" s="47">
        <f t="shared" si="18"/>
        <v>0</v>
      </c>
      <c r="AW25" s="47">
        <v>5.79</v>
      </c>
      <c r="AX25" s="47"/>
    </row>
    <row r="26" spans="1:50" x14ac:dyDescent="0.25">
      <c r="A26" s="16">
        <v>18</v>
      </c>
      <c r="B26" s="584">
        <v>42569</v>
      </c>
      <c r="C26" s="256" t="s">
        <v>144</v>
      </c>
      <c r="D26" s="842">
        <v>1958</v>
      </c>
      <c r="E26" s="842">
        <v>1</v>
      </c>
      <c r="F26" s="842">
        <v>3</v>
      </c>
      <c r="G26" s="749">
        <v>9</v>
      </c>
      <c r="H26" s="843">
        <v>119.5</v>
      </c>
      <c r="I26" s="843">
        <v>146.58000000000001</v>
      </c>
      <c r="J26" s="843">
        <v>196.12</v>
      </c>
      <c r="K26" s="843">
        <v>1044.48</v>
      </c>
      <c r="L26" s="843">
        <v>1397.5</v>
      </c>
      <c r="M26" s="844">
        <v>10646.28</v>
      </c>
      <c r="N26" s="844">
        <v>10965.45</v>
      </c>
      <c r="O26" s="844"/>
      <c r="P26" s="844"/>
      <c r="Q26" s="844">
        <v>0</v>
      </c>
      <c r="R26" s="844">
        <v>0</v>
      </c>
      <c r="S26" s="736">
        <f t="shared" si="0"/>
        <v>11837.34</v>
      </c>
      <c r="T26" s="736">
        <f t="shared" si="1"/>
        <v>12559.07</v>
      </c>
      <c r="U26" s="736">
        <f t="shared" si="2"/>
        <v>5728.3057061740255</v>
      </c>
      <c r="V26" s="736"/>
      <c r="W26" s="844"/>
      <c r="X26" s="736"/>
      <c r="Y26" s="736"/>
      <c r="Z26" s="736">
        <f t="shared" si="3"/>
        <v>60.705311900191937</v>
      </c>
      <c r="AA26" s="736">
        <f t="shared" si="4"/>
        <v>288.37613083813181</v>
      </c>
      <c r="AB26" s="736">
        <f t="shared" si="5"/>
        <v>2934.4811452335257</v>
      </c>
      <c r="AC26" s="736">
        <f t="shared" si="6"/>
        <v>495.3341898592451</v>
      </c>
      <c r="AD26" s="736">
        <f t="shared" si="7"/>
        <v>70.691742642354441</v>
      </c>
      <c r="AE26" s="736"/>
      <c r="AF26" s="844"/>
      <c r="AG26" s="736">
        <f t="shared" si="10"/>
        <v>3849.5885204734491</v>
      </c>
      <c r="AH26" s="736"/>
      <c r="AI26" s="391"/>
      <c r="AJ26" s="391"/>
      <c r="AK26" s="391"/>
      <c r="AL26" s="1544"/>
      <c r="AM26" s="1544"/>
      <c r="AN26" s="47">
        <f t="shared" si="11"/>
        <v>0</v>
      </c>
      <c r="AO26" s="47"/>
      <c r="AP26" s="47">
        <f t="shared" si="12"/>
        <v>151.05166986564299</v>
      </c>
      <c r="AQ26" s="47">
        <f t="shared" si="13"/>
        <v>1727.6655158349331</v>
      </c>
      <c r="AR26" s="47">
        <f t="shared" si="14"/>
        <v>6109.0342938259746</v>
      </c>
      <c r="AS26" s="47">
        <f t="shared" si="15"/>
        <v>106.09706234677722</v>
      </c>
      <c r="AT26" s="47">
        <f t="shared" si="16"/>
        <v>5.3261791782185268</v>
      </c>
      <c r="AU26" s="47">
        <f t="shared" si="17"/>
        <v>-721.72999999999956</v>
      </c>
      <c r="AV26" s="47">
        <f t="shared" si="18"/>
        <v>0</v>
      </c>
      <c r="AW26" s="47">
        <v>9.2799999999999994</v>
      </c>
      <c r="AX26" s="47"/>
    </row>
    <row r="27" spans="1:50" x14ac:dyDescent="0.25">
      <c r="A27" s="22"/>
      <c r="B27" s="22"/>
      <c r="C27" s="384" t="s">
        <v>125</v>
      </c>
      <c r="D27" s="845"/>
      <c r="E27" s="845"/>
      <c r="F27" s="846">
        <f t="shared" ref="F27:AV27" si="19">SUM(F8:F26)</f>
        <v>134</v>
      </c>
      <c r="G27" s="846">
        <f t="shared" si="19"/>
        <v>340</v>
      </c>
      <c r="H27" s="847">
        <f t="shared" si="19"/>
        <v>6252.0000000000009</v>
      </c>
      <c r="I27" s="653">
        <f t="shared" si="19"/>
        <v>6089.55</v>
      </c>
      <c r="J27" s="653">
        <f t="shared" si="19"/>
        <v>5965.3799999999992</v>
      </c>
      <c r="K27" s="653">
        <f t="shared" si="19"/>
        <v>60258.660000000011</v>
      </c>
      <c r="L27" s="653">
        <f t="shared" si="19"/>
        <v>58096.689999999995</v>
      </c>
      <c r="M27" s="811">
        <f>SUM(M8:M26)</f>
        <v>530335.23</v>
      </c>
      <c r="N27" s="811">
        <f t="shared" si="19"/>
        <v>403475.72</v>
      </c>
      <c r="O27" s="762">
        <f t="shared" si="19"/>
        <v>16556.18</v>
      </c>
      <c r="P27" s="762">
        <f t="shared" si="19"/>
        <v>12288.910000000002</v>
      </c>
      <c r="Q27" s="762">
        <f t="shared" si="19"/>
        <v>173552.40000000002</v>
      </c>
      <c r="R27" s="762">
        <f t="shared" si="19"/>
        <v>137378.60999999999</v>
      </c>
      <c r="S27" s="762">
        <f t="shared" si="19"/>
        <v>786792.0199999999</v>
      </c>
      <c r="T27" s="762">
        <f t="shared" si="19"/>
        <v>617205.31000000006</v>
      </c>
      <c r="U27" s="762">
        <f t="shared" si="19"/>
        <v>473899.38689999992</v>
      </c>
      <c r="V27" s="762">
        <f t="shared" si="19"/>
        <v>0</v>
      </c>
      <c r="W27" s="762">
        <f t="shared" si="19"/>
        <v>0</v>
      </c>
      <c r="X27" s="762">
        <f t="shared" si="19"/>
        <v>18138.260000000002</v>
      </c>
      <c r="Y27" s="762">
        <f t="shared" si="19"/>
        <v>836</v>
      </c>
      <c r="Z27" s="762">
        <f t="shared" si="19"/>
        <v>3175.9800000000005</v>
      </c>
      <c r="AA27" s="762">
        <f t="shared" si="19"/>
        <v>15087.260000000007</v>
      </c>
      <c r="AB27" s="762">
        <f t="shared" si="19"/>
        <v>153526.16</v>
      </c>
      <c r="AC27" s="762">
        <f t="shared" si="19"/>
        <v>25914.889999999996</v>
      </c>
      <c r="AD27" s="762">
        <f t="shared" si="19"/>
        <v>3698.4500000000003</v>
      </c>
      <c r="AE27" s="762">
        <f t="shared" si="19"/>
        <v>125768.44999999998</v>
      </c>
      <c r="AF27" s="762">
        <f t="shared" si="19"/>
        <v>25405.226900000001</v>
      </c>
      <c r="AG27" s="762">
        <f t="shared" si="19"/>
        <v>371550.67690000002</v>
      </c>
      <c r="AH27" s="762">
        <f t="shared" si="19"/>
        <v>4058</v>
      </c>
      <c r="AI27" s="762">
        <f t="shared" si="19"/>
        <v>0</v>
      </c>
      <c r="AJ27" s="762">
        <f t="shared" si="19"/>
        <v>0</v>
      </c>
      <c r="AK27" s="762">
        <f t="shared" si="19"/>
        <v>0</v>
      </c>
      <c r="AL27" s="762">
        <f t="shared" si="19"/>
        <v>0</v>
      </c>
      <c r="AM27" s="762">
        <f t="shared" si="19"/>
        <v>0</v>
      </c>
      <c r="AN27" s="762">
        <f t="shared" si="19"/>
        <v>4058</v>
      </c>
      <c r="AO27" s="762">
        <f t="shared" si="19"/>
        <v>0</v>
      </c>
      <c r="AP27" s="762">
        <f t="shared" si="19"/>
        <v>7902.72</v>
      </c>
      <c r="AQ27" s="762">
        <f t="shared" si="19"/>
        <v>90387.99</v>
      </c>
      <c r="AR27" s="762">
        <f t="shared" si="19"/>
        <v>312892.63310000004</v>
      </c>
      <c r="AS27" s="1132">
        <f t="shared" si="15"/>
        <v>78.445801979537123</v>
      </c>
      <c r="AT27" s="762">
        <f t="shared" si="19"/>
        <v>133.38037903240783</v>
      </c>
      <c r="AU27" s="762">
        <f t="shared" si="19"/>
        <v>169586.70999999996</v>
      </c>
      <c r="AV27" s="762">
        <f t="shared" si="19"/>
        <v>36173.789999999994</v>
      </c>
      <c r="AW27" s="15"/>
      <c r="AX27" s="15"/>
    </row>
    <row r="28" spans="1:50" x14ac:dyDescent="0.25">
      <c r="A28" s="380"/>
      <c r="B28" s="380"/>
      <c r="C28" s="9"/>
      <c r="D28" s="375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5"/>
      <c r="P28" s="375"/>
      <c r="Q28" s="375"/>
      <c r="R28" s="375"/>
      <c r="S28" s="375"/>
      <c r="T28" s="375"/>
      <c r="U28" s="375"/>
      <c r="V28" s="849"/>
      <c r="W28" s="375"/>
      <c r="X28" s="375"/>
      <c r="Y28" s="763"/>
      <c r="Z28" s="375"/>
      <c r="AA28" s="375"/>
      <c r="AB28" s="375"/>
      <c r="AC28" s="764"/>
      <c r="AD28" s="375"/>
      <c r="AE28" s="1583">
        <f>AE27+AF27</f>
        <v>151173.67689999999</v>
      </c>
      <c r="AF28" s="375"/>
      <c r="AG28" s="349" t="s">
        <v>180</v>
      </c>
      <c r="AH28" s="349"/>
      <c r="AI28" s="9"/>
      <c r="AN28" t="s">
        <v>180</v>
      </c>
      <c r="AP28" t="s">
        <v>180</v>
      </c>
      <c r="AQ28" t="s">
        <v>180</v>
      </c>
    </row>
    <row r="29" spans="1:50" x14ac:dyDescent="0.25">
      <c r="C29" s="295" t="s">
        <v>753</v>
      </c>
      <c r="D29" s="375"/>
      <c r="E29" s="375"/>
      <c r="F29" s="375"/>
      <c r="G29" s="375"/>
      <c r="H29" s="763">
        <f>H8+H9+H10+H11+H12+H13+H14+H15</f>
        <v>4820.0999999999995</v>
      </c>
      <c r="I29" s="375"/>
      <c r="J29" s="375"/>
      <c r="K29" s="375"/>
      <c r="L29" s="375"/>
      <c r="M29" s="375"/>
      <c r="N29" s="375"/>
      <c r="O29" s="375"/>
      <c r="P29" s="375"/>
      <c r="Q29" s="375"/>
      <c r="R29" s="375"/>
      <c r="S29" s="375"/>
      <c r="T29" s="375"/>
      <c r="U29" s="375"/>
      <c r="V29" s="375"/>
      <c r="W29" s="375"/>
      <c r="X29" s="375"/>
      <c r="Y29" s="375"/>
      <c r="Z29" s="375"/>
      <c r="AA29" s="375"/>
      <c r="AB29" s="375"/>
      <c r="AC29" s="375"/>
      <c r="AD29" s="375"/>
      <c r="AE29" s="375"/>
      <c r="AF29" s="375"/>
      <c r="AG29" s="349"/>
      <c r="AH29" s="349"/>
      <c r="AI29" s="9"/>
    </row>
    <row r="30" spans="1:50" ht="18.75" x14ac:dyDescent="0.3"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75"/>
      <c r="P30" s="375"/>
      <c r="Q30" s="375"/>
      <c r="R30" s="375"/>
      <c r="S30" s="375"/>
      <c r="T30" s="375"/>
      <c r="U30" s="176"/>
      <c r="V30" s="375"/>
      <c r="W30" s="375"/>
      <c r="X30" s="375"/>
      <c r="Y30" s="375"/>
      <c r="Z30" s="375"/>
      <c r="AA30" s="375"/>
      <c r="AB30" s="375"/>
      <c r="AC30" s="375"/>
      <c r="AD30" s="375"/>
      <c r="AE30" s="375"/>
      <c r="AF30" s="375"/>
      <c r="AG30" s="375"/>
      <c r="AH30" s="375"/>
    </row>
    <row r="31" spans="1:50" ht="18.75" customHeight="1" x14ac:dyDescent="0.3"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V31" s="176"/>
      <c r="W31" s="176"/>
      <c r="X31" s="850"/>
      <c r="Y31" s="850"/>
      <c r="Z31" s="850"/>
      <c r="AA31" s="850"/>
      <c r="AB31" s="850"/>
      <c r="AC31" s="850"/>
      <c r="AD31" s="375"/>
      <c r="AE31" s="375"/>
      <c r="AF31" s="851"/>
      <c r="AG31" s="375"/>
      <c r="AH31" s="375"/>
    </row>
    <row r="32" spans="1:50" ht="15.75" customHeight="1" x14ac:dyDescent="0.25">
      <c r="D32" s="378"/>
      <c r="E32" s="378"/>
      <c r="F32" s="378"/>
      <c r="G32" s="378"/>
      <c r="H32" s="378"/>
      <c r="I32" s="378"/>
      <c r="J32" s="378"/>
      <c r="K32" s="378"/>
      <c r="L32" s="378"/>
      <c r="M32" s="378"/>
      <c r="N32" s="378"/>
      <c r="O32" s="378"/>
      <c r="P32" s="378"/>
      <c r="Q32" s="378"/>
      <c r="R32" s="378"/>
      <c r="S32" s="378"/>
      <c r="T32" s="378"/>
      <c r="U32" s="378"/>
      <c r="V32" s="378"/>
      <c r="W32" s="378"/>
      <c r="X32" s="378"/>
      <c r="Y32" s="378"/>
      <c r="Z32" s="378"/>
      <c r="AA32" s="378"/>
      <c r="AB32" s="378"/>
      <c r="AC32" s="378"/>
      <c r="AD32" s="378"/>
      <c r="AE32" s="378"/>
      <c r="AF32" s="378"/>
      <c r="AG32" s="378"/>
      <c r="AH32" s="375"/>
    </row>
    <row r="33" spans="1:35" ht="15" customHeight="1" x14ac:dyDescent="0.25">
      <c r="D33" s="375"/>
      <c r="E33" s="375"/>
      <c r="F33" s="375"/>
      <c r="G33" s="375"/>
      <c r="H33" s="375"/>
      <c r="I33" s="378"/>
      <c r="J33" s="378"/>
      <c r="K33" s="378"/>
      <c r="L33" s="378"/>
      <c r="M33" s="378"/>
      <c r="N33" s="378"/>
      <c r="O33" s="378"/>
      <c r="P33" s="378"/>
      <c r="Q33" s="378"/>
      <c r="R33" s="378"/>
      <c r="S33" s="378"/>
      <c r="T33" s="378"/>
      <c r="U33" s="378"/>
      <c r="V33" s="378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49"/>
      <c r="AI33" s="9"/>
    </row>
    <row r="34" spans="1:35" ht="24" customHeight="1" x14ac:dyDescent="0.25">
      <c r="A34" s="2083" t="s">
        <v>0</v>
      </c>
      <c r="B34" s="2014"/>
      <c r="C34" s="2083" t="s">
        <v>184</v>
      </c>
      <c r="D34" s="1561" t="s">
        <v>54</v>
      </c>
      <c r="E34" s="1561" t="s">
        <v>55</v>
      </c>
      <c r="F34" s="1561" t="s">
        <v>56</v>
      </c>
      <c r="G34" s="1561" t="s">
        <v>57</v>
      </c>
      <c r="H34" s="1561" t="s">
        <v>6</v>
      </c>
      <c r="I34" s="378"/>
      <c r="J34" s="378"/>
      <c r="K34" s="378"/>
      <c r="L34" s="378"/>
      <c r="M34" s="378"/>
      <c r="N34" s="378"/>
      <c r="O34" s="378"/>
      <c r="P34" s="378"/>
      <c r="Q34" s="378"/>
      <c r="R34" s="378"/>
      <c r="S34" s="378"/>
      <c r="T34" s="378"/>
      <c r="U34" s="378"/>
      <c r="V34" s="378"/>
      <c r="W34" s="378"/>
      <c r="X34" s="378"/>
      <c r="Y34" s="378"/>
      <c r="Z34" s="378"/>
      <c r="AA34" s="378"/>
      <c r="AB34" s="378"/>
      <c r="AC34" s="378"/>
      <c r="AD34" s="378"/>
      <c r="AE34" s="378"/>
      <c r="AF34" s="378"/>
      <c r="AG34" s="378"/>
      <c r="AH34" s="2166"/>
      <c r="AI34" s="2160"/>
    </row>
    <row r="35" spans="1:35" ht="30" customHeight="1" x14ac:dyDescent="0.25">
      <c r="A35" s="2083"/>
      <c r="B35" s="2015"/>
      <c r="C35" s="2083"/>
      <c r="D35" s="1563"/>
      <c r="E35" s="1563"/>
      <c r="F35" s="1563"/>
      <c r="G35" s="1563"/>
      <c r="H35" s="1563"/>
      <c r="I35" s="378"/>
      <c r="J35" s="378"/>
      <c r="K35" s="378"/>
      <c r="L35" s="378"/>
      <c r="M35" s="378"/>
      <c r="N35" s="378"/>
      <c r="O35" s="378"/>
      <c r="P35" s="378"/>
      <c r="Q35" s="378"/>
      <c r="R35" s="378"/>
      <c r="S35" s="378"/>
      <c r="T35" s="378"/>
      <c r="U35" s="378"/>
      <c r="V35" s="378"/>
      <c r="W35" s="378"/>
      <c r="X35" s="378"/>
      <c r="Y35" s="378"/>
      <c r="Z35" s="378"/>
      <c r="AA35" s="378"/>
      <c r="AB35" s="378"/>
      <c r="AC35" s="378"/>
      <c r="AD35" s="378"/>
      <c r="AE35" s="378"/>
      <c r="AF35" s="378"/>
      <c r="AG35" s="378"/>
      <c r="AH35" s="2166"/>
      <c r="AI35" s="2160"/>
    </row>
    <row r="36" spans="1:35" ht="15" customHeight="1" x14ac:dyDescent="0.25">
      <c r="A36" s="112">
        <v>1</v>
      </c>
      <c r="B36" s="584">
        <v>42569</v>
      </c>
      <c r="C36" s="52" t="s">
        <v>126</v>
      </c>
      <c r="D36" s="702">
        <v>1965</v>
      </c>
      <c r="E36" s="702">
        <v>2</v>
      </c>
      <c r="F36" s="702">
        <v>16</v>
      </c>
      <c r="G36" s="661">
        <v>35</v>
      </c>
      <c r="H36" s="728">
        <v>653.4</v>
      </c>
      <c r="I36" s="378"/>
      <c r="J36" s="378"/>
      <c r="K36" s="378"/>
      <c r="L36" s="378"/>
      <c r="M36" s="378"/>
      <c r="N36" s="378"/>
      <c r="O36" s="378"/>
      <c r="P36" s="378"/>
      <c r="Q36" s="378"/>
      <c r="R36" s="378"/>
      <c r="S36" s="378"/>
      <c r="T36" s="378"/>
      <c r="U36" s="378"/>
      <c r="V36" s="378"/>
      <c r="W36" s="378"/>
      <c r="X36" s="378"/>
      <c r="Y36" s="378"/>
      <c r="Z36" s="378"/>
      <c r="AA36" s="378"/>
      <c r="AB36" s="378"/>
      <c r="AC36" s="378"/>
      <c r="AD36" s="378"/>
      <c r="AE36" s="378"/>
      <c r="AF36" s="378"/>
      <c r="AG36" s="378"/>
      <c r="AH36" s="350"/>
      <c r="AI36" s="9"/>
    </row>
    <row r="37" spans="1:35" ht="15" customHeight="1" x14ac:dyDescent="0.25">
      <c r="A37" s="22">
        <v>2</v>
      </c>
      <c r="B37" s="584">
        <v>42569</v>
      </c>
      <c r="C37" s="43" t="s">
        <v>127</v>
      </c>
      <c r="D37" s="737">
        <v>1965</v>
      </c>
      <c r="E37" s="737">
        <v>2</v>
      </c>
      <c r="F37" s="737">
        <v>16</v>
      </c>
      <c r="G37" s="661">
        <v>31</v>
      </c>
      <c r="H37" s="855">
        <v>658.2</v>
      </c>
      <c r="I37" s="378"/>
      <c r="J37" s="378"/>
      <c r="K37" s="378"/>
      <c r="L37" s="378"/>
      <c r="M37" s="378"/>
      <c r="N37" s="378"/>
      <c r="O37" s="378"/>
      <c r="P37" s="378"/>
      <c r="Q37" s="378"/>
      <c r="R37" s="378"/>
      <c r="S37" s="378"/>
      <c r="T37" s="378"/>
      <c r="U37" s="378"/>
      <c r="V37" s="378"/>
      <c r="W37" s="378"/>
      <c r="X37" s="378"/>
      <c r="Y37" s="378"/>
      <c r="Z37" s="378"/>
      <c r="AA37" s="378"/>
      <c r="AB37" s="378"/>
      <c r="AC37" s="378"/>
      <c r="AD37" s="378"/>
      <c r="AE37" s="378"/>
      <c r="AF37" s="378"/>
      <c r="AG37" s="378"/>
      <c r="AH37" s="350"/>
      <c r="AI37" s="9"/>
    </row>
    <row r="38" spans="1:35" ht="15" customHeight="1" x14ac:dyDescent="0.25">
      <c r="A38" s="22">
        <v>3</v>
      </c>
      <c r="B38" s="584">
        <v>42569</v>
      </c>
      <c r="C38" s="43" t="s">
        <v>128</v>
      </c>
      <c r="D38" s="737">
        <v>1965</v>
      </c>
      <c r="E38" s="737">
        <v>2</v>
      </c>
      <c r="F38" s="737">
        <v>16</v>
      </c>
      <c r="G38" s="661">
        <v>36</v>
      </c>
      <c r="H38" s="855">
        <v>663.6</v>
      </c>
      <c r="I38" s="378"/>
      <c r="J38" s="378"/>
      <c r="K38" s="378"/>
      <c r="L38" s="378"/>
      <c r="M38" s="378"/>
      <c r="N38" s="378"/>
      <c r="O38" s="378"/>
      <c r="P38" s="378"/>
      <c r="Q38" s="378"/>
      <c r="R38" s="378"/>
      <c r="S38" s="378"/>
      <c r="T38" s="378"/>
      <c r="U38" s="378"/>
      <c r="V38" s="378"/>
      <c r="W38" s="378"/>
      <c r="X38" s="378"/>
      <c r="Y38" s="378"/>
      <c r="Z38" s="378"/>
      <c r="AA38" s="378"/>
      <c r="AB38" s="378"/>
      <c r="AC38" s="378"/>
      <c r="AD38" s="378"/>
      <c r="AE38" s="378"/>
      <c r="AF38" s="378"/>
      <c r="AG38" s="378"/>
      <c r="AH38" s="350"/>
      <c r="AI38" s="9"/>
    </row>
    <row r="39" spans="1:35" ht="15" customHeight="1" x14ac:dyDescent="0.25">
      <c r="A39" s="22">
        <v>4</v>
      </c>
      <c r="B39" s="584">
        <v>42569</v>
      </c>
      <c r="C39" s="43" t="s">
        <v>129</v>
      </c>
      <c r="D39" s="737">
        <v>1965</v>
      </c>
      <c r="E39" s="737">
        <v>2</v>
      </c>
      <c r="F39" s="737">
        <v>16</v>
      </c>
      <c r="G39" s="661">
        <v>39</v>
      </c>
      <c r="H39" s="855">
        <v>654.70000000000005</v>
      </c>
      <c r="I39" s="378"/>
      <c r="J39" s="378"/>
      <c r="K39" s="378"/>
      <c r="L39" s="378"/>
      <c r="M39" s="378"/>
      <c r="N39" s="378"/>
      <c r="O39" s="378"/>
      <c r="P39" s="378"/>
      <c r="Q39" s="378"/>
      <c r="R39" s="378"/>
      <c r="S39" s="378"/>
      <c r="T39" s="378"/>
      <c r="U39" s="378"/>
      <c r="V39" s="378"/>
      <c r="W39" s="378"/>
      <c r="X39" s="378"/>
      <c r="Y39" s="378"/>
      <c r="Z39" s="378"/>
      <c r="AA39" s="378"/>
      <c r="AB39" s="378"/>
      <c r="AC39" s="378"/>
      <c r="AD39" s="378"/>
      <c r="AE39" s="378"/>
      <c r="AF39" s="378"/>
      <c r="AG39" s="378"/>
      <c r="AH39" s="350"/>
      <c r="AI39" s="9"/>
    </row>
    <row r="40" spans="1:35" ht="15" customHeight="1" x14ac:dyDescent="0.25">
      <c r="A40" s="22">
        <v>5</v>
      </c>
      <c r="B40" s="584">
        <v>42569</v>
      </c>
      <c r="C40" s="43" t="s">
        <v>130</v>
      </c>
      <c r="D40" s="737">
        <v>1995</v>
      </c>
      <c r="E40" s="737">
        <v>2</v>
      </c>
      <c r="F40" s="737">
        <v>8</v>
      </c>
      <c r="G40" s="661">
        <v>23</v>
      </c>
      <c r="H40" s="855">
        <v>548.70000000000005</v>
      </c>
      <c r="I40" s="378"/>
      <c r="J40" s="378"/>
      <c r="K40" s="378"/>
      <c r="L40" s="378"/>
      <c r="M40" s="378"/>
      <c r="N40" s="378"/>
      <c r="O40" s="378"/>
      <c r="P40" s="378"/>
      <c r="Q40" s="378"/>
      <c r="R40" s="378"/>
      <c r="S40" s="378"/>
      <c r="T40" s="378"/>
      <c r="U40" s="378"/>
      <c r="V40" s="378"/>
      <c r="W40" s="378"/>
      <c r="X40" s="378"/>
      <c r="Y40" s="378"/>
      <c r="Z40" s="378"/>
      <c r="AA40" s="378"/>
      <c r="AB40" s="378"/>
      <c r="AC40" s="378"/>
      <c r="AD40" s="378"/>
      <c r="AE40" s="378"/>
      <c r="AF40" s="378"/>
      <c r="AG40" s="378"/>
      <c r="AH40" s="350"/>
      <c r="AI40" s="9"/>
    </row>
    <row r="41" spans="1:35" ht="15" customHeight="1" x14ac:dyDescent="0.25">
      <c r="A41" s="22">
        <v>6</v>
      </c>
      <c r="B41" s="584">
        <v>42569</v>
      </c>
      <c r="C41" s="43" t="s">
        <v>131</v>
      </c>
      <c r="D41" s="737">
        <v>1995</v>
      </c>
      <c r="E41" s="737">
        <v>2</v>
      </c>
      <c r="F41" s="737">
        <v>8</v>
      </c>
      <c r="G41" s="661">
        <v>27</v>
      </c>
      <c r="H41" s="855">
        <v>548.6</v>
      </c>
      <c r="I41" s="378"/>
      <c r="J41" s="378"/>
      <c r="K41" s="378"/>
      <c r="L41" s="378"/>
      <c r="M41" s="378"/>
      <c r="N41" s="378"/>
      <c r="O41" s="378"/>
      <c r="P41" s="378"/>
      <c r="Q41" s="378"/>
      <c r="R41" s="378"/>
      <c r="S41" s="378"/>
      <c r="T41" s="378"/>
      <c r="U41" s="378"/>
      <c r="V41" s="378"/>
      <c r="W41" s="378"/>
      <c r="X41" s="378"/>
      <c r="Y41" s="378"/>
      <c r="Z41" s="378"/>
      <c r="AA41" s="378"/>
      <c r="AB41" s="378"/>
      <c r="AC41" s="378"/>
      <c r="AD41" s="378"/>
      <c r="AE41" s="378"/>
      <c r="AF41" s="378"/>
      <c r="AG41" s="378"/>
      <c r="AH41" s="350"/>
      <c r="AI41" s="9"/>
    </row>
    <row r="42" spans="1:35" ht="15" customHeight="1" x14ac:dyDescent="0.25">
      <c r="A42" s="22">
        <v>7</v>
      </c>
      <c r="B42" s="584">
        <v>42569</v>
      </c>
      <c r="C42" s="43" t="s">
        <v>132</v>
      </c>
      <c r="D42" s="737">
        <v>1995</v>
      </c>
      <c r="E42" s="737">
        <v>2</v>
      </c>
      <c r="F42" s="737">
        <v>8</v>
      </c>
      <c r="G42" s="661">
        <v>30</v>
      </c>
      <c r="H42" s="855">
        <v>544.20000000000005</v>
      </c>
      <c r="I42" s="378"/>
      <c r="J42" s="378"/>
      <c r="K42" s="378"/>
      <c r="L42" s="378"/>
      <c r="M42" s="378"/>
      <c r="N42" s="378"/>
      <c r="O42" s="378"/>
      <c r="P42" s="378"/>
      <c r="Q42" s="378"/>
      <c r="R42" s="378"/>
      <c r="S42" s="378"/>
      <c r="T42" s="378"/>
      <c r="U42" s="378"/>
      <c r="V42" s="378"/>
      <c r="W42" s="378"/>
      <c r="X42" s="378"/>
      <c r="Y42" s="378"/>
      <c r="Z42" s="378"/>
      <c r="AA42" s="378"/>
      <c r="AB42" s="378"/>
      <c r="AC42" s="378"/>
      <c r="AD42" s="378"/>
      <c r="AE42" s="378"/>
      <c r="AF42" s="378"/>
      <c r="AG42" s="378"/>
      <c r="AH42" s="350"/>
      <c r="AI42" s="9"/>
    </row>
    <row r="43" spans="1:35" ht="15" customHeight="1" x14ac:dyDescent="0.25">
      <c r="A43" s="379">
        <v>8</v>
      </c>
      <c r="B43" s="584">
        <v>42569</v>
      </c>
      <c r="C43" s="256" t="s">
        <v>133</v>
      </c>
      <c r="D43" s="842">
        <v>1995</v>
      </c>
      <c r="E43" s="842">
        <v>2</v>
      </c>
      <c r="F43" s="842">
        <v>8</v>
      </c>
      <c r="G43" s="661">
        <v>29</v>
      </c>
      <c r="H43" s="856">
        <v>548.70000000000005</v>
      </c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78"/>
      <c r="X43" s="378"/>
      <c r="Y43" s="378"/>
      <c r="Z43" s="378"/>
      <c r="AA43" s="378"/>
      <c r="AB43" s="378"/>
      <c r="AC43" s="378"/>
      <c r="AD43" s="378"/>
      <c r="AE43" s="378"/>
      <c r="AF43" s="378"/>
      <c r="AG43" s="378"/>
      <c r="AH43" s="350"/>
      <c r="AI43" s="9"/>
    </row>
    <row r="44" spans="1:35" ht="15" customHeight="1" x14ac:dyDescent="0.25">
      <c r="A44" s="22"/>
      <c r="B44" s="22"/>
      <c r="C44" s="381" t="s">
        <v>125</v>
      </c>
      <c r="D44" s="845"/>
      <c r="E44" s="845"/>
      <c r="F44" s="845">
        <f>SUM(F36:F43)</f>
        <v>96</v>
      </c>
      <c r="G44" s="845">
        <f>SUM(G36:G43)</f>
        <v>250</v>
      </c>
      <c r="H44" s="847">
        <f>SUM(H36:H43)</f>
        <v>4820.0999999999995</v>
      </c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  <c r="T44" s="378"/>
      <c r="U44" s="378"/>
      <c r="V44" s="378"/>
      <c r="W44" s="378"/>
      <c r="X44" s="378"/>
      <c r="Y44" s="378"/>
      <c r="Z44" s="378"/>
      <c r="AA44" s="378"/>
      <c r="AB44" s="378"/>
      <c r="AC44" s="378"/>
      <c r="AD44" s="378"/>
      <c r="AE44" s="378"/>
      <c r="AF44" s="378"/>
      <c r="AG44" s="378"/>
      <c r="AH44" s="857"/>
      <c r="AI44" s="385"/>
    </row>
    <row r="45" spans="1:35" ht="15" customHeight="1" x14ac:dyDescent="0.25">
      <c r="D45" s="375"/>
      <c r="E45" s="375"/>
      <c r="F45" s="375"/>
      <c r="G45" s="375"/>
      <c r="H45" s="375"/>
      <c r="I45" s="378"/>
      <c r="J45" s="378"/>
      <c r="K45" s="378"/>
      <c r="L45" s="378"/>
      <c r="M45" s="378"/>
      <c r="N45" s="378"/>
      <c r="O45" s="378"/>
      <c r="P45" s="378"/>
      <c r="Q45" s="378"/>
      <c r="R45" s="378"/>
      <c r="S45" s="378"/>
      <c r="T45" s="378"/>
      <c r="U45" s="378"/>
      <c r="V45" s="378"/>
      <c r="W45" s="378"/>
      <c r="X45" s="378"/>
      <c r="Y45" s="378"/>
      <c r="Z45" s="378"/>
      <c r="AA45" s="378"/>
      <c r="AB45" s="378"/>
      <c r="AC45" s="378"/>
      <c r="AD45" s="378"/>
      <c r="AE45" s="378"/>
      <c r="AF45" s="378"/>
      <c r="AG45" s="378"/>
      <c r="AH45" s="349"/>
      <c r="AI45" s="9"/>
    </row>
    <row r="46" spans="1:35" ht="15" customHeight="1" x14ac:dyDescent="0.25">
      <c r="D46" s="375"/>
      <c r="E46" s="375"/>
      <c r="F46" s="375"/>
      <c r="G46" s="375"/>
      <c r="H46" s="375"/>
      <c r="I46" s="378"/>
      <c r="J46" s="378"/>
      <c r="K46" s="378"/>
      <c r="L46" s="378"/>
      <c r="M46" s="378"/>
      <c r="N46" s="378"/>
      <c r="O46" s="378"/>
      <c r="P46" s="378"/>
      <c r="Q46" s="378"/>
      <c r="R46" s="378"/>
      <c r="S46" s="378"/>
      <c r="T46" s="378"/>
      <c r="U46" s="378"/>
      <c r="V46" s="378"/>
      <c r="W46" s="378"/>
      <c r="X46" s="378"/>
      <c r="Y46" s="378"/>
      <c r="Z46" s="378"/>
      <c r="AA46" s="378"/>
      <c r="AB46" s="378"/>
      <c r="AC46" s="378"/>
      <c r="AD46" s="378"/>
      <c r="AE46" s="378"/>
      <c r="AF46" s="378"/>
      <c r="AG46" s="378"/>
      <c r="AH46" s="349"/>
      <c r="AI46" s="9"/>
    </row>
    <row r="47" spans="1:35" ht="15" customHeight="1" x14ac:dyDescent="0.25">
      <c r="D47" s="375"/>
      <c r="E47" s="375"/>
      <c r="F47" s="375"/>
      <c r="G47" s="375"/>
      <c r="H47" s="375"/>
      <c r="I47" s="378"/>
      <c r="J47" s="378"/>
      <c r="K47" s="378"/>
      <c r="L47" s="378"/>
      <c r="M47" s="378"/>
      <c r="N47" s="378"/>
      <c r="O47" s="378"/>
      <c r="P47" s="378"/>
      <c r="Q47" s="378"/>
      <c r="R47" s="378"/>
      <c r="S47" s="378"/>
      <c r="T47" s="378"/>
      <c r="U47" s="378"/>
      <c r="V47" s="378"/>
      <c r="W47" s="378"/>
      <c r="X47" s="378"/>
      <c r="Y47" s="378"/>
      <c r="Z47" s="378"/>
      <c r="AA47" s="378"/>
      <c r="AB47" s="378"/>
      <c r="AC47" s="378"/>
      <c r="AD47" s="378"/>
      <c r="AE47" s="378"/>
      <c r="AF47" s="378"/>
      <c r="AG47" s="378"/>
      <c r="AH47" s="349"/>
      <c r="AI47" s="9"/>
    </row>
    <row r="48" spans="1:35" ht="15" customHeight="1" x14ac:dyDescent="0.25">
      <c r="D48" s="375"/>
      <c r="E48" s="375"/>
      <c r="F48" s="375"/>
      <c r="G48" s="375"/>
      <c r="H48" s="375"/>
      <c r="I48" s="378"/>
      <c r="J48" s="378"/>
      <c r="K48" s="378"/>
      <c r="L48" s="378"/>
      <c r="M48" s="378"/>
      <c r="N48" s="378"/>
      <c r="O48" s="378"/>
      <c r="P48" s="378"/>
      <c r="Q48" s="378"/>
      <c r="R48" s="378"/>
      <c r="S48" s="378"/>
      <c r="T48" s="378"/>
      <c r="U48" s="378"/>
      <c r="V48" s="378"/>
      <c r="W48" s="378"/>
      <c r="X48" s="378"/>
      <c r="Y48" s="378"/>
      <c r="Z48" s="378"/>
      <c r="AA48" s="378"/>
      <c r="AB48" s="378"/>
      <c r="AC48" s="378"/>
      <c r="AD48" s="378"/>
      <c r="AE48" s="378"/>
      <c r="AF48" s="378"/>
      <c r="AG48" s="378"/>
      <c r="AH48" s="349"/>
      <c r="AI48" s="9"/>
    </row>
    <row r="49" spans="4:34" ht="15" customHeight="1" x14ac:dyDescent="0.25">
      <c r="D49" s="375"/>
      <c r="E49" s="375"/>
      <c r="F49" s="375"/>
      <c r="G49" s="375"/>
      <c r="H49" s="375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78"/>
      <c r="T49" s="378"/>
      <c r="U49" s="378"/>
      <c r="V49" s="378"/>
      <c r="W49" s="378"/>
      <c r="X49" s="378"/>
      <c r="Y49" s="378"/>
      <c r="Z49" s="378"/>
      <c r="AA49" s="378"/>
      <c r="AB49" s="378"/>
      <c r="AC49" s="378"/>
      <c r="AD49" s="378"/>
      <c r="AE49" s="378"/>
      <c r="AF49" s="378"/>
      <c r="AG49" s="378"/>
      <c r="AH49" s="375"/>
    </row>
    <row r="50" spans="4:34" ht="15" customHeight="1" x14ac:dyDescent="0.25">
      <c r="D50" s="375"/>
      <c r="E50" s="375"/>
      <c r="F50" s="375"/>
      <c r="G50" s="375"/>
      <c r="H50" s="375"/>
      <c r="I50" s="378"/>
      <c r="J50" s="378"/>
      <c r="K50" s="378"/>
      <c r="L50" s="378"/>
      <c r="M50" s="378"/>
      <c r="N50" s="378"/>
      <c r="O50" s="378"/>
      <c r="P50" s="378"/>
      <c r="Q50" s="378"/>
      <c r="R50" s="378"/>
      <c r="S50" s="378"/>
      <c r="T50" s="378"/>
      <c r="U50" s="378"/>
      <c r="V50" s="378"/>
      <c r="W50" s="378"/>
      <c r="X50" s="378"/>
      <c r="Y50" s="378"/>
      <c r="Z50" s="378"/>
      <c r="AA50" s="378"/>
      <c r="AB50" s="378"/>
      <c r="AC50" s="378"/>
      <c r="AD50" s="378"/>
      <c r="AE50" s="378"/>
      <c r="AF50" s="378"/>
      <c r="AG50" s="378"/>
      <c r="AH50" s="375"/>
    </row>
    <row r="51" spans="4:34" ht="15" customHeight="1" x14ac:dyDescent="0.25">
      <c r="D51" s="375"/>
      <c r="E51" s="375"/>
      <c r="F51" s="375"/>
      <c r="G51" s="375"/>
      <c r="H51" s="375"/>
      <c r="I51" s="378"/>
      <c r="J51" s="378"/>
      <c r="K51" s="378"/>
      <c r="L51" s="378"/>
      <c r="M51" s="378"/>
      <c r="N51" s="378"/>
      <c r="O51" s="378"/>
      <c r="P51" s="378"/>
      <c r="Q51" s="378"/>
      <c r="R51" s="378"/>
      <c r="S51" s="378"/>
      <c r="T51" s="378"/>
      <c r="U51" s="378"/>
      <c r="V51" s="378"/>
      <c r="W51" s="378"/>
      <c r="X51" s="378"/>
      <c r="Y51" s="378"/>
      <c r="Z51" s="378"/>
      <c r="AA51" s="378"/>
      <c r="AB51" s="378"/>
      <c r="AC51" s="378"/>
      <c r="AD51" s="378"/>
      <c r="AE51" s="378"/>
      <c r="AF51" s="378"/>
      <c r="AG51" s="378"/>
      <c r="AH51" s="375"/>
    </row>
    <row r="52" spans="4:34" ht="15" customHeight="1" x14ac:dyDescent="0.25">
      <c r="D52" s="375"/>
      <c r="E52" s="375"/>
      <c r="F52" s="375"/>
      <c r="G52" s="375"/>
      <c r="H52" s="375"/>
      <c r="I52" s="378"/>
      <c r="J52" s="378"/>
      <c r="K52" s="378"/>
      <c r="L52" s="378"/>
      <c r="M52" s="378"/>
      <c r="N52" s="378"/>
      <c r="O52" s="378"/>
      <c r="P52" s="378"/>
      <c r="Q52" s="378"/>
      <c r="R52" s="378"/>
      <c r="S52" s="378"/>
      <c r="T52" s="378"/>
      <c r="U52" s="378"/>
      <c r="V52" s="378"/>
      <c r="W52" s="378"/>
      <c r="X52" s="378"/>
      <c r="Y52" s="378"/>
      <c r="Z52" s="378"/>
      <c r="AA52" s="378"/>
      <c r="AB52" s="378"/>
      <c r="AC52" s="378"/>
      <c r="AD52" s="378"/>
      <c r="AE52" s="378"/>
      <c r="AF52" s="378"/>
      <c r="AG52" s="378"/>
      <c r="AH52" s="375"/>
    </row>
    <row r="53" spans="4:34" x14ac:dyDescent="0.25"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5"/>
      <c r="AD53" s="375"/>
      <c r="AE53" s="375"/>
      <c r="AF53" s="375"/>
      <c r="AG53" s="375"/>
      <c r="AH53" s="375"/>
    </row>
    <row r="54" spans="4:34" x14ac:dyDescent="0.25">
      <c r="D54" s="375"/>
      <c r="E54" s="375"/>
      <c r="F54" s="375"/>
      <c r="G54" s="375"/>
      <c r="H54" s="375"/>
      <c r="I54" s="375"/>
      <c r="J54" s="375"/>
      <c r="K54" s="375"/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375"/>
      <c r="Y54" s="375"/>
      <c r="Z54" s="375"/>
      <c r="AA54" s="375"/>
      <c r="AB54" s="375"/>
      <c r="AC54" s="375"/>
      <c r="AD54" s="375"/>
      <c r="AE54" s="375"/>
      <c r="AF54" s="375"/>
      <c r="AG54" s="375"/>
      <c r="AH54" s="375"/>
    </row>
    <row r="55" spans="4:34" x14ac:dyDescent="0.25">
      <c r="D55" s="375"/>
      <c r="E55" s="375"/>
      <c r="F55" s="375"/>
      <c r="G55" s="375"/>
      <c r="H55" s="375"/>
      <c r="I55" s="375"/>
      <c r="J55" s="375"/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  <c r="Y55" s="375"/>
      <c r="Z55" s="375"/>
      <c r="AA55" s="375"/>
      <c r="AB55" s="375"/>
      <c r="AC55" s="375"/>
      <c r="AD55" s="375"/>
      <c r="AE55" s="375"/>
      <c r="AF55" s="375"/>
      <c r="AG55" s="375"/>
      <c r="AH55" s="375"/>
    </row>
    <row r="56" spans="4:34" x14ac:dyDescent="0.25"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375"/>
      <c r="Y56" s="375"/>
      <c r="Z56" s="375"/>
      <c r="AA56" s="375"/>
      <c r="AB56" s="375"/>
      <c r="AC56" s="375"/>
      <c r="AD56" s="375"/>
      <c r="AE56" s="375"/>
      <c r="AF56" s="375"/>
      <c r="AG56" s="375"/>
      <c r="AH56" s="375"/>
    </row>
    <row r="57" spans="4:34" x14ac:dyDescent="0.25"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</row>
    <row r="58" spans="4:34" x14ac:dyDescent="0.25"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  <c r="Y58" s="375"/>
      <c r="Z58" s="375"/>
      <c r="AA58" s="375"/>
      <c r="AB58" s="375"/>
      <c r="AC58" s="375"/>
      <c r="AD58" s="375"/>
      <c r="AE58" s="375"/>
      <c r="AF58" s="375"/>
      <c r="AG58" s="375"/>
      <c r="AH58" s="375"/>
    </row>
    <row r="59" spans="4:34" x14ac:dyDescent="0.25">
      <c r="D59" s="375"/>
      <c r="E59" s="375"/>
      <c r="F59" s="375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375"/>
      <c r="U59" s="375"/>
      <c r="V59" s="375"/>
      <c r="W59" s="375"/>
      <c r="X59" s="375"/>
      <c r="Y59" s="375"/>
      <c r="Z59" s="375"/>
      <c r="AA59" s="375"/>
      <c r="AB59" s="375"/>
      <c r="AC59" s="375"/>
      <c r="AD59" s="375"/>
      <c r="AE59" s="375"/>
      <c r="AF59" s="375"/>
      <c r="AG59" s="375"/>
      <c r="AH59" s="375"/>
    </row>
    <row r="60" spans="4:34" x14ac:dyDescent="0.25">
      <c r="D60" s="375"/>
      <c r="E60" s="375"/>
      <c r="F60" s="375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375"/>
      <c r="Y60" s="375"/>
      <c r="Z60" s="375"/>
      <c r="AA60" s="375"/>
      <c r="AB60" s="375"/>
      <c r="AC60" s="375"/>
      <c r="AD60" s="375"/>
      <c r="AE60" s="375"/>
      <c r="AF60" s="375"/>
      <c r="AG60" s="375"/>
      <c r="AH60" s="375"/>
    </row>
    <row r="61" spans="4:34" x14ac:dyDescent="0.25"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375"/>
      <c r="Y61" s="375"/>
      <c r="Z61" s="375"/>
      <c r="AA61" s="375"/>
      <c r="AB61" s="375"/>
      <c r="AC61" s="375"/>
      <c r="AD61" s="375"/>
      <c r="AE61" s="375"/>
      <c r="AF61" s="375"/>
      <c r="AG61" s="375"/>
      <c r="AH61" s="375"/>
    </row>
    <row r="62" spans="4:34" x14ac:dyDescent="0.25">
      <c r="D62" s="375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375"/>
      <c r="Y62" s="375"/>
      <c r="Z62" s="375"/>
      <c r="AA62" s="375"/>
      <c r="AB62" s="375"/>
      <c r="AC62" s="375"/>
      <c r="AD62" s="375"/>
      <c r="AE62" s="375"/>
      <c r="AF62" s="375"/>
      <c r="AG62" s="375"/>
      <c r="AH62" s="375"/>
    </row>
    <row r="63" spans="4:34" x14ac:dyDescent="0.25">
      <c r="D63" s="375"/>
      <c r="E63" s="375"/>
      <c r="F63" s="375"/>
      <c r="G63" s="375"/>
      <c r="H63" s="375"/>
      <c r="I63" s="375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  <c r="AA63" s="375"/>
      <c r="AB63" s="375"/>
      <c r="AC63" s="375"/>
      <c r="AD63" s="375"/>
      <c r="AE63" s="375"/>
      <c r="AF63" s="375"/>
      <c r="AG63" s="375"/>
      <c r="AH63" s="375"/>
    </row>
    <row r="64" spans="4:34" x14ac:dyDescent="0.25">
      <c r="D64" s="375"/>
      <c r="E64" s="375"/>
      <c r="F64" s="375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375"/>
      <c r="Y64" s="375"/>
      <c r="Z64" s="375"/>
      <c r="AA64" s="375"/>
      <c r="AB64" s="375"/>
      <c r="AC64" s="375"/>
      <c r="AD64" s="375"/>
      <c r="AE64" s="375"/>
      <c r="AF64" s="375"/>
      <c r="AG64" s="375"/>
      <c r="AH64" s="375"/>
    </row>
    <row r="65" spans="4:34" x14ac:dyDescent="0.25"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  <c r="Y65" s="375"/>
      <c r="Z65" s="375"/>
      <c r="AA65" s="375"/>
      <c r="AB65" s="375"/>
      <c r="AC65" s="375"/>
      <c r="AD65" s="375"/>
      <c r="AE65" s="375"/>
      <c r="AF65" s="375"/>
      <c r="AG65" s="375"/>
      <c r="AH65" s="375"/>
    </row>
    <row r="66" spans="4:34" x14ac:dyDescent="0.25"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  <c r="Y66" s="375"/>
      <c r="Z66" s="375"/>
      <c r="AA66" s="375"/>
      <c r="AB66" s="375"/>
      <c r="AC66" s="375"/>
      <c r="AD66" s="375"/>
      <c r="AE66" s="375"/>
      <c r="AF66" s="375"/>
      <c r="AG66" s="375"/>
      <c r="AH66" s="375"/>
    </row>
    <row r="67" spans="4:34" x14ac:dyDescent="0.25">
      <c r="D67" s="375"/>
      <c r="E67" s="375"/>
      <c r="F67" s="375"/>
      <c r="G67" s="375"/>
      <c r="H67" s="375"/>
      <c r="I67" s="375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375"/>
      <c r="AD67" s="375"/>
      <c r="AE67" s="375"/>
      <c r="AF67" s="375"/>
      <c r="AG67" s="375"/>
      <c r="AH67" s="375"/>
    </row>
    <row r="68" spans="4:34" x14ac:dyDescent="0.25"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  <c r="AG68" s="375"/>
      <c r="AH68" s="375"/>
    </row>
    <row r="69" spans="4:34" x14ac:dyDescent="0.25">
      <c r="D69" s="375"/>
      <c r="E69" s="375"/>
      <c r="F69" s="375"/>
      <c r="G69" s="375"/>
      <c r="H69" s="375"/>
      <c r="I69" s="375"/>
      <c r="J69" s="375"/>
      <c r="K69" s="37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  <c r="AD69" s="375"/>
      <c r="AE69" s="375"/>
      <c r="AF69" s="375"/>
      <c r="AG69" s="375"/>
      <c r="AH69" s="375"/>
    </row>
    <row r="70" spans="4:34" x14ac:dyDescent="0.25"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5"/>
      <c r="AD70" s="375"/>
      <c r="AE70" s="375"/>
      <c r="AF70" s="375"/>
      <c r="AG70" s="375"/>
      <c r="AH70" s="375"/>
    </row>
    <row r="71" spans="4:34" x14ac:dyDescent="0.25">
      <c r="D71" s="375"/>
      <c r="E71" s="375"/>
      <c r="F71" s="375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  <c r="AE71" s="375"/>
      <c r="AF71" s="375"/>
      <c r="AG71" s="375"/>
      <c r="AH71" s="375"/>
    </row>
    <row r="72" spans="4:34" x14ac:dyDescent="0.25">
      <c r="D72" s="375"/>
      <c r="E72" s="375"/>
      <c r="F72" s="375"/>
      <c r="G72" s="375"/>
      <c r="H72" s="375"/>
      <c r="I72" s="375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  <c r="AB72" s="375"/>
      <c r="AC72" s="375"/>
      <c r="AD72" s="375"/>
      <c r="AE72" s="375"/>
      <c r="AF72" s="375"/>
      <c r="AG72" s="375"/>
      <c r="AH72" s="375"/>
    </row>
    <row r="73" spans="4:34" x14ac:dyDescent="0.25">
      <c r="D73" s="375"/>
      <c r="E73" s="375"/>
      <c r="F73" s="375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  <c r="Y73" s="375"/>
      <c r="Z73" s="375"/>
      <c r="AA73" s="375"/>
      <c r="AB73" s="375"/>
      <c r="AC73" s="375"/>
      <c r="AD73" s="375"/>
      <c r="AE73" s="375"/>
      <c r="AF73" s="375"/>
      <c r="AG73" s="375"/>
      <c r="AH73" s="375"/>
    </row>
    <row r="74" spans="4:34" x14ac:dyDescent="0.25">
      <c r="D74" s="375"/>
      <c r="E74" s="375"/>
      <c r="F74" s="375"/>
      <c r="G74" s="375"/>
      <c r="H74" s="375"/>
      <c r="I74" s="375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  <c r="Y74" s="375"/>
      <c r="Z74" s="375"/>
      <c r="AA74" s="375"/>
      <c r="AB74" s="375"/>
      <c r="AC74" s="375"/>
      <c r="AD74" s="375"/>
      <c r="AE74" s="375"/>
      <c r="AF74" s="375"/>
      <c r="AG74" s="375"/>
      <c r="AH74" s="375"/>
    </row>
    <row r="75" spans="4:34" x14ac:dyDescent="0.25">
      <c r="D75" s="375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5"/>
      <c r="AC75" s="375"/>
      <c r="AD75" s="375"/>
      <c r="AE75" s="375"/>
      <c r="AF75" s="375"/>
      <c r="AG75" s="375"/>
      <c r="AH75" s="375"/>
    </row>
    <row r="76" spans="4:34" x14ac:dyDescent="0.25">
      <c r="D76" s="375"/>
      <c r="E76" s="375"/>
      <c r="F76" s="375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  <c r="Y76" s="375"/>
      <c r="Z76" s="375"/>
      <c r="AA76" s="375"/>
      <c r="AB76" s="375"/>
      <c r="AC76" s="375"/>
      <c r="AD76" s="375"/>
      <c r="AE76" s="375"/>
      <c r="AF76" s="375"/>
      <c r="AG76" s="375"/>
      <c r="AH76" s="375"/>
    </row>
    <row r="77" spans="4:34" x14ac:dyDescent="0.25">
      <c r="D77" s="375"/>
      <c r="E77" s="375"/>
      <c r="F77" s="375"/>
      <c r="G77" s="375"/>
      <c r="H77" s="375"/>
      <c r="I77" s="375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  <c r="AB77" s="375"/>
      <c r="AC77" s="375"/>
      <c r="AD77" s="375"/>
      <c r="AE77" s="375"/>
      <c r="AF77" s="375"/>
      <c r="AG77" s="375"/>
      <c r="AH77" s="375"/>
    </row>
    <row r="78" spans="4:34" x14ac:dyDescent="0.25">
      <c r="D78" s="375"/>
      <c r="E78" s="375"/>
      <c r="F78" s="375"/>
      <c r="G78" s="375"/>
      <c r="H78" s="375"/>
      <c r="I78" s="375"/>
      <c r="J78" s="375"/>
      <c r="K78" s="37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  <c r="Y78" s="375"/>
      <c r="Z78" s="375"/>
      <c r="AA78" s="375"/>
      <c r="AB78" s="375"/>
      <c r="AC78" s="375"/>
      <c r="AD78" s="375"/>
      <c r="AE78" s="375"/>
      <c r="AF78" s="375"/>
      <c r="AG78" s="375"/>
      <c r="AH78" s="375"/>
    </row>
    <row r="79" spans="4:34" x14ac:dyDescent="0.25">
      <c r="D79" s="375"/>
      <c r="E79" s="375"/>
      <c r="F79" s="375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  <c r="AD79" s="375"/>
      <c r="AE79" s="375"/>
      <c r="AF79" s="375"/>
      <c r="AG79" s="375"/>
      <c r="AH79" s="375"/>
    </row>
    <row r="80" spans="4:34" x14ac:dyDescent="0.25">
      <c r="D80" s="375"/>
      <c r="E80" s="375"/>
      <c r="F80" s="375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  <c r="Y80" s="375"/>
      <c r="Z80" s="375"/>
      <c r="AA80" s="375"/>
      <c r="AB80" s="375"/>
      <c r="AC80" s="375"/>
      <c r="AD80" s="375"/>
      <c r="AE80" s="375"/>
      <c r="AF80" s="375"/>
      <c r="AG80" s="375"/>
      <c r="AH80" s="375"/>
    </row>
    <row r="81" spans="4:34" x14ac:dyDescent="0.25">
      <c r="D81" s="375"/>
      <c r="E81" s="375"/>
      <c r="F81" s="375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5"/>
      <c r="AD81" s="375"/>
      <c r="AE81" s="375"/>
      <c r="AF81" s="375"/>
      <c r="AG81" s="375"/>
      <c r="AH81" s="375"/>
    </row>
    <row r="82" spans="4:34" x14ac:dyDescent="0.25">
      <c r="D82" s="375"/>
      <c r="E82" s="375"/>
      <c r="F82" s="375"/>
      <c r="G82" s="375"/>
      <c r="H82" s="375"/>
      <c r="I82" s="375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  <c r="AB82" s="375"/>
      <c r="AC82" s="375"/>
      <c r="AD82" s="375"/>
      <c r="AE82" s="375"/>
      <c r="AF82" s="375"/>
      <c r="AG82" s="375"/>
      <c r="AH82" s="375"/>
    </row>
    <row r="83" spans="4:34" x14ac:dyDescent="0.25">
      <c r="D83" s="375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  <c r="AE83" s="375"/>
      <c r="AF83" s="375"/>
      <c r="AG83" s="375"/>
      <c r="AH83" s="375"/>
    </row>
    <row r="84" spans="4:34" x14ac:dyDescent="0.25">
      <c r="D84" s="375"/>
      <c r="E84" s="375"/>
      <c r="F84" s="375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  <c r="Y84" s="375"/>
      <c r="Z84" s="375"/>
      <c r="AA84" s="375"/>
      <c r="AB84" s="375"/>
      <c r="AC84" s="375"/>
      <c r="AD84" s="375"/>
      <c r="AE84" s="375"/>
      <c r="AF84" s="375"/>
      <c r="AG84" s="375"/>
      <c r="AH84" s="375"/>
    </row>
    <row r="85" spans="4:34" x14ac:dyDescent="0.25">
      <c r="D85" s="375"/>
      <c r="E85" s="375"/>
      <c r="F85" s="375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  <c r="AE85" s="375"/>
      <c r="AF85" s="375"/>
      <c r="AG85" s="375"/>
      <c r="AH85" s="375"/>
    </row>
    <row r="86" spans="4:34" x14ac:dyDescent="0.25">
      <c r="D86" s="375"/>
      <c r="E86" s="375"/>
      <c r="F86" s="375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  <c r="AD86" s="375"/>
      <c r="AE86" s="375"/>
      <c r="AF86" s="375"/>
      <c r="AG86" s="375"/>
      <c r="AH86" s="375"/>
    </row>
    <row r="87" spans="4:34" x14ac:dyDescent="0.25">
      <c r="D87" s="375"/>
      <c r="E87" s="375"/>
      <c r="F87" s="375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  <c r="AE87" s="375"/>
      <c r="AF87" s="375"/>
      <c r="AG87" s="375"/>
      <c r="AH87" s="375"/>
    </row>
    <row r="88" spans="4:34" x14ac:dyDescent="0.25">
      <c r="D88" s="375"/>
      <c r="E88" s="375"/>
      <c r="F88" s="375"/>
      <c r="G88" s="375"/>
      <c r="H88" s="375"/>
      <c r="I88" s="375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  <c r="AB88" s="375"/>
      <c r="AC88" s="375"/>
      <c r="AD88" s="375"/>
      <c r="AE88" s="375"/>
      <c r="AF88" s="375"/>
      <c r="AG88" s="375"/>
      <c r="AH88" s="375"/>
    </row>
    <row r="89" spans="4:34" x14ac:dyDescent="0.25">
      <c r="D89" s="375"/>
      <c r="E89" s="375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  <c r="AD89" s="375"/>
      <c r="AE89" s="375"/>
      <c r="AF89" s="375"/>
      <c r="AG89" s="375"/>
      <c r="AH89" s="375"/>
    </row>
    <row r="90" spans="4:34" x14ac:dyDescent="0.25">
      <c r="D90" s="375"/>
      <c r="E90" s="375"/>
      <c r="F90" s="375"/>
      <c r="G90" s="375"/>
      <c r="H90" s="375"/>
      <c r="I90" s="375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  <c r="Y90" s="375"/>
      <c r="Z90" s="375"/>
      <c r="AA90" s="375"/>
      <c r="AB90" s="375"/>
      <c r="AC90" s="375"/>
      <c r="AD90" s="375"/>
      <c r="AE90" s="375"/>
      <c r="AF90" s="375"/>
      <c r="AG90" s="375"/>
      <c r="AH90" s="375"/>
    </row>
    <row r="91" spans="4:34" x14ac:dyDescent="0.25">
      <c r="D91" s="375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  <c r="AE91" s="375"/>
      <c r="AF91" s="375"/>
      <c r="AG91" s="375"/>
      <c r="AH91" s="375"/>
    </row>
    <row r="92" spans="4:34" x14ac:dyDescent="0.25">
      <c r="D92" s="375"/>
      <c r="E92" s="375"/>
      <c r="F92" s="375"/>
      <c r="G92" s="375"/>
      <c r="H92" s="375"/>
      <c r="I92" s="375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5"/>
      <c r="AC92" s="375"/>
      <c r="AD92" s="375"/>
      <c r="AE92" s="375"/>
      <c r="AF92" s="375"/>
      <c r="AG92" s="375"/>
      <c r="AH92" s="375"/>
    </row>
    <row r="93" spans="4:34" x14ac:dyDescent="0.25">
      <c r="D93" s="375"/>
      <c r="E93" s="375"/>
      <c r="F93" s="375"/>
      <c r="G93" s="375"/>
      <c r="H93" s="375"/>
      <c r="I93" s="375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  <c r="AE93" s="375"/>
      <c r="AF93" s="375"/>
      <c r="AG93" s="375"/>
      <c r="AH93" s="375"/>
    </row>
    <row r="94" spans="4:34" x14ac:dyDescent="0.25">
      <c r="D94" s="375"/>
      <c r="E94" s="375"/>
      <c r="F94" s="375"/>
      <c r="G94" s="375"/>
      <c r="H94" s="375"/>
      <c r="I94" s="375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  <c r="Y94" s="375"/>
      <c r="Z94" s="375"/>
      <c r="AA94" s="375"/>
      <c r="AB94" s="375"/>
      <c r="AC94" s="375"/>
      <c r="AD94" s="375"/>
      <c r="AE94" s="375"/>
      <c r="AF94" s="375"/>
      <c r="AG94" s="375"/>
      <c r="AH94" s="375"/>
    </row>
    <row r="95" spans="4:34" x14ac:dyDescent="0.25">
      <c r="D95" s="375"/>
      <c r="E95" s="375"/>
      <c r="F95" s="375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  <c r="AD95" s="375"/>
      <c r="AE95" s="375"/>
      <c r="AF95" s="375"/>
      <c r="AG95" s="375"/>
      <c r="AH95" s="375"/>
    </row>
    <row r="96" spans="4:34" x14ac:dyDescent="0.25">
      <c r="D96" s="375"/>
      <c r="E96" s="375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  <c r="AE96" s="375"/>
      <c r="AF96" s="375"/>
      <c r="AG96" s="375"/>
      <c r="AH96" s="375"/>
    </row>
    <row r="97" spans="4:34" x14ac:dyDescent="0.25">
      <c r="D97" s="375"/>
      <c r="E97" s="375"/>
      <c r="F97" s="375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  <c r="AE97" s="375"/>
      <c r="AF97" s="375"/>
      <c r="AG97" s="375"/>
      <c r="AH97" s="375"/>
    </row>
    <row r="98" spans="4:34" x14ac:dyDescent="0.25">
      <c r="D98" s="375"/>
      <c r="E98" s="375"/>
      <c r="F98" s="375"/>
      <c r="G98" s="375"/>
      <c r="H98" s="375"/>
      <c r="I98" s="375"/>
      <c r="J98" s="375"/>
      <c r="K98" s="37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  <c r="Y98" s="375"/>
      <c r="Z98" s="375"/>
      <c r="AA98" s="375"/>
      <c r="AB98" s="375"/>
      <c r="AC98" s="375"/>
      <c r="AD98" s="375"/>
      <c r="AE98" s="375"/>
      <c r="AF98" s="375"/>
      <c r="AG98" s="375"/>
      <c r="AH98" s="375"/>
    </row>
    <row r="99" spans="4:34" x14ac:dyDescent="0.25">
      <c r="D99" s="375"/>
      <c r="E99" s="375"/>
      <c r="F99" s="375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  <c r="Y99" s="375"/>
      <c r="Z99" s="375"/>
      <c r="AA99" s="375"/>
      <c r="AB99" s="375"/>
      <c r="AC99" s="375"/>
      <c r="AD99" s="375"/>
      <c r="AE99" s="375"/>
      <c r="AF99" s="375"/>
      <c r="AG99" s="375"/>
      <c r="AH99" s="375"/>
    </row>
    <row r="100" spans="4:34" x14ac:dyDescent="0.25">
      <c r="D100" s="375"/>
      <c r="E100" s="375"/>
      <c r="F100" s="375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  <c r="Y100" s="375"/>
      <c r="Z100" s="375"/>
      <c r="AA100" s="375"/>
      <c r="AB100" s="375"/>
      <c r="AC100" s="375"/>
      <c r="AD100" s="375"/>
      <c r="AE100" s="375"/>
      <c r="AF100" s="375"/>
      <c r="AG100" s="375"/>
      <c r="AH100" s="375"/>
    </row>
    <row r="101" spans="4:34" x14ac:dyDescent="0.25">
      <c r="D101" s="375"/>
      <c r="E101" s="375"/>
      <c r="F101" s="375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  <c r="AD101" s="375"/>
      <c r="AE101" s="375"/>
      <c r="AF101" s="375"/>
      <c r="AG101" s="375"/>
      <c r="AH101" s="375"/>
    </row>
    <row r="102" spans="4:34" x14ac:dyDescent="0.25">
      <c r="D102" s="375"/>
      <c r="E102" s="375"/>
      <c r="F102" s="375"/>
      <c r="G102" s="375"/>
      <c r="H102" s="375"/>
      <c r="I102" s="375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5"/>
      <c r="Z102" s="375"/>
      <c r="AA102" s="375"/>
      <c r="AB102" s="375"/>
      <c r="AC102" s="375"/>
      <c r="AD102" s="375"/>
      <c r="AE102" s="375"/>
      <c r="AF102" s="375"/>
      <c r="AG102" s="375"/>
      <c r="AH102" s="375"/>
    </row>
    <row r="103" spans="4:34" x14ac:dyDescent="0.25">
      <c r="D103" s="375"/>
      <c r="E103" s="375"/>
      <c r="F103" s="375"/>
      <c r="G103" s="375"/>
      <c r="H103" s="375"/>
      <c r="I103" s="375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  <c r="AD103" s="375"/>
      <c r="AE103" s="375"/>
      <c r="AF103" s="375"/>
      <c r="AG103" s="375"/>
      <c r="AH103" s="375"/>
    </row>
    <row r="104" spans="4:34" x14ac:dyDescent="0.25">
      <c r="D104" s="375"/>
      <c r="E104" s="375"/>
      <c r="F104" s="375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  <c r="Y104" s="375"/>
      <c r="Z104" s="375"/>
      <c r="AA104" s="375"/>
      <c r="AB104" s="375"/>
      <c r="AC104" s="375"/>
      <c r="AD104" s="375"/>
      <c r="AE104" s="375"/>
      <c r="AF104" s="375"/>
      <c r="AG104" s="375"/>
      <c r="AH104" s="375"/>
    </row>
    <row r="105" spans="4:34" x14ac:dyDescent="0.25">
      <c r="D105" s="375"/>
      <c r="E105" s="375"/>
      <c r="F105" s="375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  <c r="Y105" s="375"/>
      <c r="Z105" s="375"/>
      <c r="AA105" s="375"/>
      <c r="AB105" s="375"/>
      <c r="AC105" s="375"/>
      <c r="AD105" s="375"/>
      <c r="AE105" s="375"/>
      <c r="AF105" s="375"/>
      <c r="AG105" s="375"/>
      <c r="AH105" s="375"/>
    </row>
    <row r="106" spans="4:34" x14ac:dyDescent="0.25">
      <c r="D106" s="375"/>
      <c r="E106" s="375"/>
      <c r="F106" s="375"/>
      <c r="G106" s="375"/>
      <c r="H106" s="375"/>
      <c r="I106" s="375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  <c r="Y106" s="375"/>
      <c r="Z106" s="375"/>
      <c r="AA106" s="375"/>
      <c r="AB106" s="375"/>
      <c r="AC106" s="375"/>
      <c r="AD106" s="375"/>
      <c r="AE106" s="375"/>
      <c r="AF106" s="375"/>
      <c r="AG106" s="375"/>
      <c r="AH106" s="375"/>
    </row>
    <row r="107" spans="4:34" x14ac:dyDescent="0.25">
      <c r="D107" s="375"/>
      <c r="E107" s="375"/>
      <c r="F107" s="375"/>
      <c r="G107" s="375"/>
      <c r="H107" s="375"/>
      <c r="I107" s="375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5"/>
      <c r="AC107" s="375"/>
      <c r="AD107" s="375"/>
      <c r="AE107" s="375"/>
      <c r="AF107" s="375"/>
      <c r="AG107" s="375"/>
      <c r="AH107" s="375"/>
    </row>
    <row r="108" spans="4:34" x14ac:dyDescent="0.25">
      <c r="D108" s="375"/>
      <c r="E108" s="375"/>
      <c r="F108" s="375"/>
      <c r="G108" s="375"/>
      <c r="H108" s="375"/>
      <c r="I108" s="375"/>
      <c r="J108" s="375"/>
      <c r="K108" s="37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  <c r="Y108" s="375"/>
      <c r="Z108" s="375"/>
      <c r="AA108" s="375"/>
      <c r="AB108" s="375"/>
      <c r="AC108" s="375"/>
      <c r="AD108" s="375"/>
      <c r="AE108" s="375"/>
      <c r="AF108" s="375"/>
      <c r="AG108" s="375"/>
      <c r="AH108" s="375"/>
    </row>
    <row r="109" spans="4:34" x14ac:dyDescent="0.25">
      <c r="D109" s="375"/>
      <c r="E109" s="375"/>
      <c r="F109" s="375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  <c r="Y109" s="375"/>
      <c r="Z109" s="375"/>
      <c r="AA109" s="375"/>
      <c r="AB109" s="375"/>
      <c r="AC109" s="375"/>
      <c r="AD109" s="375"/>
      <c r="AE109" s="375"/>
      <c r="AF109" s="375"/>
      <c r="AG109" s="375"/>
      <c r="AH109" s="375"/>
    </row>
    <row r="110" spans="4:34" x14ac:dyDescent="0.25">
      <c r="D110" s="375"/>
      <c r="E110" s="375"/>
      <c r="F110" s="375"/>
      <c r="G110" s="375"/>
      <c r="H110" s="375"/>
      <c r="I110" s="375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  <c r="Y110" s="375"/>
      <c r="Z110" s="375"/>
      <c r="AA110" s="375"/>
      <c r="AB110" s="375"/>
      <c r="AC110" s="375"/>
      <c r="AD110" s="375"/>
      <c r="AE110" s="375"/>
      <c r="AF110" s="375"/>
      <c r="AG110" s="375"/>
      <c r="AH110" s="375"/>
    </row>
    <row r="111" spans="4:34" x14ac:dyDescent="0.25">
      <c r="D111" s="375"/>
      <c r="E111" s="375"/>
      <c r="F111" s="375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  <c r="AD111" s="375"/>
      <c r="AE111" s="375"/>
      <c r="AF111" s="375"/>
      <c r="AG111" s="375"/>
      <c r="AH111" s="375"/>
    </row>
    <row r="112" spans="4:34" x14ac:dyDescent="0.25">
      <c r="D112" s="375"/>
      <c r="E112" s="375"/>
      <c r="F112" s="375"/>
      <c r="G112" s="375"/>
      <c r="H112" s="375"/>
      <c r="I112" s="375"/>
      <c r="J112" s="375"/>
      <c r="K112" s="37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  <c r="Y112" s="375"/>
      <c r="Z112" s="375"/>
      <c r="AA112" s="375"/>
      <c r="AB112" s="375"/>
      <c r="AC112" s="375"/>
      <c r="AD112" s="375"/>
      <c r="AE112" s="375"/>
      <c r="AF112" s="375"/>
      <c r="AG112" s="375"/>
      <c r="AH112" s="375"/>
    </row>
    <row r="113" spans="4:34" x14ac:dyDescent="0.25">
      <c r="D113" s="375"/>
      <c r="E113" s="375"/>
      <c r="F113" s="375"/>
      <c r="G113" s="375"/>
      <c r="H113" s="375"/>
      <c r="I113" s="375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  <c r="Y113" s="375"/>
      <c r="Z113" s="375"/>
      <c r="AA113" s="375"/>
      <c r="AB113" s="375"/>
      <c r="AC113" s="375"/>
      <c r="AD113" s="375"/>
      <c r="AE113" s="375"/>
      <c r="AF113" s="375"/>
      <c r="AG113" s="375"/>
      <c r="AH113" s="375"/>
    </row>
    <row r="114" spans="4:34" x14ac:dyDescent="0.25">
      <c r="D114" s="375"/>
      <c r="E114" s="375"/>
      <c r="F114" s="375"/>
      <c r="G114" s="375"/>
      <c r="H114" s="375"/>
      <c r="I114" s="375"/>
      <c r="J114" s="375"/>
      <c r="K114" s="37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  <c r="Y114" s="375"/>
      <c r="Z114" s="375"/>
      <c r="AA114" s="375"/>
      <c r="AB114" s="375"/>
      <c r="AC114" s="375"/>
      <c r="AD114" s="375"/>
      <c r="AE114" s="375"/>
      <c r="AF114" s="375"/>
      <c r="AG114" s="375"/>
      <c r="AH114" s="375"/>
    </row>
    <row r="115" spans="4:34" x14ac:dyDescent="0.25">
      <c r="D115" s="375"/>
      <c r="E115" s="375"/>
      <c r="F115" s="375"/>
      <c r="G115" s="375"/>
      <c r="H115" s="375"/>
      <c r="I115" s="375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5"/>
      <c r="AC115" s="375"/>
      <c r="AD115" s="375"/>
      <c r="AE115" s="375"/>
      <c r="AF115" s="375"/>
      <c r="AG115" s="375"/>
      <c r="AH115" s="375"/>
    </row>
    <row r="116" spans="4:34" x14ac:dyDescent="0.25">
      <c r="D116" s="375"/>
      <c r="E116" s="375"/>
      <c r="F116" s="375"/>
      <c r="G116" s="375"/>
      <c r="H116" s="375"/>
      <c r="I116" s="375"/>
      <c r="J116" s="375"/>
      <c r="K116" s="37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  <c r="Y116" s="375"/>
      <c r="Z116" s="375"/>
      <c r="AA116" s="375"/>
      <c r="AB116" s="375"/>
      <c r="AC116" s="375"/>
      <c r="AD116" s="375"/>
      <c r="AE116" s="375"/>
      <c r="AF116" s="375"/>
      <c r="AG116" s="375"/>
      <c r="AH116" s="375"/>
    </row>
    <row r="117" spans="4:34" x14ac:dyDescent="0.25">
      <c r="D117" s="375"/>
      <c r="E117" s="375"/>
      <c r="F117" s="375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  <c r="AE117" s="375"/>
      <c r="AF117" s="375"/>
      <c r="AG117" s="375"/>
      <c r="AH117" s="375"/>
    </row>
    <row r="118" spans="4:34" x14ac:dyDescent="0.25">
      <c r="D118" s="375"/>
      <c r="E118" s="375"/>
      <c r="F118" s="375"/>
      <c r="G118" s="375"/>
      <c r="H118" s="375"/>
      <c r="I118" s="375"/>
      <c r="J118" s="375"/>
      <c r="K118" s="37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  <c r="AD118" s="375"/>
      <c r="AE118" s="375"/>
      <c r="AF118" s="375"/>
      <c r="AG118" s="375"/>
      <c r="AH118" s="375"/>
    </row>
    <row r="119" spans="4:34" x14ac:dyDescent="0.25">
      <c r="D119" s="375"/>
      <c r="E119" s="375"/>
      <c r="F119" s="375"/>
      <c r="G119" s="375"/>
      <c r="H119" s="375"/>
      <c r="I119" s="375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  <c r="AD119" s="375"/>
      <c r="AE119" s="375"/>
      <c r="AF119" s="375"/>
      <c r="AG119" s="375"/>
      <c r="AH119" s="375"/>
    </row>
    <row r="120" spans="4:34" x14ac:dyDescent="0.25">
      <c r="D120" s="375"/>
      <c r="E120" s="375"/>
      <c r="F120" s="375"/>
      <c r="G120" s="375"/>
      <c r="H120" s="375"/>
      <c r="I120" s="375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5"/>
      <c r="AC120" s="375"/>
      <c r="AD120" s="375"/>
      <c r="AE120" s="375"/>
      <c r="AF120" s="375"/>
      <c r="AG120" s="375"/>
      <c r="AH120" s="375"/>
    </row>
    <row r="121" spans="4:34" x14ac:dyDescent="0.25">
      <c r="D121" s="375"/>
      <c r="E121" s="375"/>
      <c r="F121" s="375"/>
      <c r="G121" s="375"/>
      <c r="H121" s="375"/>
      <c r="I121" s="375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5"/>
      <c r="AB121" s="375"/>
      <c r="AC121" s="375"/>
      <c r="AD121" s="375"/>
      <c r="AE121" s="375"/>
      <c r="AF121" s="375"/>
      <c r="AG121" s="375"/>
      <c r="AH121" s="375"/>
    </row>
    <row r="122" spans="4:34" x14ac:dyDescent="0.25">
      <c r="D122" s="375"/>
      <c r="E122" s="375"/>
      <c r="F122" s="375"/>
      <c r="G122" s="375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5"/>
      <c r="AC122" s="375"/>
      <c r="AD122" s="375"/>
      <c r="AE122" s="375"/>
      <c r="AF122" s="375"/>
      <c r="AG122" s="375"/>
      <c r="AH122" s="375"/>
    </row>
    <row r="123" spans="4:34" x14ac:dyDescent="0.25">
      <c r="D123" s="375"/>
      <c r="E123" s="375"/>
      <c r="F123" s="375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  <c r="AD123" s="375"/>
      <c r="AE123" s="375"/>
      <c r="AF123" s="375"/>
      <c r="AG123" s="375"/>
      <c r="AH123" s="375"/>
    </row>
    <row r="124" spans="4:34" x14ac:dyDescent="0.25">
      <c r="D124" s="375"/>
      <c r="E124" s="375"/>
      <c r="F124" s="375"/>
      <c r="G124" s="375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  <c r="Y124" s="375"/>
      <c r="Z124" s="375"/>
      <c r="AA124" s="375"/>
      <c r="AB124" s="375"/>
      <c r="AC124" s="375"/>
      <c r="AD124" s="375"/>
      <c r="AE124" s="375"/>
      <c r="AF124" s="375"/>
      <c r="AG124" s="375"/>
      <c r="AH124" s="375"/>
    </row>
    <row r="125" spans="4:34" x14ac:dyDescent="0.25">
      <c r="D125" s="375"/>
      <c r="E125" s="375"/>
      <c r="F125" s="375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  <c r="AD125" s="375"/>
      <c r="AE125" s="375"/>
      <c r="AF125" s="375"/>
      <c r="AG125" s="375"/>
      <c r="AH125" s="375"/>
    </row>
    <row r="126" spans="4:34" x14ac:dyDescent="0.25">
      <c r="D126" s="375"/>
      <c r="E126" s="375"/>
      <c r="F126" s="375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5"/>
      <c r="AC126" s="375"/>
      <c r="AD126" s="375"/>
      <c r="AE126" s="375"/>
      <c r="AF126" s="375"/>
      <c r="AG126" s="375"/>
      <c r="AH126" s="375"/>
    </row>
    <row r="127" spans="4:34" x14ac:dyDescent="0.25">
      <c r="D127" s="375"/>
      <c r="E127" s="375"/>
      <c r="F127" s="375"/>
      <c r="G127" s="375"/>
      <c r="H127" s="375"/>
      <c r="I127" s="375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  <c r="Y127" s="375"/>
      <c r="Z127" s="375"/>
      <c r="AA127" s="375"/>
      <c r="AB127" s="375"/>
      <c r="AC127" s="375"/>
      <c r="AD127" s="375"/>
      <c r="AE127" s="375"/>
      <c r="AF127" s="375"/>
      <c r="AG127" s="375"/>
      <c r="AH127" s="375"/>
    </row>
    <row r="128" spans="4:34" x14ac:dyDescent="0.25">
      <c r="D128" s="375"/>
      <c r="E128" s="375"/>
      <c r="F128" s="375"/>
      <c r="G128" s="375"/>
      <c r="H128" s="375"/>
      <c r="I128" s="375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  <c r="AD128" s="375"/>
      <c r="AE128" s="375"/>
      <c r="AF128" s="375"/>
      <c r="AG128" s="375"/>
      <c r="AH128" s="375"/>
    </row>
    <row r="129" spans="4:34" x14ac:dyDescent="0.25">
      <c r="D129" s="375"/>
      <c r="E129" s="375"/>
      <c r="F129" s="375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  <c r="AE129" s="375"/>
      <c r="AF129" s="375"/>
      <c r="AG129" s="375"/>
      <c r="AH129" s="375"/>
    </row>
    <row r="130" spans="4:34" x14ac:dyDescent="0.25">
      <c r="D130" s="375"/>
      <c r="E130" s="375"/>
      <c r="F130" s="375"/>
      <c r="G130" s="375"/>
      <c r="H130" s="375"/>
      <c r="I130" s="375"/>
      <c r="J130" s="375"/>
      <c r="K130" s="37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  <c r="Y130" s="375"/>
      <c r="Z130" s="375"/>
      <c r="AA130" s="375"/>
      <c r="AB130" s="375"/>
      <c r="AC130" s="375"/>
      <c r="AD130" s="375"/>
      <c r="AE130" s="375"/>
      <c r="AF130" s="375"/>
      <c r="AG130" s="375"/>
      <c r="AH130" s="375"/>
    </row>
    <row r="131" spans="4:34" x14ac:dyDescent="0.25">
      <c r="D131" s="375"/>
      <c r="E131" s="375"/>
      <c r="F131" s="375"/>
      <c r="G131" s="375"/>
      <c r="H131" s="375"/>
      <c r="I131" s="375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  <c r="AD131" s="375"/>
      <c r="AE131" s="375"/>
      <c r="AF131" s="375"/>
      <c r="AG131" s="375"/>
      <c r="AH131" s="375"/>
    </row>
    <row r="132" spans="4:34" x14ac:dyDescent="0.25">
      <c r="D132" s="375"/>
      <c r="E132" s="375"/>
      <c r="F132" s="375"/>
      <c r="G132" s="375"/>
      <c r="H132" s="375"/>
      <c r="I132" s="375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  <c r="Y132" s="375"/>
      <c r="Z132" s="375"/>
      <c r="AA132" s="375"/>
      <c r="AB132" s="375"/>
      <c r="AC132" s="375"/>
      <c r="AD132" s="375"/>
      <c r="AE132" s="375"/>
      <c r="AF132" s="375"/>
      <c r="AG132" s="375"/>
      <c r="AH132" s="375"/>
    </row>
    <row r="133" spans="4:34" x14ac:dyDescent="0.25">
      <c r="D133" s="375"/>
      <c r="E133" s="375"/>
      <c r="F133" s="375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  <c r="AE133" s="375"/>
      <c r="AF133" s="375"/>
      <c r="AG133" s="375"/>
      <c r="AH133" s="375"/>
    </row>
    <row r="134" spans="4:34" x14ac:dyDescent="0.25">
      <c r="D134" s="375"/>
      <c r="E134" s="375"/>
      <c r="F134" s="375"/>
      <c r="G134" s="375"/>
      <c r="H134" s="375"/>
      <c r="I134" s="375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  <c r="Y134" s="375"/>
      <c r="Z134" s="375"/>
      <c r="AA134" s="375"/>
      <c r="AB134" s="375"/>
      <c r="AC134" s="375"/>
      <c r="AD134" s="375"/>
      <c r="AE134" s="375"/>
      <c r="AF134" s="375"/>
      <c r="AG134" s="375"/>
      <c r="AH134" s="375"/>
    </row>
    <row r="135" spans="4:34" x14ac:dyDescent="0.25">
      <c r="D135" s="375"/>
      <c r="E135" s="375"/>
      <c r="F135" s="375"/>
      <c r="G135" s="375"/>
      <c r="H135" s="375"/>
      <c r="I135" s="375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  <c r="AE135" s="375"/>
      <c r="AF135" s="375"/>
      <c r="AG135" s="375"/>
      <c r="AH135" s="375"/>
    </row>
    <row r="136" spans="4:34" x14ac:dyDescent="0.25">
      <c r="D136" s="375"/>
      <c r="E136" s="375"/>
      <c r="F136" s="375"/>
      <c r="G136" s="375"/>
      <c r="H136" s="375"/>
      <c r="I136" s="375"/>
      <c r="J136" s="375"/>
      <c r="K136" s="37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  <c r="Y136" s="375"/>
      <c r="Z136" s="375"/>
      <c r="AA136" s="375"/>
      <c r="AB136" s="375"/>
      <c r="AC136" s="375"/>
      <c r="AD136" s="375"/>
      <c r="AE136" s="375"/>
      <c r="AF136" s="375"/>
      <c r="AG136" s="375"/>
      <c r="AH136" s="375"/>
    </row>
    <row r="137" spans="4:34" x14ac:dyDescent="0.25">
      <c r="D137" s="375"/>
      <c r="E137" s="375"/>
      <c r="F137" s="375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  <c r="AD137" s="375"/>
      <c r="AE137" s="375"/>
      <c r="AF137" s="375"/>
      <c r="AG137" s="375"/>
      <c r="AH137" s="375"/>
    </row>
    <row r="138" spans="4:34" x14ac:dyDescent="0.25">
      <c r="D138" s="375"/>
      <c r="E138" s="375"/>
      <c r="F138" s="375"/>
      <c r="G138" s="375"/>
      <c r="H138" s="375"/>
      <c r="I138" s="375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  <c r="Y138" s="375"/>
      <c r="Z138" s="375"/>
      <c r="AA138" s="375"/>
      <c r="AB138" s="375"/>
      <c r="AC138" s="375"/>
      <c r="AD138" s="375"/>
      <c r="AE138" s="375"/>
      <c r="AF138" s="375"/>
      <c r="AG138" s="375"/>
      <c r="AH138" s="375"/>
    </row>
    <row r="139" spans="4:34" x14ac:dyDescent="0.25">
      <c r="D139" s="375"/>
      <c r="E139" s="375"/>
      <c r="F139" s="375"/>
      <c r="G139" s="375"/>
      <c r="H139" s="375"/>
      <c r="I139" s="375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  <c r="AD139" s="375"/>
      <c r="AE139" s="375"/>
      <c r="AF139" s="375"/>
      <c r="AG139" s="375"/>
      <c r="AH139" s="375"/>
    </row>
    <row r="140" spans="4:34" x14ac:dyDescent="0.25">
      <c r="D140" s="375"/>
      <c r="E140" s="375"/>
      <c r="F140" s="375"/>
      <c r="G140" s="375"/>
      <c r="H140" s="375"/>
      <c r="I140" s="375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5"/>
      <c r="AC140" s="375"/>
      <c r="AD140" s="375"/>
      <c r="AE140" s="375"/>
      <c r="AF140" s="375"/>
      <c r="AG140" s="375"/>
      <c r="AH140" s="375"/>
    </row>
    <row r="141" spans="4:34" x14ac:dyDescent="0.25">
      <c r="D141" s="375"/>
      <c r="E141" s="375"/>
      <c r="F141" s="375"/>
      <c r="G141" s="375"/>
      <c r="H141" s="375"/>
      <c r="I141" s="375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375"/>
      <c r="AA141" s="375"/>
      <c r="AB141" s="375"/>
      <c r="AC141" s="375"/>
      <c r="AD141" s="375"/>
      <c r="AE141" s="375"/>
      <c r="AF141" s="375"/>
      <c r="AG141" s="375"/>
      <c r="AH141" s="375"/>
    </row>
    <row r="142" spans="4:34" x14ac:dyDescent="0.25">
      <c r="D142" s="375"/>
      <c r="E142" s="375"/>
      <c r="F142" s="375"/>
      <c r="G142" s="375"/>
      <c r="H142" s="375"/>
      <c r="I142" s="375"/>
      <c r="J142" s="375"/>
      <c r="K142" s="37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  <c r="Y142" s="375"/>
      <c r="Z142" s="375"/>
      <c r="AA142" s="375"/>
      <c r="AB142" s="375"/>
      <c r="AC142" s="375"/>
      <c r="AD142" s="375"/>
      <c r="AE142" s="375"/>
      <c r="AF142" s="375"/>
      <c r="AG142" s="375"/>
      <c r="AH142" s="375"/>
    </row>
    <row r="143" spans="4:34" x14ac:dyDescent="0.25">
      <c r="D143" s="375"/>
      <c r="E143" s="375"/>
      <c r="F143" s="375"/>
      <c r="G143" s="375"/>
      <c r="H143" s="375"/>
      <c r="I143" s="375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  <c r="AD143" s="375"/>
      <c r="AE143" s="375"/>
      <c r="AF143" s="375"/>
      <c r="AG143" s="375"/>
      <c r="AH143" s="375"/>
    </row>
    <row r="144" spans="4:34" x14ac:dyDescent="0.25">
      <c r="D144" s="375"/>
      <c r="E144" s="375"/>
      <c r="F144" s="375"/>
      <c r="G144" s="375"/>
      <c r="H144" s="375"/>
      <c r="I144" s="375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  <c r="Y144" s="375"/>
      <c r="Z144" s="375"/>
      <c r="AA144" s="375"/>
      <c r="AB144" s="375"/>
      <c r="AC144" s="375"/>
      <c r="AD144" s="375"/>
      <c r="AE144" s="375"/>
      <c r="AF144" s="375"/>
      <c r="AG144" s="375"/>
      <c r="AH144" s="375"/>
    </row>
    <row r="145" spans="4:34" x14ac:dyDescent="0.25">
      <c r="D145" s="375"/>
      <c r="E145" s="375"/>
      <c r="F145" s="375"/>
      <c r="G145" s="375"/>
      <c r="H145" s="375"/>
      <c r="I145" s="375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  <c r="Y145" s="375"/>
      <c r="Z145" s="375"/>
      <c r="AA145" s="375"/>
      <c r="AB145" s="375"/>
      <c r="AC145" s="375"/>
      <c r="AD145" s="375"/>
      <c r="AE145" s="375"/>
      <c r="AF145" s="375"/>
      <c r="AG145" s="375"/>
      <c r="AH145" s="375"/>
    </row>
    <row r="146" spans="4:34" x14ac:dyDescent="0.25">
      <c r="D146" s="375"/>
      <c r="E146" s="375"/>
      <c r="F146" s="375"/>
      <c r="G146" s="375"/>
      <c r="H146" s="375"/>
      <c r="I146" s="375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5"/>
      <c r="AC146" s="375"/>
      <c r="AD146" s="375"/>
      <c r="AE146" s="375"/>
      <c r="AF146" s="375"/>
      <c r="AG146" s="375"/>
      <c r="AH146" s="375"/>
    </row>
    <row r="147" spans="4:34" x14ac:dyDescent="0.25">
      <c r="D147" s="375"/>
      <c r="E147" s="375"/>
      <c r="F147" s="375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  <c r="AD147" s="375"/>
      <c r="AE147" s="375"/>
      <c r="AF147" s="375"/>
      <c r="AG147" s="375"/>
      <c r="AH147" s="375"/>
    </row>
    <row r="148" spans="4:34" x14ac:dyDescent="0.25">
      <c r="D148" s="375"/>
      <c r="E148" s="375"/>
      <c r="F148" s="375"/>
      <c r="G148" s="375"/>
      <c r="H148" s="375"/>
      <c r="I148" s="375"/>
      <c r="J148" s="375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  <c r="Y148" s="375"/>
      <c r="Z148" s="375"/>
      <c r="AA148" s="375"/>
      <c r="AB148" s="375"/>
      <c r="AC148" s="375"/>
      <c r="AD148" s="375"/>
      <c r="AE148" s="375"/>
      <c r="AF148" s="375"/>
      <c r="AG148" s="375"/>
      <c r="AH148" s="375"/>
    </row>
    <row r="149" spans="4:34" x14ac:dyDescent="0.25">
      <c r="D149" s="375"/>
      <c r="E149" s="375"/>
      <c r="F149" s="375"/>
      <c r="G149" s="375"/>
      <c r="H149" s="375"/>
      <c r="I149" s="375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  <c r="Y149" s="375"/>
      <c r="Z149" s="375"/>
      <c r="AA149" s="375"/>
      <c r="AB149" s="375"/>
      <c r="AC149" s="375"/>
      <c r="AD149" s="375"/>
      <c r="AE149" s="375"/>
      <c r="AF149" s="375"/>
      <c r="AG149" s="375"/>
      <c r="AH149" s="375"/>
    </row>
    <row r="150" spans="4:34" x14ac:dyDescent="0.25">
      <c r="D150" s="375"/>
      <c r="E150" s="375"/>
      <c r="F150" s="375"/>
      <c r="G150" s="375"/>
      <c r="H150" s="375"/>
      <c r="I150" s="375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  <c r="Y150" s="375"/>
      <c r="Z150" s="375"/>
      <c r="AA150" s="375"/>
      <c r="AB150" s="375"/>
      <c r="AC150" s="375"/>
      <c r="AD150" s="375"/>
      <c r="AE150" s="375"/>
      <c r="AF150" s="375"/>
      <c r="AG150" s="375"/>
      <c r="AH150" s="375"/>
    </row>
    <row r="151" spans="4:34" x14ac:dyDescent="0.25">
      <c r="D151" s="375"/>
      <c r="E151" s="375"/>
      <c r="F151" s="375"/>
      <c r="G151" s="375"/>
      <c r="H151" s="375"/>
      <c r="I151" s="375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  <c r="Y151" s="375"/>
      <c r="Z151" s="375"/>
      <c r="AA151" s="375"/>
      <c r="AB151" s="375"/>
      <c r="AC151" s="375"/>
      <c r="AD151" s="375"/>
      <c r="AE151" s="375"/>
      <c r="AF151" s="375"/>
      <c r="AG151" s="375"/>
      <c r="AH151" s="375"/>
    </row>
    <row r="152" spans="4:34" x14ac:dyDescent="0.25">
      <c r="D152" s="375"/>
      <c r="E152" s="375"/>
      <c r="F152" s="375"/>
      <c r="G152" s="375"/>
      <c r="H152" s="375"/>
      <c r="I152" s="375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  <c r="Y152" s="375"/>
      <c r="Z152" s="375"/>
      <c r="AA152" s="375"/>
      <c r="AB152" s="375"/>
      <c r="AC152" s="375"/>
      <c r="AD152" s="375"/>
      <c r="AE152" s="375"/>
      <c r="AF152" s="375"/>
      <c r="AG152" s="375"/>
      <c r="AH152" s="375"/>
    </row>
    <row r="153" spans="4:34" x14ac:dyDescent="0.25">
      <c r="D153" s="375"/>
      <c r="E153" s="375"/>
      <c r="F153" s="375"/>
      <c r="G153" s="375"/>
      <c r="H153" s="375"/>
      <c r="I153" s="375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  <c r="AD153" s="375"/>
      <c r="AE153" s="375"/>
      <c r="AF153" s="375"/>
      <c r="AG153" s="375"/>
      <c r="AH153" s="375"/>
    </row>
    <row r="154" spans="4:34" x14ac:dyDescent="0.25">
      <c r="D154" s="375"/>
      <c r="E154" s="375"/>
      <c r="F154" s="375"/>
      <c r="G154" s="375"/>
      <c r="H154" s="375"/>
      <c r="I154" s="375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  <c r="Y154" s="375"/>
      <c r="Z154" s="375"/>
      <c r="AA154" s="375"/>
      <c r="AB154" s="375"/>
      <c r="AC154" s="375"/>
      <c r="AD154" s="375"/>
      <c r="AE154" s="375"/>
      <c r="AF154" s="375"/>
      <c r="AG154" s="375"/>
      <c r="AH154" s="375"/>
    </row>
    <row r="155" spans="4:34" x14ac:dyDescent="0.25">
      <c r="D155" s="375"/>
      <c r="E155" s="375"/>
      <c r="F155" s="375"/>
      <c r="G155" s="375"/>
      <c r="H155" s="375"/>
      <c r="I155" s="375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  <c r="Y155" s="375"/>
      <c r="Z155" s="375"/>
      <c r="AA155" s="375"/>
      <c r="AB155" s="375"/>
      <c r="AC155" s="375"/>
      <c r="AD155" s="375"/>
      <c r="AE155" s="375"/>
      <c r="AF155" s="375"/>
      <c r="AG155" s="375"/>
      <c r="AH155" s="375"/>
    </row>
    <row r="156" spans="4:34" x14ac:dyDescent="0.25">
      <c r="D156" s="375"/>
      <c r="E156" s="375"/>
      <c r="F156" s="375"/>
      <c r="G156" s="375"/>
      <c r="H156" s="375"/>
      <c r="I156" s="375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5"/>
      <c r="AC156" s="375"/>
      <c r="AD156" s="375"/>
      <c r="AE156" s="375"/>
      <c r="AF156" s="375"/>
      <c r="AG156" s="375"/>
      <c r="AH156" s="375"/>
    </row>
    <row r="157" spans="4:34" x14ac:dyDescent="0.25">
      <c r="D157" s="375"/>
      <c r="E157" s="375"/>
      <c r="F157" s="375"/>
      <c r="G157" s="375"/>
      <c r="H157" s="375"/>
      <c r="I157" s="375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  <c r="Y157" s="375"/>
      <c r="Z157" s="375"/>
      <c r="AA157" s="375"/>
      <c r="AB157" s="375"/>
      <c r="AC157" s="375"/>
      <c r="AD157" s="375"/>
      <c r="AE157" s="375"/>
      <c r="AF157" s="375"/>
      <c r="AG157" s="375"/>
      <c r="AH157" s="375"/>
    </row>
    <row r="158" spans="4:34" x14ac:dyDescent="0.25">
      <c r="D158" s="375"/>
      <c r="E158" s="375"/>
      <c r="F158" s="375"/>
      <c r="G158" s="375"/>
      <c r="H158" s="375"/>
      <c r="I158" s="375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  <c r="Y158" s="375"/>
      <c r="Z158" s="375"/>
      <c r="AA158" s="375"/>
      <c r="AB158" s="375"/>
      <c r="AC158" s="375"/>
      <c r="AD158" s="375"/>
      <c r="AE158" s="375"/>
      <c r="AF158" s="375"/>
      <c r="AG158" s="375"/>
      <c r="AH158" s="375"/>
    </row>
    <row r="159" spans="4:34" x14ac:dyDescent="0.25">
      <c r="D159" s="375"/>
      <c r="E159" s="375"/>
      <c r="F159" s="375"/>
      <c r="G159" s="375"/>
      <c r="H159" s="375"/>
      <c r="I159" s="375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  <c r="AD159" s="375"/>
      <c r="AE159" s="375"/>
      <c r="AF159" s="375"/>
      <c r="AG159" s="375"/>
      <c r="AH159" s="375"/>
    </row>
    <row r="160" spans="4:34" x14ac:dyDescent="0.25">
      <c r="D160" s="375"/>
      <c r="E160" s="375"/>
      <c r="F160" s="375"/>
      <c r="G160" s="375"/>
      <c r="H160" s="375"/>
      <c r="I160" s="375"/>
      <c r="J160" s="375"/>
      <c r="K160" s="37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  <c r="Y160" s="375"/>
      <c r="Z160" s="375"/>
      <c r="AA160" s="375"/>
      <c r="AB160" s="375"/>
      <c r="AC160" s="375"/>
      <c r="AD160" s="375"/>
      <c r="AE160" s="375"/>
      <c r="AF160" s="375"/>
      <c r="AG160" s="375"/>
      <c r="AH160" s="375"/>
    </row>
    <row r="161" spans="4:34" x14ac:dyDescent="0.25">
      <c r="D161" s="375"/>
      <c r="E161" s="375"/>
      <c r="F161" s="375"/>
      <c r="G161" s="375"/>
      <c r="H161" s="375"/>
      <c r="I161" s="375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  <c r="AD161" s="375"/>
      <c r="AE161" s="375"/>
      <c r="AF161" s="375"/>
      <c r="AG161" s="375"/>
      <c r="AH161" s="375"/>
    </row>
    <row r="162" spans="4:34" x14ac:dyDescent="0.25">
      <c r="D162" s="375"/>
      <c r="E162" s="375"/>
      <c r="F162" s="375"/>
      <c r="G162" s="375"/>
      <c r="H162" s="375"/>
      <c r="I162" s="375"/>
      <c r="J162" s="375"/>
      <c r="K162" s="37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  <c r="Y162" s="375"/>
      <c r="Z162" s="375"/>
      <c r="AA162" s="375"/>
      <c r="AB162" s="375"/>
      <c r="AC162" s="375"/>
      <c r="AD162" s="375"/>
      <c r="AE162" s="375"/>
      <c r="AF162" s="375"/>
      <c r="AG162" s="375"/>
      <c r="AH162" s="375"/>
    </row>
    <row r="163" spans="4:34" x14ac:dyDescent="0.25">
      <c r="D163" s="375"/>
      <c r="E163" s="375"/>
      <c r="F163" s="375"/>
      <c r="G163" s="375"/>
      <c r="H163" s="375"/>
      <c r="I163" s="375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  <c r="Y163" s="375"/>
      <c r="Z163" s="375"/>
      <c r="AA163" s="375"/>
      <c r="AB163" s="375"/>
      <c r="AC163" s="375"/>
      <c r="AD163" s="375"/>
      <c r="AE163" s="375"/>
      <c r="AF163" s="375"/>
      <c r="AG163" s="375"/>
      <c r="AH163" s="375"/>
    </row>
    <row r="164" spans="4:34" x14ac:dyDescent="0.25">
      <c r="D164" s="375"/>
      <c r="E164" s="375"/>
      <c r="F164" s="375"/>
      <c r="G164" s="375"/>
      <c r="H164" s="375"/>
      <c r="I164" s="375"/>
      <c r="J164" s="375"/>
      <c r="K164" s="37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  <c r="Y164" s="375"/>
      <c r="Z164" s="375"/>
      <c r="AA164" s="375"/>
      <c r="AB164" s="375"/>
      <c r="AC164" s="375"/>
      <c r="AD164" s="375"/>
      <c r="AE164" s="375"/>
      <c r="AF164" s="375"/>
      <c r="AG164" s="375"/>
      <c r="AH164" s="375"/>
    </row>
    <row r="165" spans="4:34" x14ac:dyDescent="0.25">
      <c r="D165" s="375"/>
      <c r="E165" s="375"/>
      <c r="F165" s="375"/>
      <c r="G165" s="375"/>
      <c r="H165" s="375"/>
      <c r="I165" s="375"/>
      <c r="J165" s="375"/>
      <c r="K165" s="37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  <c r="Y165" s="375"/>
      <c r="Z165" s="375"/>
      <c r="AA165" s="375"/>
      <c r="AB165" s="375"/>
      <c r="AC165" s="375"/>
      <c r="AD165" s="375"/>
      <c r="AE165" s="375"/>
      <c r="AF165" s="375"/>
      <c r="AG165" s="375"/>
      <c r="AH165" s="375"/>
    </row>
    <row r="166" spans="4:34" x14ac:dyDescent="0.25">
      <c r="D166" s="375"/>
      <c r="E166" s="375"/>
      <c r="F166" s="375"/>
      <c r="G166" s="375"/>
      <c r="H166" s="375"/>
      <c r="I166" s="375"/>
      <c r="J166" s="375"/>
      <c r="K166" s="37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  <c r="Y166" s="375"/>
      <c r="Z166" s="375"/>
      <c r="AA166" s="375"/>
      <c r="AB166" s="375"/>
      <c r="AC166" s="375"/>
      <c r="AD166" s="375"/>
      <c r="AE166" s="375"/>
      <c r="AF166" s="375"/>
      <c r="AG166" s="375"/>
      <c r="AH166" s="375"/>
    </row>
    <row r="167" spans="4:34" x14ac:dyDescent="0.25">
      <c r="D167" s="375"/>
      <c r="E167" s="375"/>
      <c r="F167" s="375"/>
      <c r="G167" s="375"/>
      <c r="H167" s="375"/>
      <c r="I167" s="375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  <c r="AD167" s="375"/>
      <c r="AE167" s="375"/>
      <c r="AF167" s="375"/>
      <c r="AG167" s="375"/>
      <c r="AH167" s="375"/>
    </row>
    <row r="168" spans="4:34" x14ac:dyDescent="0.25">
      <c r="D168" s="375"/>
      <c r="E168" s="375"/>
      <c r="F168" s="375"/>
      <c r="G168" s="375"/>
      <c r="H168" s="375"/>
      <c r="I168" s="375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  <c r="Y168" s="375"/>
      <c r="Z168" s="375"/>
      <c r="AA168" s="375"/>
      <c r="AB168" s="375"/>
      <c r="AC168" s="375"/>
      <c r="AD168" s="375"/>
      <c r="AE168" s="375"/>
      <c r="AF168" s="375"/>
      <c r="AG168" s="375"/>
      <c r="AH168" s="375"/>
    </row>
    <row r="169" spans="4:34" x14ac:dyDescent="0.25">
      <c r="D169" s="375"/>
      <c r="E169" s="375"/>
      <c r="F169" s="375"/>
      <c r="G169" s="375"/>
      <c r="H169" s="375"/>
      <c r="I169" s="375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  <c r="AD169" s="375"/>
      <c r="AE169" s="375"/>
      <c r="AF169" s="375"/>
      <c r="AG169" s="375"/>
      <c r="AH169" s="375"/>
    </row>
    <row r="170" spans="4:34" x14ac:dyDescent="0.25">
      <c r="D170" s="375"/>
      <c r="E170" s="375"/>
      <c r="F170" s="375"/>
      <c r="G170" s="375"/>
      <c r="H170" s="375"/>
      <c r="I170" s="375"/>
      <c r="J170" s="375"/>
      <c r="K170" s="37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  <c r="Y170" s="375"/>
      <c r="Z170" s="375"/>
      <c r="AA170" s="375"/>
      <c r="AB170" s="375"/>
      <c r="AC170" s="375"/>
      <c r="AD170" s="375"/>
      <c r="AE170" s="375"/>
      <c r="AF170" s="375"/>
      <c r="AG170" s="375"/>
      <c r="AH170" s="375"/>
    </row>
    <row r="171" spans="4:34" x14ac:dyDescent="0.25">
      <c r="D171" s="375"/>
      <c r="E171" s="375"/>
      <c r="F171" s="375"/>
      <c r="G171" s="375"/>
      <c r="H171" s="375"/>
      <c r="I171" s="375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  <c r="AD171" s="375"/>
      <c r="AE171" s="375"/>
      <c r="AF171" s="375"/>
      <c r="AG171" s="375"/>
      <c r="AH171" s="375"/>
    </row>
    <row r="172" spans="4:34" x14ac:dyDescent="0.25">
      <c r="D172" s="375"/>
      <c r="E172" s="375"/>
      <c r="F172" s="375"/>
      <c r="G172" s="375"/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5"/>
      <c r="AC172" s="375"/>
      <c r="AD172" s="375"/>
      <c r="AE172" s="375"/>
      <c r="AF172" s="375"/>
      <c r="AG172" s="375"/>
      <c r="AH172" s="375"/>
    </row>
    <row r="173" spans="4:34" x14ac:dyDescent="0.25">
      <c r="D173" s="375"/>
      <c r="E173" s="375"/>
      <c r="F173" s="375"/>
      <c r="G173" s="375"/>
      <c r="H173" s="375"/>
      <c r="I173" s="375"/>
      <c r="J173" s="375"/>
      <c r="K173" s="37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  <c r="Y173" s="375"/>
      <c r="Z173" s="375"/>
      <c r="AA173" s="375"/>
      <c r="AB173" s="375"/>
      <c r="AC173" s="375"/>
      <c r="AD173" s="375"/>
      <c r="AE173" s="375"/>
      <c r="AF173" s="375"/>
      <c r="AG173" s="375"/>
      <c r="AH173" s="375"/>
    </row>
    <row r="174" spans="4:34" x14ac:dyDescent="0.25">
      <c r="D174" s="375"/>
      <c r="E174" s="375"/>
      <c r="F174" s="375"/>
      <c r="G174" s="375"/>
      <c r="H174" s="375"/>
      <c r="I174" s="375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  <c r="Y174" s="375"/>
      <c r="Z174" s="375"/>
      <c r="AA174" s="375"/>
      <c r="AB174" s="375"/>
      <c r="AC174" s="375"/>
      <c r="AD174" s="375"/>
      <c r="AE174" s="375"/>
      <c r="AF174" s="375"/>
      <c r="AG174" s="375"/>
      <c r="AH174" s="375"/>
    </row>
    <row r="175" spans="4:34" x14ac:dyDescent="0.25">
      <c r="D175" s="375"/>
      <c r="E175" s="375"/>
      <c r="F175" s="375"/>
      <c r="G175" s="375"/>
      <c r="H175" s="375"/>
      <c r="I175" s="375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  <c r="AD175" s="375"/>
      <c r="AE175" s="375"/>
      <c r="AF175" s="375"/>
      <c r="AG175" s="375"/>
      <c r="AH175" s="375"/>
    </row>
    <row r="176" spans="4:34" x14ac:dyDescent="0.25">
      <c r="D176" s="375"/>
      <c r="E176" s="375"/>
      <c r="F176" s="375"/>
      <c r="G176" s="375"/>
      <c r="H176" s="375"/>
      <c r="I176" s="375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  <c r="Y176" s="375"/>
      <c r="Z176" s="375"/>
      <c r="AA176" s="375"/>
      <c r="AB176" s="375"/>
      <c r="AC176" s="375"/>
      <c r="AD176" s="375"/>
      <c r="AE176" s="375"/>
      <c r="AF176" s="375"/>
      <c r="AG176" s="375"/>
      <c r="AH176" s="375"/>
    </row>
    <row r="177" spans="4:34" x14ac:dyDescent="0.25">
      <c r="D177" s="375"/>
      <c r="E177" s="375"/>
      <c r="F177" s="375"/>
      <c r="G177" s="375"/>
      <c r="H177" s="375"/>
      <c r="I177" s="375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  <c r="AD177" s="375"/>
      <c r="AE177" s="375"/>
      <c r="AF177" s="375"/>
      <c r="AG177" s="375"/>
      <c r="AH177" s="375"/>
    </row>
    <row r="178" spans="4:34" x14ac:dyDescent="0.25">
      <c r="D178" s="375"/>
      <c r="E178" s="375"/>
      <c r="F178" s="375"/>
      <c r="G178" s="375"/>
      <c r="H178" s="375"/>
      <c r="I178" s="375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  <c r="Y178" s="375"/>
      <c r="Z178" s="375"/>
      <c r="AA178" s="375"/>
      <c r="AB178" s="375"/>
      <c r="AC178" s="375"/>
      <c r="AD178" s="375"/>
      <c r="AE178" s="375"/>
      <c r="AF178" s="375"/>
      <c r="AG178" s="375"/>
      <c r="AH178" s="375"/>
    </row>
    <row r="179" spans="4:34" x14ac:dyDescent="0.25">
      <c r="D179" s="375"/>
      <c r="E179" s="375"/>
      <c r="F179" s="375"/>
      <c r="G179" s="375"/>
      <c r="H179" s="375"/>
      <c r="I179" s="375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5"/>
      <c r="AC179" s="375"/>
      <c r="AD179" s="375"/>
      <c r="AE179" s="375"/>
      <c r="AF179" s="375"/>
      <c r="AG179" s="375"/>
      <c r="AH179" s="375"/>
    </row>
    <row r="180" spans="4:34" x14ac:dyDescent="0.25">
      <c r="D180" s="375"/>
      <c r="E180" s="375"/>
      <c r="F180" s="375"/>
      <c r="G180" s="375"/>
      <c r="H180" s="375"/>
      <c r="I180" s="375"/>
      <c r="J180" s="375"/>
      <c r="K180" s="37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  <c r="Y180" s="375"/>
      <c r="Z180" s="375"/>
      <c r="AA180" s="375"/>
      <c r="AB180" s="375"/>
      <c r="AC180" s="375"/>
      <c r="AD180" s="375"/>
      <c r="AE180" s="375"/>
      <c r="AF180" s="375"/>
      <c r="AG180" s="375"/>
      <c r="AH180" s="375"/>
    </row>
    <row r="181" spans="4:34" x14ac:dyDescent="0.25">
      <c r="D181" s="375"/>
      <c r="E181" s="375"/>
      <c r="F181" s="375"/>
      <c r="G181" s="375"/>
      <c r="H181" s="375"/>
      <c r="I181" s="375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  <c r="AD181" s="375"/>
      <c r="AE181" s="375"/>
      <c r="AF181" s="375"/>
      <c r="AG181" s="375"/>
      <c r="AH181" s="375"/>
    </row>
    <row r="182" spans="4:34" x14ac:dyDescent="0.25">
      <c r="D182" s="375"/>
      <c r="E182" s="375"/>
      <c r="F182" s="375"/>
      <c r="G182" s="375"/>
      <c r="H182" s="375"/>
      <c r="I182" s="375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  <c r="Y182" s="375"/>
      <c r="Z182" s="375"/>
      <c r="AA182" s="375"/>
      <c r="AB182" s="375"/>
      <c r="AC182" s="375"/>
      <c r="AD182" s="375"/>
      <c r="AE182" s="375"/>
      <c r="AF182" s="375"/>
      <c r="AG182" s="375"/>
      <c r="AH182" s="375"/>
    </row>
    <row r="183" spans="4:34" x14ac:dyDescent="0.25">
      <c r="D183" s="375"/>
      <c r="E183" s="375"/>
      <c r="F183" s="375"/>
      <c r="G183" s="375"/>
      <c r="H183" s="375"/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  <c r="AD183" s="375"/>
      <c r="AE183" s="375"/>
      <c r="AF183" s="375"/>
      <c r="AG183" s="375"/>
      <c r="AH183" s="375"/>
    </row>
    <row r="184" spans="4:34" x14ac:dyDescent="0.25">
      <c r="D184" s="375"/>
      <c r="E184" s="375"/>
      <c r="F184" s="375"/>
      <c r="G184" s="375"/>
      <c r="H184" s="375"/>
      <c r="I184" s="375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  <c r="Y184" s="375"/>
      <c r="Z184" s="375"/>
      <c r="AA184" s="375"/>
      <c r="AB184" s="375"/>
      <c r="AC184" s="375"/>
      <c r="AD184" s="375"/>
      <c r="AE184" s="375"/>
      <c r="AF184" s="375"/>
      <c r="AG184" s="375"/>
      <c r="AH184" s="375"/>
    </row>
    <row r="185" spans="4:34" x14ac:dyDescent="0.25">
      <c r="D185" s="375"/>
      <c r="E185" s="375"/>
      <c r="F185" s="375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5"/>
      <c r="AC185" s="375"/>
      <c r="AD185" s="375"/>
      <c r="AE185" s="375"/>
      <c r="AF185" s="375"/>
      <c r="AG185" s="375"/>
      <c r="AH185" s="375"/>
    </row>
    <row r="186" spans="4:34" x14ac:dyDescent="0.25">
      <c r="D186" s="375"/>
      <c r="E186" s="375"/>
      <c r="F186" s="375"/>
      <c r="G186" s="375"/>
      <c r="H186" s="375"/>
      <c r="I186" s="375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  <c r="Y186" s="375"/>
      <c r="Z186" s="375"/>
      <c r="AA186" s="375"/>
      <c r="AB186" s="375"/>
      <c r="AC186" s="375"/>
      <c r="AD186" s="375"/>
      <c r="AE186" s="375"/>
      <c r="AF186" s="375"/>
      <c r="AG186" s="375"/>
      <c r="AH186" s="375"/>
    </row>
    <row r="187" spans="4:34" x14ac:dyDescent="0.25">
      <c r="D187" s="375"/>
      <c r="E187" s="375"/>
      <c r="F187" s="375"/>
      <c r="G187" s="375"/>
      <c r="H187" s="375"/>
      <c r="I187" s="375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  <c r="Y187" s="375"/>
      <c r="Z187" s="375"/>
      <c r="AA187" s="375"/>
      <c r="AB187" s="375"/>
      <c r="AC187" s="375"/>
      <c r="AD187" s="375"/>
      <c r="AE187" s="375"/>
      <c r="AF187" s="375"/>
      <c r="AG187" s="375"/>
      <c r="AH187" s="375"/>
    </row>
    <row r="188" spans="4:34" x14ac:dyDescent="0.25">
      <c r="D188" s="375"/>
      <c r="E188" s="375"/>
      <c r="F188" s="375"/>
      <c r="G188" s="375"/>
      <c r="H188" s="375"/>
      <c r="I188" s="375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  <c r="AD188" s="375"/>
      <c r="AE188" s="375"/>
      <c r="AF188" s="375"/>
      <c r="AG188" s="375"/>
      <c r="AH188" s="375"/>
    </row>
    <row r="189" spans="4:34" x14ac:dyDescent="0.25">
      <c r="D189" s="375"/>
      <c r="E189" s="375"/>
      <c r="F189" s="375"/>
      <c r="G189" s="375"/>
      <c r="H189" s="375"/>
      <c r="I189" s="375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  <c r="Y189" s="375"/>
      <c r="Z189" s="375"/>
      <c r="AA189" s="375"/>
      <c r="AB189" s="375"/>
      <c r="AC189" s="375"/>
      <c r="AD189" s="375"/>
      <c r="AE189" s="375"/>
      <c r="AF189" s="375"/>
      <c r="AG189" s="375"/>
      <c r="AH189" s="375"/>
    </row>
    <row r="190" spans="4:34" x14ac:dyDescent="0.25">
      <c r="D190" s="375"/>
      <c r="E190" s="375"/>
      <c r="F190" s="375"/>
      <c r="G190" s="375"/>
      <c r="H190" s="375"/>
      <c r="I190" s="375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  <c r="Y190" s="375"/>
      <c r="Z190" s="375"/>
      <c r="AA190" s="375"/>
      <c r="AB190" s="375"/>
      <c r="AC190" s="375"/>
      <c r="AD190" s="375"/>
      <c r="AE190" s="375"/>
      <c r="AF190" s="375"/>
      <c r="AG190" s="375"/>
      <c r="AH190" s="375"/>
    </row>
    <row r="191" spans="4:34" x14ac:dyDescent="0.25">
      <c r="D191" s="375"/>
      <c r="E191" s="375"/>
      <c r="F191" s="375"/>
      <c r="G191" s="375"/>
      <c r="H191" s="375"/>
      <c r="I191" s="375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  <c r="Y191" s="375"/>
      <c r="Z191" s="375"/>
      <c r="AA191" s="375"/>
      <c r="AB191" s="375"/>
      <c r="AC191" s="375"/>
      <c r="AD191" s="375"/>
      <c r="AE191" s="375"/>
      <c r="AF191" s="375"/>
      <c r="AG191" s="375"/>
      <c r="AH191" s="375"/>
    </row>
    <row r="192" spans="4:34" x14ac:dyDescent="0.25">
      <c r="D192" s="375"/>
      <c r="E192" s="375"/>
      <c r="F192" s="375"/>
      <c r="G192" s="375"/>
      <c r="H192" s="375"/>
      <c r="I192" s="375"/>
      <c r="J192" s="375"/>
      <c r="K192" s="375"/>
      <c r="L192" s="375"/>
      <c r="M192" s="375"/>
      <c r="N192" s="375"/>
      <c r="O192" s="375"/>
      <c r="P192" s="375"/>
      <c r="Q192" s="375"/>
      <c r="R192" s="375"/>
      <c r="S192" s="375"/>
      <c r="T192" s="375"/>
      <c r="U192" s="375"/>
      <c r="V192" s="375"/>
      <c r="W192" s="375"/>
      <c r="X192" s="375"/>
      <c r="Y192" s="375"/>
      <c r="Z192" s="375"/>
      <c r="AA192" s="375"/>
      <c r="AB192" s="375"/>
      <c r="AC192" s="375"/>
      <c r="AD192" s="375"/>
      <c r="AE192" s="375"/>
      <c r="AF192" s="375"/>
      <c r="AG192" s="375"/>
      <c r="AH192" s="375"/>
    </row>
    <row r="193" spans="4:34" x14ac:dyDescent="0.25">
      <c r="D193" s="375"/>
      <c r="E193" s="375"/>
      <c r="F193" s="375"/>
      <c r="G193" s="375"/>
      <c r="H193" s="375"/>
      <c r="I193" s="375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  <c r="Y193" s="375"/>
      <c r="Z193" s="375"/>
      <c r="AA193" s="375"/>
      <c r="AB193" s="375"/>
      <c r="AC193" s="375"/>
      <c r="AD193" s="375"/>
      <c r="AE193" s="375"/>
      <c r="AF193" s="375"/>
      <c r="AG193" s="375"/>
      <c r="AH193" s="375"/>
    </row>
    <row r="194" spans="4:34" x14ac:dyDescent="0.25">
      <c r="D194" s="375"/>
      <c r="E194" s="375"/>
      <c r="F194" s="375"/>
      <c r="G194" s="375"/>
      <c r="H194" s="375"/>
      <c r="I194" s="375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  <c r="Y194" s="375"/>
      <c r="Z194" s="375"/>
      <c r="AA194" s="375"/>
      <c r="AB194" s="375"/>
      <c r="AC194" s="375"/>
      <c r="AD194" s="375"/>
      <c r="AE194" s="375"/>
      <c r="AF194" s="375"/>
      <c r="AG194" s="375"/>
      <c r="AH194" s="375"/>
    </row>
    <row r="195" spans="4:34" x14ac:dyDescent="0.25">
      <c r="D195" s="375"/>
      <c r="E195" s="375"/>
      <c r="F195" s="375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  <c r="Y195" s="375"/>
      <c r="Z195" s="375"/>
      <c r="AA195" s="375"/>
      <c r="AB195" s="375"/>
      <c r="AC195" s="375"/>
      <c r="AD195" s="375"/>
      <c r="AE195" s="375"/>
      <c r="AF195" s="375"/>
      <c r="AG195" s="375"/>
      <c r="AH195" s="375"/>
    </row>
    <row r="196" spans="4:34" x14ac:dyDescent="0.25">
      <c r="D196" s="375"/>
      <c r="E196" s="375"/>
      <c r="F196" s="375"/>
      <c r="G196" s="375"/>
      <c r="H196" s="375"/>
      <c r="I196" s="375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  <c r="Y196" s="375"/>
      <c r="Z196" s="375"/>
      <c r="AA196" s="375"/>
      <c r="AB196" s="375"/>
      <c r="AC196" s="375"/>
      <c r="AD196" s="375"/>
      <c r="AE196" s="375"/>
      <c r="AF196" s="375"/>
      <c r="AG196" s="375"/>
      <c r="AH196" s="375"/>
    </row>
    <row r="197" spans="4:34" x14ac:dyDescent="0.25">
      <c r="D197" s="375"/>
      <c r="E197" s="375"/>
      <c r="F197" s="375"/>
      <c r="G197" s="375"/>
      <c r="H197" s="375"/>
      <c r="I197" s="375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  <c r="Y197" s="375"/>
      <c r="Z197" s="375"/>
      <c r="AA197" s="375"/>
      <c r="AB197" s="375"/>
      <c r="AC197" s="375"/>
      <c r="AD197" s="375"/>
      <c r="AE197" s="375"/>
      <c r="AF197" s="375"/>
      <c r="AG197" s="375"/>
      <c r="AH197" s="375"/>
    </row>
    <row r="198" spans="4:34" x14ac:dyDescent="0.25">
      <c r="D198" s="375"/>
      <c r="E198" s="375"/>
      <c r="F198" s="375"/>
      <c r="G198" s="375"/>
      <c r="H198" s="375"/>
      <c r="I198" s="375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  <c r="Y198" s="375"/>
      <c r="Z198" s="375"/>
      <c r="AA198" s="375"/>
      <c r="AB198" s="375"/>
      <c r="AC198" s="375"/>
      <c r="AD198" s="375"/>
      <c r="AE198" s="375"/>
      <c r="AF198" s="375"/>
      <c r="AG198" s="375"/>
      <c r="AH198" s="375"/>
    </row>
    <row r="199" spans="4:34" x14ac:dyDescent="0.25">
      <c r="D199" s="375"/>
      <c r="E199" s="375"/>
      <c r="F199" s="375"/>
      <c r="G199" s="375"/>
      <c r="H199" s="375"/>
      <c r="I199" s="375"/>
      <c r="J199" s="375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375"/>
      <c r="W199" s="375"/>
      <c r="X199" s="375"/>
      <c r="Y199" s="375"/>
      <c r="Z199" s="375"/>
      <c r="AA199" s="375"/>
      <c r="AB199" s="375"/>
      <c r="AC199" s="375"/>
      <c r="AD199" s="375"/>
      <c r="AE199" s="375"/>
      <c r="AF199" s="375"/>
      <c r="AG199" s="375"/>
      <c r="AH199" s="375"/>
    </row>
    <row r="200" spans="4:34" x14ac:dyDescent="0.25">
      <c r="D200" s="375"/>
      <c r="E200" s="375"/>
      <c r="F200" s="375"/>
      <c r="G200" s="375"/>
      <c r="H200" s="375"/>
      <c r="I200" s="375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  <c r="Y200" s="375"/>
      <c r="Z200" s="375"/>
      <c r="AA200" s="375"/>
      <c r="AB200" s="375"/>
      <c r="AC200" s="375"/>
      <c r="AD200" s="375"/>
      <c r="AE200" s="375"/>
      <c r="AF200" s="375"/>
      <c r="AG200" s="375"/>
      <c r="AH200" s="375"/>
    </row>
    <row r="201" spans="4:34" x14ac:dyDescent="0.25">
      <c r="D201" s="375"/>
      <c r="E201" s="375"/>
      <c r="F201" s="375"/>
      <c r="G201" s="375"/>
      <c r="H201" s="375"/>
      <c r="I201" s="375"/>
      <c r="J201" s="375"/>
      <c r="K201" s="375"/>
      <c r="L201" s="375"/>
      <c r="M201" s="375"/>
      <c r="N201" s="375"/>
      <c r="O201" s="375"/>
      <c r="P201" s="375"/>
      <c r="Q201" s="375"/>
      <c r="R201" s="375"/>
      <c r="S201" s="375"/>
      <c r="T201" s="375"/>
      <c r="U201" s="375"/>
      <c r="V201" s="375"/>
      <c r="W201" s="375"/>
      <c r="X201" s="375"/>
      <c r="Y201" s="375"/>
      <c r="Z201" s="375"/>
      <c r="AA201" s="375"/>
      <c r="AB201" s="375"/>
      <c r="AC201" s="375"/>
      <c r="AD201" s="375"/>
      <c r="AE201" s="375"/>
      <c r="AF201" s="375"/>
      <c r="AG201" s="375"/>
      <c r="AH201" s="375"/>
    </row>
    <row r="202" spans="4:34" x14ac:dyDescent="0.25">
      <c r="D202" s="375"/>
      <c r="E202" s="375"/>
      <c r="F202" s="375"/>
      <c r="G202" s="375"/>
      <c r="H202" s="375"/>
      <c r="I202" s="375"/>
      <c r="J202" s="375"/>
      <c r="K202" s="375"/>
      <c r="L202" s="375"/>
      <c r="M202" s="375"/>
      <c r="N202" s="375"/>
      <c r="O202" s="375"/>
      <c r="P202" s="375"/>
      <c r="Q202" s="375"/>
      <c r="R202" s="375"/>
      <c r="S202" s="375"/>
      <c r="T202" s="375"/>
      <c r="U202" s="375"/>
      <c r="V202" s="375"/>
      <c r="W202" s="375"/>
      <c r="X202" s="375"/>
      <c r="Y202" s="375"/>
      <c r="Z202" s="375"/>
      <c r="AA202" s="375"/>
      <c r="AB202" s="375"/>
      <c r="AC202" s="375"/>
      <c r="AD202" s="375"/>
      <c r="AE202" s="375"/>
      <c r="AF202" s="375"/>
      <c r="AG202" s="375"/>
      <c r="AH202" s="375"/>
    </row>
    <row r="203" spans="4:34" x14ac:dyDescent="0.25">
      <c r="D203" s="375"/>
      <c r="E203" s="375"/>
      <c r="F203" s="375"/>
      <c r="G203" s="375"/>
      <c r="H203" s="375"/>
      <c r="I203" s="375"/>
      <c r="J203" s="375"/>
      <c r="K203" s="375"/>
      <c r="L203" s="375"/>
      <c r="M203" s="375"/>
      <c r="N203" s="375"/>
      <c r="O203" s="375"/>
      <c r="P203" s="375"/>
      <c r="Q203" s="375"/>
      <c r="R203" s="375"/>
      <c r="S203" s="375"/>
      <c r="T203" s="375"/>
      <c r="U203" s="375"/>
      <c r="V203" s="375"/>
      <c r="W203" s="375"/>
      <c r="X203" s="375"/>
      <c r="Y203" s="375"/>
      <c r="Z203" s="375"/>
      <c r="AA203" s="375"/>
      <c r="AB203" s="375"/>
      <c r="AC203" s="375"/>
      <c r="AD203" s="375"/>
      <c r="AE203" s="375"/>
      <c r="AF203" s="375"/>
      <c r="AG203" s="375"/>
      <c r="AH203" s="375"/>
    </row>
    <row r="204" spans="4:34" x14ac:dyDescent="0.25">
      <c r="D204" s="375"/>
      <c r="E204" s="375"/>
      <c r="F204" s="375"/>
      <c r="G204" s="375"/>
      <c r="H204" s="375"/>
      <c r="I204" s="375"/>
      <c r="J204" s="375"/>
      <c r="K204" s="375"/>
      <c r="L204" s="375"/>
      <c r="M204" s="375"/>
      <c r="N204" s="375"/>
      <c r="O204" s="375"/>
      <c r="P204" s="375"/>
      <c r="Q204" s="375"/>
      <c r="R204" s="375"/>
      <c r="S204" s="375"/>
      <c r="T204" s="375"/>
      <c r="U204" s="375"/>
      <c r="V204" s="375"/>
      <c r="W204" s="375"/>
      <c r="X204" s="375"/>
      <c r="Y204" s="375"/>
      <c r="Z204" s="375"/>
      <c r="AA204" s="375"/>
      <c r="AB204" s="375"/>
      <c r="AC204" s="375"/>
      <c r="AD204" s="375"/>
      <c r="AE204" s="375"/>
      <c r="AF204" s="375"/>
      <c r="AG204" s="375"/>
      <c r="AH204" s="375"/>
    </row>
    <row r="205" spans="4:34" x14ac:dyDescent="0.25">
      <c r="D205" s="375"/>
      <c r="E205" s="375"/>
      <c r="F205" s="375"/>
      <c r="G205" s="375"/>
      <c r="H205" s="375"/>
      <c r="I205" s="375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  <c r="Y205" s="375"/>
      <c r="Z205" s="375"/>
      <c r="AA205" s="375"/>
      <c r="AB205" s="375"/>
      <c r="AC205" s="375"/>
      <c r="AD205" s="375"/>
      <c r="AE205" s="375"/>
      <c r="AF205" s="375"/>
      <c r="AG205" s="375"/>
      <c r="AH205" s="375"/>
    </row>
    <row r="206" spans="4:34" x14ac:dyDescent="0.25">
      <c r="D206" s="375"/>
      <c r="E206" s="375"/>
      <c r="F206" s="375"/>
      <c r="G206" s="375"/>
      <c r="H206" s="375"/>
      <c r="I206" s="375"/>
      <c r="J206" s="375"/>
      <c r="K206" s="375"/>
      <c r="L206" s="375"/>
      <c r="M206" s="375"/>
      <c r="N206" s="375"/>
      <c r="O206" s="375"/>
      <c r="P206" s="375"/>
      <c r="Q206" s="375"/>
      <c r="R206" s="375"/>
      <c r="S206" s="375"/>
      <c r="T206" s="375"/>
      <c r="U206" s="375"/>
      <c r="V206" s="375"/>
      <c r="W206" s="375"/>
      <c r="X206" s="375"/>
      <c r="Y206" s="375"/>
      <c r="Z206" s="375"/>
      <c r="AA206" s="375"/>
      <c r="AB206" s="375"/>
      <c r="AC206" s="375"/>
      <c r="AD206" s="375"/>
      <c r="AE206" s="375"/>
      <c r="AF206" s="375"/>
      <c r="AG206" s="375"/>
      <c r="AH206" s="375"/>
    </row>
    <row r="207" spans="4:34" x14ac:dyDescent="0.25">
      <c r="D207" s="375"/>
      <c r="E207" s="375"/>
      <c r="F207" s="375"/>
      <c r="G207" s="375"/>
      <c r="H207" s="375"/>
      <c r="I207" s="375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  <c r="Y207" s="375"/>
      <c r="Z207" s="375"/>
      <c r="AA207" s="375"/>
      <c r="AB207" s="375"/>
      <c r="AC207" s="375"/>
      <c r="AD207" s="375"/>
      <c r="AE207" s="375"/>
      <c r="AF207" s="375"/>
      <c r="AG207" s="375"/>
      <c r="AH207" s="375"/>
    </row>
    <row r="208" spans="4:34" x14ac:dyDescent="0.25">
      <c r="D208" s="375"/>
      <c r="E208" s="375"/>
      <c r="F208" s="375"/>
      <c r="G208" s="375"/>
      <c r="H208" s="375"/>
      <c r="I208" s="375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  <c r="Y208" s="375"/>
      <c r="Z208" s="375"/>
      <c r="AA208" s="375"/>
      <c r="AB208" s="375"/>
      <c r="AC208" s="375"/>
      <c r="AD208" s="375"/>
      <c r="AE208" s="375"/>
      <c r="AF208" s="375"/>
      <c r="AG208" s="375"/>
      <c r="AH208" s="375"/>
    </row>
    <row r="209" spans="4:34" x14ac:dyDescent="0.25">
      <c r="D209" s="375"/>
      <c r="E209" s="375"/>
      <c r="F209" s="375"/>
      <c r="G209" s="375"/>
      <c r="H209" s="375"/>
      <c r="I209" s="375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  <c r="Y209" s="375"/>
      <c r="Z209" s="375"/>
      <c r="AA209" s="375"/>
      <c r="AB209" s="375"/>
      <c r="AC209" s="375"/>
      <c r="AD209" s="375"/>
      <c r="AE209" s="375"/>
      <c r="AF209" s="375"/>
      <c r="AG209" s="375"/>
      <c r="AH209" s="375"/>
    </row>
    <row r="210" spans="4:34" x14ac:dyDescent="0.25">
      <c r="D210" s="375"/>
      <c r="E210" s="375"/>
      <c r="F210" s="375"/>
      <c r="G210" s="375"/>
      <c r="H210" s="375"/>
      <c r="I210" s="375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  <c r="Y210" s="375"/>
      <c r="Z210" s="375"/>
      <c r="AA210" s="375"/>
      <c r="AB210" s="375"/>
      <c r="AC210" s="375"/>
      <c r="AD210" s="375"/>
      <c r="AE210" s="375"/>
      <c r="AF210" s="375"/>
      <c r="AG210" s="375"/>
      <c r="AH210" s="375"/>
    </row>
  </sheetData>
  <mergeCells count="50">
    <mergeCell ref="AT6:AT7"/>
    <mergeCell ref="AU6:AU7"/>
    <mergeCell ref="AV6:AV7"/>
    <mergeCell ref="AW6:AW7"/>
    <mergeCell ref="AX6:AX7"/>
    <mergeCell ref="AO6:AO7"/>
    <mergeCell ref="AP6:AP7"/>
    <mergeCell ref="AQ6:AQ7"/>
    <mergeCell ref="AR6:AR7"/>
    <mergeCell ref="AS6:AS7"/>
    <mergeCell ref="AJ6:AJ7"/>
    <mergeCell ref="AK6:AK7"/>
    <mergeCell ref="AL6:AL7"/>
    <mergeCell ref="AM6:AM7"/>
    <mergeCell ref="AN6:AN7"/>
    <mergeCell ref="D3:H3"/>
    <mergeCell ref="A6:A7"/>
    <mergeCell ref="B6:B7"/>
    <mergeCell ref="C6:C7"/>
    <mergeCell ref="D6:D7"/>
    <mergeCell ref="E6:E7"/>
    <mergeCell ref="F6:F7"/>
    <mergeCell ref="G6:G7"/>
    <mergeCell ref="H6:H7"/>
    <mergeCell ref="AH34:AH35"/>
    <mergeCell ref="Z6:Z7"/>
    <mergeCell ref="AA6:AA7"/>
    <mergeCell ref="AB6:AB7"/>
    <mergeCell ref="K6:L6"/>
    <mergeCell ref="M6:N6"/>
    <mergeCell ref="S6:T6"/>
    <mergeCell ref="U6:U7"/>
    <mergeCell ref="V6:V7"/>
    <mergeCell ref="Q6:R6"/>
    <mergeCell ref="AI34:AI35"/>
    <mergeCell ref="AI6:AI7"/>
    <mergeCell ref="A34:A35"/>
    <mergeCell ref="B34:B35"/>
    <mergeCell ref="C34:C35"/>
    <mergeCell ref="AC6:AC7"/>
    <mergeCell ref="AD6:AD7"/>
    <mergeCell ref="AE6:AE7"/>
    <mergeCell ref="AF6:AF7"/>
    <mergeCell ref="AG6:AG7"/>
    <mergeCell ref="AH6:AH7"/>
    <mergeCell ref="I6:J6"/>
    <mergeCell ref="W6:W7"/>
    <mergeCell ref="X6:X7"/>
    <mergeCell ref="Y6:Y7"/>
    <mergeCell ref="O6:P6"/>
  </mergeCells>
  <pageMargins left="0.17" right="0.17" top="0.74803149606299213" bottom="0.74803149606299213" header="0.31496062992125984" footer="0.31496062992125984"/>
  <pageSetup paperSize="9" orientation="landscape" verticalDpi="0" r:id="rId1"/>
  <ignoredErrors>
    <ignoredError sqref="AS27" formula="1"/>
  </ignoredError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M230"/>
  <sheetViews>
    <sheetView topLeftCell="D1" zoomScaleNormal="100" workbookViewId="0">
      <selection activeCell="K38" sqref="K38:R39"/>
    </sheetView>
  </sheetViews>
  <sheetFormatPr defaultRowHeight="15" x14ac:dyDescent="0.25"/>
  <cols>
    <col min="1" max="1" width="3.7109375" customWidth="1"/>
    <col min="2" max="2" width="9.5703125" hidden="1" customWidth="1"/>
    <col min="3" max="3" width="16" customWidth="1"/>
    <col min="4" max="4" width="7.5703125" customWidth="1"/>
    <col min="5" max="5" width="7.28515625" customWidth="1"/>
    <col min="6" max="6" width="8.5703125" customWidth="1"/>
    <col min="7" max="7" width="7.42578125" customWidth="1"/>
    <col min="8" max="8" width="9.85546875" customWidth="1"/>
    <col min="9" max="9" width="12" customWidth="1"/>
    <col min="10" max="10" width="11.7109375" customWidth="1"/>
    <col min="11" max="11" width="11.140625" customWidth="1"/>
    <col min="12" max="12" width="13.42578125" customWidth="1"/>
    <col min="13" max="13" width="11.42578125" customWidth="1"/>
    <col min="14" max="16" width="12.28515625" customWidth="1"/>
    <col min="17" max="17" width="12.42578125" customWidth="1"/>
    <col min="18" max="18" width="11.140625" customWidth="1"/>
    <col min="19" max="19" width="11.7109375" customWidth="1"/>
    <col min="20" max="20" width="10" customWidth="1"/>
    <col min="21" max="21" width="11.140625" customWidth="1"/>
    <col min="22" max="22" width="11" customWidth="1"/>
    <col min="23" max="23" width="10.140625" customWidth="1"/>
    <col min="24" max="24" width="11.140625" customWidth="1"/>
    <col min="25" max="25" width="10.5703125" customWidth="1"/>
    <col min="26" max="26" width="10.85546875" customWidth="1"/>
    <col min="27" max="27" width="10.140625" customWidth="1"/>
    <col min="28" max="28" width="9.42578125" customWidth="1"/>
    <col min="29" max="29" width="11.85546875" customWidth="1"/>
    <col min="30" max="30" width="10.140625" hidden="1" customWidth="1"/>
    <col min="31" max="31" width="11.5703125" customWidth="1"/>
    <col min="32" max="32" width="9.140625" hidden="1" customWidth="1"/>
    <col min="33" max="33" width="9.140625" customWidth="1"/>
    <col min="34" max="34" width="10.5703125" customWidth="1"/>
    <col min="35" max="35" width="11.28515625" customWidth="1"/>
    <col min="36" max="37" width="9.140625" customWidth="1"/>
    <col min="38" max="39" width="10.5703125" customWidth="1"/>
    <col min="40" max="42" width="9.140625" customWidth="1"/>
  </cols>
  <sheetData>
    <row r="2" spans="1:39" ht="15" customHeight="1" x14ac:dyDescent="0.3">
      <c r="A2" s="176"/>
      <c r="B2" s="176"/>
      <c r="C2" s="176"/>
      <c r="D2" s="84" t="s">
        <v>843</v>
      </c>
      <c r="E2" s="84"/>
      <c r="F2" s="84"/>
      <c r="G2" s="84"/>
      <c r="H2" s="84"/>
      <c r="I2" s="84"/>
      <c r="J2" s="84"/>
      <c r="K2" s="84"/>
      <c r="L2" s="84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</row>
    <row r="3" spans="1:39" ht="18.75" customHeight="1" x14ac:dyDescent="0.3">
      <c r="A3" s="176"/>
      <c r="B3" s="176"/>
      <c r="C3" s="176"/>
      <c r="D3" s="1993"/>
      <c r="E3" s="1994"/>
      <c r="F3" s="1994"/>
      <c r="G3" s="1994"/>
      <c r="H3" s="1994"/>
      <c r="I3" s="1616"/>
      <c r="J3" s="1616"/>
      <c r="K3" s="1616"/>
      <c r="L3" s="161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</row>
    <row r="4" spans="1:39" ht="15.75" customHeight="1" x14ac:dyDescent="0.3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64"/>
    </row>
    <row r="5" spans="1:39" ht="15.75" customHeight="1" x14ac:dyDescent="0.3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64"/>
    </row>
    <row r="6" spans="1:39" ht="30" customHeight="1" x14ac:dyDescent="0.25">
      <c r="A6" s="2083" t="s">
        <v>0</v>
      </c>
      <c r="B6" s="2014"/>
      <c r="C6" s="2083" t="s">
        <v>184</v>
      </c>
      <c r="D6" s="2083" t="s">
        <v>54</v>
      </c>
      <c r="E6" s="2014" t="s">
        <v>55</v>
      </c>
      <c r="F6" s="2083" t="s">
        <v>56</v>
      </c>
      <c r="G6" s="2083" t="s">
        <v>57</v>
      </c>
      <c r="H6" s="2014" t="s">
        <v>6</v>
      </c>
      <c r="I6" s="1991" t="s">
        <v>656</v>
      </c>
      <c r="J6" s="1992"/>
      <c r="K6" s="1989" t="s">
        <v>658</v>
      </c>
      <c r="L6" s="1990"/>
      <c r="M6" s="2017" t="s">
        <v>310</v>
      </c>
      <c r="N6" s="2017"/>
      <c r="O6" s="1991" t="s">
        <v>593</v>
      </c>
      <c r="P6" s="1992"/>
      <c r="Q6" s="2017" t="s">
        <v>745</v>
      </c>
      <c r="R6" s="2017"/>
      <c r="S6" s="2049" t="s">
        <v>746</v>
      </c>
      <c r="T6" s="2071" t="s">
        <v>332</v>
      </c>
      <c r="U6" s="2049" t="s">
        <v>844</v>
      </c>
      <c r="V6" s="2049" t="s">
        <v>337</v>
      </c>
      <c r="W6" s="2049" t="s">
        <v>10</v>
      </c>
      <c r="X6" s="2049" t="s">
        <v>578</v>
      </c>
      <c r="Y6" s="2181" t="s">
        <v>503</v>
      </c>
      <c r="Z6" s="2071" t="s">
        <v>316</v>
      </c>
      <c r="AA6" s="2071" t="s">
        <v>369</v>
      </c>
      <c r="AB6" s="2049" t="s">
        <v>766</v>
      </c>
      <c r="AC6" s="2049" t="s">
        <v>845</v>
      </c>
      <c r="AD6" s="2183"/>
      <c r="AE6" s="2069" t="s">
        <v>688</v>
      </c>
      <c r="AF6" s="2041" t="s">
        <v>693</v>
      </c>
      <c r="AG6" s="2041" t="s">
        <v>656</v>
      </c>
      <c r="AH6" s="2041" t="s">
        <v>694</v>
      </c>
      <c r="AI6" s="2041" t="s">
        <v>735</v>
      </c>
      <c r="AJ6" s="2134" t="s">
        <v>724</v>
      </c>
      <c r="AK6" s="2043" t="s">
        <v>182</v>
      </c>
      <c r="AL6" s="2043" t="s">
        <v>846</v>
      </c>
      <c r="AM6" s="2045" t="s">
        <v>715</v>
      </c>
    </row>
    <row r="7" spans="1:39" ht="60" customHeight="1" x14ac:dyDescent="0.25">
      <c r="A7" s="2083"/>
      <c r="B7" s="2015"/>
      <c r="C7" s="2083"/>
      <c r="D7" s="2083"/>
      <c r="E7" s="2015"/>
      <c r="F7" s="2083"/>
      <c r="G7" s="2083"/>
      <c r="H7" s="2015"/>
      <c r="I7" s="150" t="s">
        <v>15</v>
      </c>
      <c r="J7" s="1618" t="s">
        <v>16</v>
      </c>
      <c r="K7" s="150" t="s">
        <v>15</v>
      </c>
      <c r="L7" s="1618" t="s">
        <v>16</v>
      </c>
      <c r="M7" s="51" t="s">
        <v>15</v>
      </c>
      <c r="N7" s="1617" t="s">
        <v>16</v>
      </c>
      <c r="O7" s="150" t="s">
        <v>15</v>
      </c>
      <c r="P7" s="1618" t="s">
        <v>16</v>
      </c>
      <c r="Q7" s="150" t="s">
        <v>15</v>
      </c>
      <c r="R7" s="1618" t="s">
        <v>16</v>
      </c>
      <c r="S7" s="2050"/>
      <c r="T7" s="2071"/>
      <c r="U7" s="2050"/>
      <c r="V7" s="2050"/>
      <c r="W7" s="2068"/>
      <c r="X7" s="2050"/>
      <c r="Y7" s="2181"/>
      <c r="Z7" s="2071"/>
      <c r="AA7" s="2182"/>
      <c r="AB7" s="2050"/>
      <c r="AC7" s="2050"/>
      <c r="AD7" s="2068"/>
      <c r="AE7" s="2070"/>
      <c r="AF7" s="2042"/>
      <c r="AG7" s="2042"/>
      <c r="AH7" s="2042"/>
      <c r="AI7" s="2042"/>
      <c r="AJ7" s="2135"/>
      <c r="AK7" s="2044"/>
      <c r="AL7" s="2044"/>
      <c r="AM7" s="2046"/>
    </row>
    <row r="8" spans="1:39" x14ac:dyDescent="0.25">
      <c r="A8" s="1582">
        <v>1</v>
      </c>
      <c r="B8" s="584">
        <v>42569</v>
      </c>
      <c r="C8" s="52" t="s">
        <v>126</v>
      </c>
      <c r="D8" s="702">
        <v>1965</v>
      </c>
      <c r="E8" s="702">
        <v>2</v>
      </c>
      <c r="F8" s="702">
        <v>16</v>
      </c>
      <c r="G8" s="349">
        <v>35</v>
      </c>
      <c r="H8" s="840">
        <v>653.4</v>
      </c>
      <c r="I8" s="742">
        <v>628.02</v>
      </c>
      <c r="J8" s="742">
        <v>647.62</v>
      </c>
      <c r="K8" s="742">
        <v>6986.94</v>
      </c>
      <c r="L8" s="742">
        <v>6911.17</v>
      </c>
      <c r="M8" s="525">
        <v>81801.48</v>
      </c>
      <c r="N8" s="525">
        <v>64692.82</v>
      </c>
      <c r="O8" s="525">
        <v>1962.19</v>
      </c>
      <c r="P8" s="525">
        <v>1433.46</v>
      </c>
      <c r="Q8" s="525">
        <f>I8+K8+M8+O8</f>
        <v>91378.63</v>
      </c>
      <c r="R8" s="525">
        <f>J8+L8+N8+P8</f>
        <v>73685.070000000007</v>
      </c>
      <c r="S8" s="525">
        <f>AE8+AF8+AG8+AH8</f>
        <v>72766.294219665317</v>
      </c>
      <c r="T8" s="525"/>
      <c r="U8" s="525">
        <f>1900/6252*H8</f>
        <v>198.57005758157388</v>
      </c>
      <c r="V8" s="525">
        <v>1738.38</v>
      </c>
      <c r="W8" s="525"/>
      <c r="X8" s="525">
        <f>3175.98/6252*H8</f>
        <v>331.92343761996159</v>
      </c>
      <c r="Y8" s="525">
        <f>20184.63/6252*H8</f>
        <v>2109.506916506718</v>
      </c>
      <c r="Z8" s="525">
        <f>205651.14/6252*H8</f>
        <v>21492.715111324374</v>
      </c>
      <c r="AA8" s="525">
        <f>105767.67/6252*H8</f>
        <v>11053.838064299425</v>
      </c>
      <c r="AB8" s="525">
        <f>3698.45/6252*H8</f>
        <v>386.52706813819572</v>
      </c>
      <c r="AC8" s="525">
        <f>160989.23/4820.1*H8</f>
        <v>21823.273973983942</v>
      </c>
      <c r="AD8" s="525"/>
      <c r="AE8" s="525">
        <f>AD8+AC8+AB8+AA8+Z8+Y8+X8+W8+V8+U8+T8</f>
        <v>59134.734629454186</v>
      </c>
      <c r="AF8" s="1465"/>
      <c r="AG8" s="1465">
        <f>9976.18/6252*H8</f>
        <v>1042.6161247600767</v>
      </c>
      <c r="AH8" s="1465">
        <f>120456.19/6252*H8</f>
        <v>12588.943465451055</v>
      </c>
      <c r="AI8" s="1465">
        <f>Q8-S8</f>
        <v>18612.335780334688</v>
      </c>
      <c r="AJ8" s="1465">
        <f>R8/Q8*100</f>
        <v>80.637092064085451</v>
      </c>
      <c r="AK8" s="1465">
        <f>S8/H8/12</f>
        <v>9.2804680924988929</v>
      </c>
      <c r="AL8" s="1465">
        <f>Q8-R8</f>
        <v>17693.559999999998</v>
      </c>
      <c r="AM8" s="1465">
        <v>11.89</v>
      </c>
    </row>
    <row r="9" spans="1:39" x14ac:dyDescent="0.25">
      <c r="A9" s="16">
        <v>2</v>
      </c>
      <c r="B9" s="584">
        <v>42569</v>
      </c>
      <c r="C9" s="43" t="s">
        <v>127</v>
      </c>
      <c r="D9" s="737">
        <v>1965</v>
      </c>
      <c r="E9" s="737">
        <v>2</v>
      </c>
      <c r="F9" s="737">
        <v>16</v>
      </c>
      <c r="G9" s="708">
        <v>31</v>
      </c>
      <c r="H9" s="841">
        <v>658.2</v>
      </c>
      <c r="I9" s="913">
        <v>631.79999999999995</v>
      </c>
      <c r="J9" s="913">
        <v>583.67999999999995</v>
      </c>
      <c r="K9" s="913">
        <v>7029.54</v>
      </c>
      <c r="L9" s="913">
        <v>6253.97</v>
      </c>
      <c r="M9" s="525">
        <v>82301.52</v>
      </c>
      <c r="N9" s="525">
        <v>55779.86</v>
      </c>
      <c r="O9" s="525">
        <v>1858.8</v>
      </c>
      <c r="P9" s="525">
        <v>1186.71</v>
      </c>
      <c r="Q9" s="525">
        <f t="shared" ref="Q9:Q26" si="0">I9+K9+M9+O9</f>
        <v>91821.66</v>
      </c>
      <c r="R9" s="525">
        <f t="shared" ref="R9:R26" si="1">J9+L9+N9+P9</f>
        <v>63804.22</v>
      </c>
      <c r="S9" s="525">
        <f t="shared" ref="S9:S26" si="2">AE9+AF9+AG9+AH9</f>
        <v>74281.938713473704</v>
      </c>
      <c r="T9" s="525"/>
      <c r="U9" s="525">
        <f t="shared" ref="U9:U26" si="3">1900/6252*H9</f>
        <v>200.02879078694818</v>
      </c>
      <c r="V9" s="525">
        <v>2732.24</v>
      </c>
      <c r="W9" s="525"/>
      <c r="X9" s="525">
        <f t="shared" ref="X9:X26" si="4">3175.98/6252*H9</f>
        <v>334.36180998080613</v>
      </c>
      <c r="Y9" s="525">
        <f t="shared" ref="Y9:Y26" si="5">20184.63/6252*H9</f>
        <v>2125.0037533589257</v>
      </c>
      <c r="Z9" s="525">
        <f t="shared" ref="Z9:Z26" si="6">205651.14/6252*H9</f>
        <v>21650.6046621881</v>
      </c>
      <c r="AA9" s="525">
        <f t="shared" ref="AA9:AA26" si="7">105767.67/6252*H9</f>
        <v>11135.041649712093</v>
      </c>
      <c r="AB9" s="525">
        <f t="shared" ref="AB9:AB26" si="8">3698.45/6252*H9</f>
        <v>389.36656909788866</v>
      </c>
      <c r="AC9" s="525">
        <f t="shared" ref="AC9:AC15" si="9">160989.23/4820.1*H9</f>
        <v>21983.591872782723</v>
      </c>
      <c r="AD9" s="525"/>
      <c r="AE9" s="525">
        <f t="shared" ref="AE9:AE26" si="10">AD9+AC9+AB9+AA9+Z9+Y9+X9+W9+V9+U9+T9</f>
        <v>60550.239107907488</v>
      </c>
      <c r="AF9" s="1465"/>
      <c r="AG9" s="1465">
        <f t="shared" ref="AG9:AG26" si="11">9976.18/6252*H9</f>
        <v>1050.2753800383878</v>
      </c>
      <c r="AH9" s="1465">
        <f t="shared" ref="AH9:AH26" si="12">120456.19/6252*H9</f>
        <v>12681.424225527833</v>
      </c>
      <c r="AI9" s="1465">
        <f t="shared" ref="AI9:AI26" si="13">Q9-S9</f>
        <v>17539.721286526299</v>
      </c>
      <c r="AJ9" s="1465">
        <f t="shared" ref="AJ9:AJ27" si="14">R9/Q9*100</f>
        <v>69.487112300082572</v>
      </c>
      <c r="AK9" s="1465">
        <f t="shared" ref="AK9:AK26" si="15">S9/H9/12</f>
        <v>9.4046817980190536</v>
      </c>
      <c r="AL9" s="1465">
        <f t="shared" ref="AL9:AL26" si="16">Q9-R9</f>
        <v>28017.440000000002</v>
      </c>
      <c r="AM9" s="1465">
        <v>11.89</v>
      </c>
    </row>
    <row r="10" spans="1:39" x14ac:dyDescent="0.25">
      <c r="A10" s="16">
        <v>3</v>
      </c>
      <c r="B10" s="584">
        <v>42569</v>
      </c>
      <c r="C10" s="43" t="s">
        <v>128</v>
      </c>
      <c r="D10" s="737">
        <v>1965</v>
      </c>
      <c r="E10" s="737">
        <v>2</v>
      </c>
      <c r="F10" s="737">
        <v>16</v>
      </c>
      <c r="G10" s="349">
        <v>36</v>
      </c>
      <c r="H10" s="841">
        <v>663.6</v>
      </c>
      <c r="I10" s="913">
        <v>637.08000000000004</v>
      </c>
      <c r="J10" s="913">
        <v>651.36</v>
      </c>
      <c r="K10" s="913">
        <v>7087.32</v>
      </c>
      <c r="L10" s="913">
        <v>7063.24</v>
      </c>
      <c r="M10" s="525">
        <v>82977.06</v>
      </c>
      <c r="N10" s="525">
        <v>66445.38</v>
      </c>
      <c r="O10" s="525">
        <v>2125.39</v>
      </c>
      <c r="P10" s="525">
        <v>1598.22</v>
      </c>
      <c r="Q10" s="525">
        <f t="shared" si="0"/>
        <v>92826.849999999991</v>
      </c>
      <c r="R10" s="525">
        <f t="shared" si="1"/>
        <v>75758.200000000012</v>
      </c>
      <c r="S10" s="525">
        <f t="shared" si="2"/>
        <v>77844.99626900813</v>
      </c>
      <c r="T10" s="525"/>
      <c r="U10" s="525">
        <f t="shared" si="3"/>
        <v>201.66986564299424</v>
      </c>
      <c r="V10" s="525">
        <v>5708.29</v>
      </c>
      <c r="W10" s="525"/>
      <c r="X10" s="525">
        <f t="shared" si="4"/>
        <v>337.10497888675621</v>
      </c>
      <c r="Y10" s="525">
        <f t="shared" si="5"/>
        <v>2142.4376948176587</v>
      </c>
      <c r="Z10" s="525">
        <f t="shared" si="6"/>
        <v>21828.230406909788</v>
      </c>
      <c r="AA10" s="525">
        <f t="shared" si="7"/>
        <v>11226.395683301345</v>
      </c>
      <c r="AB10" s="525">
        <f t="shared" si="8"/>
        <v>392.56100767754316</v>
      </c>
      <c r="AC10" s="525">
        <f t="shared" si="9"/>
        <v>22163.94950893135</v>
      </c>
      <c r="AD10" s="525"/>
      <c r="AE10" s="525">
        <f t="shared" si="10"/>
        <v>64000.639146167436</v>
      </c>
      <c r="AF10" s="1465"/>
      <c r="AG10" s="1465">
        <f t="shared" si="11"/>
        <v>1058.8920422264875</v>
      </c>
      <c r="AH10" s="1465">
        <f t="shared" si="12"/>
        <v>12785.465080614205</v>
      </c>
      <c r="AI10" s="1465">
        <f t="shared" si="13"/>
        <v>14981.853730991861</v>
      </c>
      <c r="AJ10" s="1465">
        <f t="shared" si="14"/>
        <v>81.612378315110362</v>
      </c>
      <c r="AK10" s="1465">
        <f t="shared" si="15"/>
        <v>9.7755922580128747</v>
      </c>
      <c r="AL10" s="1465">
        <f t="shared" si="16"/>
        <v>17068.64999999998</v>
      </c>
      <c r="AM10" s="1465">
        <v>11.89</v>
      </c>
    </row>
    <row r="11" spans="1:39" x14ac:dyDescent="0.25">
      <c r="A11" s="16">
        <v>4</v>
      </c>
      <c r="B11" s="584">
        <v>42569</v>
      </c>
      <c r="C11" s="43" t="s">
        <v>129</v>
      </c>
      <c r="D11" s="737">
        <v>1965</v>
      </c>
      <c r="E11" s="737">
        <v>2</v>
      </c>
      <c r="F11" s="737">
        <v>16</v>
      </c>
      <c r="G11" s="708">
        <v>39</v>
      </c>
      <c r="H11" s="841">
        <v>654.70000000000005</v>
      </c>
      <c r="I11" s="913">
        <v>628.5</v>
      </c>
      <c r="J11" s="913">
        <v>640.49</v>
      </c>
      <c r="K11" s="913">
        <v>6992.16</v>
      </c>
      <c r="L11" s="913">
        <v>6970.48</v>
      </c>
      <c r="M11" s="525">
        <v>81864.12</v>
      </c>
      <c r="N11" s="525">
        <v>63246.01</v>
      </c>
      <c r="O11" s="525">
        <v>2213.8200000000002</v>
      </c>
      <c r="P11" s="525">
        <v>1635.81</v>
      </c>
      <c r="Q11" s="525">
        <f t="shared" si="0"/>
        <v>91698.6</v>
      </c>
      <c r="R11" s="525">
        <f t="shared" si="1"/>
        <v>72492.789999999994</v>
      </c>
      <c r="S11" s="525">
        <f t="shared" si="2"/>
        <v>76679.350853405092</v>
      </c>
      <c r="T11" s="525"/>
      <c r="U11" s="525">
        <f t="shared" si="3"/>
        <v>198.96513115802944</v>
      </c>
      <c r="V11" s="525">
        <v>5510.12</v>
      </c>
      <c r="W11" s="525"/>
      <c r="X11" s="525">
        <f t="shared" si="4"/>
        <v>332.58383013435702</v>
      </c>
      <c r="Y11" s="525">
        <f t="shared" si="5"/>
        <v>2113.7039764875244</v>
      </c>
      <c r="Z11" s="525">
        <f t="shared" si="6"/>
        <v>21535.476864683304</v>
      </c>
      <c r="AA11" s="525">
        <f t="shared" si="7"/>
        <v>11075.830702015357</v>
      </c>
      <c r="AB11" s="525">
        <f t="shared" si="8"/>
        <v>387.2960996481126</v>
      </c>
      <c r="AC11" s="525">
        <f t="shared" si="9"/>
        <v>21866.693404908612</v>
      </c>
      <c r="AD11" s="525"/>
      <c r="AE11" s="525">
        <f t="shared" si="10"/>
        <v>63020.670009035297</v>
      </c>
      <c r="AF11" s="1465"/>
      <c r="AG11" s="1465">
        <f t="shared" si="11"/>
        <v>1044.6905063979527</v>
      </c>
      <c r="AH11" s="1465">
        <f t="shared" si="12"/>
        <v>12613.990337971851</v>
      </c>
      <c r="AI11" s="1465">
        <f t="shared" si="13"/>
        <v>15019.249146594913</v>
      </c>
      <c r="AJ11" s="1465">
        <f t="shared" si="14"/>
        <v>79.05550357366414</v>
      </c>
      <c r="AK11" s="1465">
        <f t="shared" si="15"/>
        <v>9.7601128829241244</v>
      </c>
      <c r="AL11" s="1465">
        <f t="shared" si="16"/>
        <v>19205.810000000012</v>
      </c>
      <c r="AM11" s="1465">
        <v>11.89</v>
      </c>
    </row>
    <row r="12" spans="1:39" x14ac:dyDescent="0.25">
      <c r="A12" s="16">
        <v>5</v>
      </c>
      <c r="B12" s="584">
        <v>42569</v>
      </c>
      <c r="C12" s="43" t="s">
        <v>130</v>
      </c>
      <c r="D12" s="737">
        <v>1995</v>
      </c>
      <c r="E12" s="737">
        <v>2</v>
      </c>
      <c r="F12" s="737">
        <v>8</v>
      </c>
      <c r="G12" s="349">
        <v>23</v>
      </c>
      <c r="H12" s="841">
        <v>548.70000000000005</v>
      </c>
      <c r="I12" s="913">
        <v>526.74</v>
      </c>
      <c r="J12" s="913">
        <v>619.70000000000005</v>
      </c>
      <c r="K12" s="913">
        <v>5860.2</v>
      </c>
      <c r="L12" s="913">
        <v>6894.24</v>
      </c>
      <c r="M12" s="525">
        <v>75128.100000000006</v>
      </c>
      <c r="N12" s="525">
        <v>71863.8</v>
      </c>
      <c r="O12" s="525">
        <v>2412.3000000000002</v>
      </c>
      <c r="P12" s="525">
        <v>2272.87</v>
      </c>
      <c r="Q12" s="525">
        <f t="shared" si="0"/>
        <v>83927.340000000011</v>
      </c>
      <c r="R12" s="525">
        <f t="shared" si="1"/>
        <v>81650.61</v>
      </c>
      <c r="S12" s="525">
        <f t="shared" si="2"/>
        <v>62042.339948470108</v>
      </c>
      <c r="T12" s="525"/>
      <c r="U12" s="525">
        <f t="shared" si="3"/>
        <v>166.75143953934742</v>
      </c>
      <c r="V12" s="525">
        <v>1515.85</v>
      </c>
      <c r="W12" s="525">
        <v>880</v>
      </c>
      <c r="X12" s="525">
        <f t="shared" si="4"/>
        <v>278.73644049904033</v>
      </c>
      <c r="Y12" s="525">
        <f t="shared" si="5"/>
        <v>1771.4821626679466</v>
      </c>
      <c r="Z12" s="525">
        <f t="shared" si="6"/>
        <v>18048.749283109406</v>
      </c>
      <c r="AA12" s="525">
        <f t="shared" si="7"/>
        <v>9282.5848574856063</v>
      </c>
      <c r="AB12" s="525">
        <f t="shared" si="8"/>
        <v>324.59045345489443</v>
      </c>
      <c r="AC12" s="525">
        <f t="shared" si="9"/>
        <v>18326.339806435553</v>
      </c>
      <c r="AD12" s="525"/>
      <c r="AE12" s="525">
        <f t="shared" si="10"/>
        <v>50595.084443191794</v>
      </c>
      <c r="AF12" s="1465"/>
      <c r="AG12" s="1465">
        <f t="shared" si="11"/>
        <v>875.54861900191941</v>
      </c>
      <c r="AH12" s="1465">
        <f t="shared" si="12"/>
        <v>10571.706886276394</v>
      </c>
      <c r="AI12" s="1465">
        <f t="shared" si="13"/>
        <v>21885.000051529903</v>
      </c>
      <c r="AJ12" s="1465">
        <f t="shared" si="14"/>
        <v>97.287260623296277</v>
      </c>
      <c r="AK12" s="1465">
        <f t="shared" si="15"/>
        <v>9.4226261995732497</v>
      </c>
      <c r="AL12" s="1465">
        <f t="shared" si="16"/>
        <v>2276.7300000000105</v>
      </c>
      <c r="AM12" s="1465">
        <v>12.88</v>
      </c>
    </row>
    <row r="13" spans="1:39" x14ac:dyDescent="0.25">
      <c r="A13" s="16">
        <v>6</v>
      </c>
      <c r="B13" s="584">
        <v>42569</v>
      </c>
      <c r="C13" s="43" t="s">
        <v>131</v>
      </c>
      <c r="D13" s="737">
        <v>1995</v>
      </c>
      <c r="E13" s="737">
        <v>2</v>
      </c>
      <c r="F13" s="737">
        <v>8</v>
      </c>
      <c r="G13" s="708">
        <v>27</v>
      </c>
      <c r="H13" s="841">
        <v>548.6</v>
      </c>
      <c r="I13" s="913">
        <v>526.67999999999995</v>
      </c>
      <c r="J13" s="913">
        <v>559.44399999999996</v>
      </c>
      <c r="K13" s="913">
        <v>5859.12</v>
      </c>
      <c r="L13" s="913">
        <v>6223.46</v>
      </c>
      <c r="M13" s="525">
        <v>75114.36</v>
      </c>
      <c r="N13" s="525">
        <v>64208.31</v>
      </c>
      <c r="O13" s="525">
        <v>2742.85</v>
      </c>
      <c r="P13" s="525">
        <v>2257.0300000000002</v>
      </c>
      <c r="Q13" s="525">
        <f t="shared" si="0"/>
        <v>84243.010000000009</v>
      </c>
      <c r="R13" s="525">
        <f t="shared" si="1"/>
        <v>73248.243999999992</v>
      </c>
      <c r="S13" s="525">
        <f t="shared" si="2"/>
        <v>64390.859438182422</v>
      </c>
      <c r="T13" s="525"/>
      <c r="U13" s="525">
        <f t="shared" si="3"/>
        <v>166.72104926423546</v>
      </c>
      <c r="V13" s="525">
        <v>4755.24</v>
      </c>
      <c r="W13" s="525"/>
      <c r="X13" s="525">
        <f t="shared" si="4"/>
        <v>278.68564107485605</v>
      </c>
      <c r="Y13" s="525">
        <f t="shared" si="5"/>
        <v>1771.1593119001923</v>
      </c>
      <c r="Z13" s="525">
        <f t="shared" si="6"/>
        <v>18045.459917466411</v>
      </c>
      <c r="AA13" s="525">
        <f t="shared" si="7"/>
        <v>9280.8931161228411</v>
      </c>
      <c r="AB13" s="525">
        <f t="shared" si="8"/>
        <v>324.53129718490078</v>
      </c>
      <c r="AC13" s="525">
        <f t="shared" si="9"/>
        <v>18322.999850210577</v>
      </c>
      <c r="AD13" s="525"/>
      <c r="AE13" s="525">
        <f t="shared" si="10"/>
        <v>52945.690183224011</v>
      </c>
      <c r="AF13" s="1465"/>
      <c r="AG13" s="1465">
        <f t="shared" si="11"/>
        <v>875.38905118362129</v>
      </c>
      <c r="AH13" s="1465">
        <f t="shared" si="12"/>
        <v>10569.780203774793</v>
      </c>
      <c r="AI13" s="1465">
        <f t="shared" si="13"/>
        <v>19852.150561817587</v>
      </c>
      <c r="AJ13" s="1465">
        <f t="shared" si="14"/>
        <v>86.948749813189224</v>
      </c>
      <c r="AK13" s="1465">
        <f t="shared" si="15"/>
        <v>9.781088139230528</v>
      </c>
      <c r="AL13" s="1465">
        <f t="shared" si="16"/>
        <v>10994.766000000018</v>
      </c>
      <c r="AM13" s="1465">
        <v>12.88</v>
      </c>
    </row>
    <row r="14" spans="1:39" x14ac:dyDescent="0.25">
      <c r="A14" s="16">
        <v>7</v>
      </c>
      <c r="B14" s="584">
        <v>42569</v>
      </c>
      <c r="C14" s="43" t="s">
        <v>132</v>
      </c>
      <c r="D14" s="737">
        <v>1995</v>
      </c>
      <c r="E14" s="737">
        <v>2</v>
      </c>
      <c r="F14" s="737">
        <v>8</v>
      </c>
      <c r="G14" s="349">
        <v>30</v>
      </c>
      <c r="H14" s="841">
        <v>544.20000000000005</v>
      </c>
      <c r="I14" s="913">
        <v>522.41999999999996</v>
      </c>
      <c r="J14" s="913">
        <v>375.37</v>
      </c>
      <c r="K14" s="913">
        <v>5812.08</v>
      </c>
      <c r="L14" s="913">
        <v>4043.67</v>
      </c>
      <c r="M14" s="525">
        <v>74511.899999999994</v>
      </c>
      <c r="N14" s="525">
        <v>37787.79</v>
      </c>
      <c r="O14" s="525">
        <v>2686.92</v>
      </c>
      <c r="P14" s="525">
        <v>1553.66</v>
      </c>
      <c r="Q14" s="525">
        <f t="shared" si="0"/>
        <v>83533.319999999992</v>
      </c>
      <c r="R14" s="525">
        <f t="shared" si="1"/>
        <v>43760.490000000005</v>
      </c>
      <c r="S14" s="525">
        <f t="shared" si="2"/>
        <v>65177.656985524751</v>
      </c>
      <c r="T14" s="525"/>
      <c r="U14" s="525">
        <f t="shared" si="3"/>
        <v>165.38387715930904</v>
      </c>
      <c r="V14" s="525">
        <v>5184.34</v>
      </c>
      <c r="W14" s="525">
        <v>836</v>
      </c>
      <c r="X14" s="525">
        <f t="shared" si="4"/>
        <v>276.45046641074856</v>
      </c>
      <c r="Y14" s="525">
        <f t="shared" si="5"/>
        <v>1756.9538781190022</v>
      </c>
      <c r="Z14" s="525">
        <f t="shared" si="6"/>
        <v>17900.727829174666</v>
      </c>
      <c r="AA14" s="525">
        <f t="shared" si="7"/>
        <v>9206.4564961612305</v>
      </c>
      <c r="AB14" s="525">
        <f t="shared" si="8"/>
        <v>321.92842130518233</v>
      </c>
      <c r="AC14" s="525">
        <f t="shared" si="9"/>
        <v>18176.041776311697</v>
      </c>
      <c r="AD14" s="525"/>
      <c r="AE14" s="525">
        <f t="shared" si="10"/>
        <v>53824.282744641831</v>
      </c>
      <c r="AF14" s="1465"/>
      <c r="AG14" s="1465">
        <f t="shared" si="11"/>
        <v>868.368067178503</v>
      </c>
      <c r="AH14" s="1465">
        <f t="shared" si="12"/>
        <v>10485.006173704416</v>
      </c>
      <c r="AI14" s="1465">
        <f t="shared" si="13"/>
        <v>18355.663014475242</v>
      </c>
      <c r="AJ14" s="1465">
        <f t="shared" si="14"/>
        <v>52.386867898941411</v>
      </c>
      <c r="AK14" s="1465">
        <f t="shared" si="15"/>
        <v>9.9806530971341338</v>
      </c>
      <c r="AL14" s="1465">
        <f t="shared" si="16"/>
        <v>39772.829999999987</v>
      </c>
      <c r="AM14" s="1465">
        <v>12.88</v>
      </c>
    </row>
    <row r="15" spans="1:39" x14ac:dyDescent="0.25">
      <c r="A15" s="16">
        <v>8</v>
      </c>
      <c r="B15" s="584">
        <v>42569</v>
      </c>
      <c r="C15" s="43" t="s">
        <v>133</v>
      </c>
      <c r="D15" s="737">
        <v>1995</v>
      </c>
      <c r="E15" s="737">
        <v>2</v>
      </c>
      <c r="F15" s="737">
        <v>8</v>
      </c>
      <c r="G15" s="708">
        <v>29</v>
      </c>
      <c r="H15" s="841">
        <v>548.70000000000005</v>
      </c>
      <c r="I15" s="913">
        <v>526.74</v>
      </c>
      <c r="J15" s="913">
        <v>634.22</v>
      </c>
      <c r="K15" s="913">
        <v>5860.2</v>
      </c>
      <c r="L15" s="913">
        <v>7040.13</v>
      </c>
      <c r="M15" s="525">
        <v>75128.100000000006</v>
      </c>
      <c r="N15" s="525">
        <v>69703.02</v>
      </c>
      <c r="O15" s="525">
        <v>2417.92</v>
      </c>
      <c r="P15" s="525">
        <v>2198.4</v>
      </c>
      <c r="Q15" s="525">
        <f t="shared" si="0"/>
        <v>83932.96</v>
      </c>
      <c r="R15" s="525">
        <f t="shared" si="1"/>
        <v>79575.77</v>
      </c>
      <c r="S15" s="525">
        <f t="shared" si="2"/>
        <v>61843.289948470112</v>
      </c>
      <c r="T15" s="525"/>
      <c r="U15" s="525">
        <f t="shared" si="3"/>
        <v>166.75143953934742</v>
      </c>
      <c r="V15" s="525">
        <v>1311.8</v>
      </c>
      <c r="W15" s="525">
        <v>885</v>
      </c>
      <c r="X15" s="525">
        <f t="shared" si="4"/>
        <v>278.73644049904033</v>
      </c>
      <c r="Y15" s="525">
        <f t="shared" si="5"/>
        <v>1771.4821626679466</v>
      </c>
      <c r="Z15" s="525">
        <f t="shared" si="6"/>
        <v>18048.749283109406</v>
      </c>
      <c r="AA15" s="525">
        <f t="shared" si="7"/>
        <v>9282.5848574856063</v>
      </c>
      <c r="AB15" s="525">
        <f t="shared" si="8"/>
        <v>324.59045345489443</v>
      </c>
      <c r="AC15" s="525">
        <f t="shared" si="9"/>
        <v>18326.339806435553</v>
      </c>
      <c r="AD15" s="525"/>
      <c r="AE15" s="525">
        <f t="shared" si="10"/>
        <v>50396.034443191798</v>
      </c>
      <c r="AF15" s="1465"/>
      <c r="AG15" s="1465">
        <f t="shared" si="11"/>
        <v>875.54861900191941</v>
      </c>
      <c r="AH15" s="1465">
        <f t="shared" si="12"/>
        <v>10571.706886276394</v>
      </c>
      <c r="AI15" s="1465">
        <f t="shared" si="13"/>
        <v>22089.670051529894</v>
      </c>
      <c r="AJ15" s="1465">
        <f t="shared" si="14"/>
        <v>94.808725916493358</v>
      </c>
      <c r="AK15" s="1465">
        <f t="shared" si="15"/>
        <v>9.3923956546488832</v>
      </c>
      <c r="AL15" s="1465">
        <f t="shared" si="16"/>
        <v>4357.1900000000023</v>
      </c>
      <c r="AM15" s="1465">
        <v>12.88</v>
      </c>
    </row>
    <row r="16" spans="1:39" x14ac:dyDescent="0.25">
      <c r="A16" s="16">
        <v>9</v>
      </c>
      <c r="B16" s="584">
        <v>42569</v>
      </c>
      <c r="C16" s="43" t="s">
        <v>134</v>
      </c>
      <c r="D16" s="737">
        <v>1958</v>
      </c>
      <c r="E16" s="737">
        <v>1</v>
      </c>
      <c r="F16" s="737">
        <v>3</v>
      </c>
      <c r="G16" s="349">
        <v>7</v>
      </c>
      <c r="H16" s="738">
        <v>111.3</v>
      </c>
      <c r="I16" s="738">
        <v>106.8</v>
      </c>
      <c r="J16" s="738">
        <v>140.41999999999999</v>
      </c>
      <c r="K16" s="738">
        <v>380.64</v>
      </c>
      <c r="L16" s="738">
        <v>488.97</v>
      </c>
      <c r="M16" s="525">
        <v>10477.86</v>
      </c>
      <c r="N16" s="525">
        <v>7437.46</v>
      </c>
      <c r="O16" s="525"/>
      <c r="P16" s="525"/>
      <c r="Q16" s="525">
        <f t="shared" si="0"/>
        <v>10965.300000000001</v>
      </c>
      <c r="R16" s="525">
        <f t="shared" si="1"/>
        <v>8066.85</v>
      </c>
      <c r="S16" s="525">
        <f t="shared" si="2"/>
        <v>8381.5066717850277</v>
      </c>
      <c r="T16" s="525"/>
      <c r="U16" s="525">
        <f t="shared" si="3"/>
        <v>33.824376199616118</v>
      </c>
      <c r="V16" s="525"/>
      <c r="W16" s="525"/>
      <c r="X16" s="525">
        <f t="shared" si="4"/>
        <v>56.539759117082525</v>
      </c>
      <c r="Y16" s="525">
        <f t="shared" si="5"/>
        <v>359.33290451055666</v>
      </c>
      <c r="Z16" s="525">
        <f t="shared" si="6"/>
        <v>3661.063960652591</v>
      </c>
      <c r="AA16" s="525">
        <f t="shared" si="7"/>
        <v>1882.908136756238</v>
      </c>
      <c r="AB16" s="525">
        <f t="shared" si="8"/>
        <v>65.840928502879066</v>
      </c>
      <c r="AC16" s="525"/>
      <c r="AD16" s="525"/>
      <c r="AE16" s="525">
        <f t="shared" si="10"/>
        <v>6059.510065738963</v>
      </c>
      <c r="AF16" s="1465"/>
      <c r="AG16" s="1465">
        <f t="shared" si="11"/>
        <v>177.59898176583494</v>
      </c>
      <c r="AH16" s="1465">
        <f t="shared" si="12"/>
        <v>2144.3976242802305</v>
      </c>
      <c r="AI16" s="1465">
        <f t="shared" si="13"/>
        <v>2583.7933282149734</v>
      </c>
      <c r="AJ16" s="1465">
        <f t="shared" si="14"/>
        <v>73.567070668381163</v>
      </c>
      <c r="AK16" s="1465">
        <f t="shared" si="15"/>
        <v>6.2754617189166124</v>
      </c>
      <c r="AL16" s="1465">
        <f t="shared" si="16"/>
        <v>2898.4500000000007</v>
      </c>
      <c r="AM16" s="1465">
        <v>8.7100000000000009</v>
      </c>
    </row>
    <row r="17" spans="1:39" x14ac:dyDescent="0.25">
      <c r="A17" s="16">
        <v>10</v>
      </c>
      <c r="B17" s="585">
        <v>42401</v>
      </c>
      <c r="C17" s="43" t="s">
        <v>135</v>
      </c>
      <c r="D17" s="737">
        <v>1958</v>
      </c>
      <c r="E17" s="737">
        <v>1</v>
      </c>
      <c r="F17" s="737">
        <v>3</v>
      </c>
      <c r="G17" s="708">
        <v>10</v>
      </c>
      <c r="H17" s="738">
        <v>118</v>
      </c>
      <c r="I17" s="738">
        <v>113.28</v>
      </c>
      <c r="J17" s="738">
        <v>130.24</v>
      </c>
      <c r="K17" s="738">
        <v>403.62</v>
      </c>
      <c r="L17" s="738">
        <v>464.05</v>
      </c>
      <c r="M17" s="525">
        <v>7469.4</v>
      </c>
      <c r="N17" s="525">
        <v>7290.73</v>
      </c>
      <c r="O17" s="525"/>
      <c r="P17" s="525"/>
      <c r="Q17" s="525">
        <f t="shared" si="0"/>
        <v>7986.2999999999993</v>
      </c>
      <c r="R17" s="525">
        <f t="shared" si="1"/>
        <v>7885.0199999999995</v>
      </c>
      <c r="S17" s="525">
        <f t="shared" si="2"/>
        <v>8886.0537939859241</v>
      </c>
      <c r="T17" s="525"/>
      <c r="U17" s="525">
        <f t="shared" si="3"/>
        <v>35.860524632117723</v>
      </c>
      <c r="V17" s="525"/>
      <c r="W17" s="525"/>
      <c r="X17" s="525">
        <f t="shared" si="4"/>
        <v>59.943320537428022</v>
      </c>
      <c r="Y17" s="525">
        <f t="shared" si="5"/>
        <v>380.96390595009598</v>
      </c>
      <c r="Z17" s="525">
        <f t="shared" si="6"/>
        <v>3881.4514587332051</v>
      </c>
      <c r="AA17" s="525">
        <f t="shared" si="7"/>
        <v>1996.2548080614204</v>
      </c>
      <c r="AB17" s="525">
        <f t="shared" si="8"/>
        <v>69.804398592450411</v>
      </c>
      <c r="AC17" s="525"/>
      <c r="AD17" s="525"/>
      <c r="AE17" s="525">
        <f t="shared" si="10"/>
        <v>6424.2784165067169</v>
      </c>
      <c r="AF17" s="1465"/>
      <c r="AG17" s="1465">
        <f t="shared" si="11"/>
        <v>188.29002559181063</v>
      </c>
      <c r="AH17" s="1465">
        <f t="shared" si="12"/>
        <v>2273.4853518873961</v>
      </c>
      <c r="AI17" s="1465">
        <f t="shared" si="13"/>
        <v>-899.75379398592486</v>
      </c>
      <c r="AJ17" s="1465">
        <f t="shared" si="14"/>
        <v>98.731828255888203</v>
      </c>
      <c r="AK17" s="1465">
        <f t="shared" si="15"/>
        <v>6.2754617189166133</v>
      </c>
      <c r="AL17" s="1465">
        <f t="shared" si="16"/>
        <v>101.27999999999975</v>
      </c>
      <c r="AM17" s="1465">
        <v>5.79</v>
      </c>
    </row>
    <row r="18" spans="1:39" x14ac:dyDescent="0.25">
      <c r="A18" s="16">
        <v>11</v>
      </c>
      <c r="B18" s="584">
        <v>42569</v>
      </c>
      <c r="C18" s="43" t="s">
        <v>136</v>
      </c>
      <c r="D18" s="737">
        <v>1958</v>
      </c>
      <c r="E18" s="737">
        <v>1</v>
      </c>
      <c r="F18" s="737">
        <v>4</v>
      </c>
      <c r="G18" s="349">
        <v>4</v>
      </c>
      <c r="H18" s="738">
        <v>115.8</v>
      </c>
      <c r="I18" s="738">
        <v>111.12</v>
      </c>
      <c r="J18" s="738">
        <v>66.27</v>
      </c>
      <c r="K18" s="738">
        <v>792.12</v>
      </c>
      <c r="L18" s="738">
        <v>472.73</v>
      </c>
      <c r="M18" s="525">
        <v>10915.32</v>
      </c>
      <c r="N18" s="525">
        <v>4466.6099999999997</v>
      </c>
      <c r="O18" s="525"/>
      <c r="P18" s="525"/>
      <c r="Q18" s="525">
        <f t="shared" si="0"/>
        <v>11818.56</v>
      </c>
      <c r="R18" s="525">
        <f t="shared" si="1"/>
        <v>5005.6099999999997</v>
      </c>
      <c r="S18" s="525">
        <f t="shared" si="2"/>
        <v>8720.3816046065258</v>
      </c>
      <c r="T18" s="525"/>
      <c r="U18" s="525">
        <f t="shared" si="3"/>
        <v>35.191938579654511</v>
      </c>
      <c r="V18" s="525"/>
      <c r="W18" s="525"/>
      <c r="X18" s="525">
        <f t="shared" si="4"/>
        <v>58.825733205374277</v>
      </c>
      <c r="Y18" s="525">
        <f t="shared" si="5"/>
        <v>373.86118905950099</v>
      </c>
      <c r="Z18" s="525">
        <f t="shared" si="6"/>
        <v>3809.0854145873318</v>
      </c>
      <c r="AA18" s="525">
        <f t="shared" si="7"/>
        <v>1959.0364980806144</v>
      </c>
      <c r="AB18" s="525">
        <f t="shared" si="8"/>
        <v>68.502960652591156</v>
      </c>
      <c r="AC18" s="525"/>
      <c r="AD18" s="525"/>
      <c r="AE18" s="525">
        <f t="shared" si="10"/>
        <v>6304.5037341650677</v>
      </c>
      <c r="AF18" s="1465"/>
      <c r="AG18" s="1465">
        <f t="shared" si="11"/>
        <v>184.77953358925143</v>
      </c>
      <c r="AH18" s="1465">
        <f t="shared" si="12"/>
        <v>2231.0983368522075</v>
      </c>
      <c r="AI18" s="1465">
        <f t="shared" si="13"/>
        <v>3098.1783953934737</v>
      </c>
      <c r="AJ18" s="1465">
        <f t="shared" si="14"/>
        <v>42.353806216662605</v>
      </c>
      <c r="AK18" s="1465">
        <f t="shared" si="15"/>
        <v>6.2754617189166133</v>
      </c>
      <c r="AL18" s="1465">
        <f t="shared" si="16"/>
        <v>6812.95</v>
      </c>
      <c r="AM18" s="1465">
        <v>8.73</v>
      </c>
    </row>
    <row r="19" spans="1:39" x14ac:dyDescent="0.25">
      <c r="A19" s="16">
        <v>12</v>
      </c>
      <c r="B19" s="585">
        <v>42401</v>
      </c>
      <c r="C19" s="43" t="s">
        <v>137</v>
      </c>
      <c r="D19" s="737">
        <v>1958</v>
      </c>
      <c r="E19" s="737">
        <v>1</v>
      </c>
      <c r="F19" s="737">
        <v>4</v>
      </c>
      <c r="G19" s="708">
        <v>9</v>
      </c>
      <c r="H19" s="738">
        <v>162.1</v>
      </c>
      <c r="I19" s="738">
        <v>155.63999999999999</v>
      </c>
      <c r="J19" s="738">
        <v>150.08000000000001</v>
      </c>
      <c r="K19" s="738">
        <v>1108.74</v>
      </c>
      <c r="L19" s="738">
        <v>1069.0999999999999</v>
      </c>
      <c r="M19" s="525">
        <v>10844.52</v>
      </c>
      <c r="N19" s="525">
        <v>8001.91</v>
      </c>
      <c r="O19" s="525"/>
      <c r="P19" s="525"/>
      <c r="Q19" s="525">
        <f t="shared" si="0"/>
        <v>12108.900000000001</v>
      </c>
      <c r="R19" s="525">
        <f t="shared" si="1"/>
        <v>9221.09</v>
      </c>
      <c r="S19" s="525">
        <f t="shared" si="2"/>
        <v>12207.028135636598</v>
      </c>
      <c r="T19" s="525"/>
      <c r="U19" s="525">
        <f t="shared" si="3"/>
        <v>49.262635956493916</v>
      </c>
      <c r="V19" s="525"/>
      <c r="W19" s="525"/>
      <c r="X19" s="525">
        <f t="shared" si="4"/>
        <v>82.345866602687124</v>
      </c>
      <c r="Y19" s="525">
        <f t="shared" si="5"/>
        <v>523.34109452975054</v>
      </c>
      <c r="Z19" s="525">
        <f t="shared" si="6"/>
        <v>5332.0617072936657</v>
      </c>
      <c r="AA19" s="525">
        <f t="shared" si="7"/>
        <v>2742.3127490403072</v>
      </c>
      <c r="AB19" s="525">
        <f t="shared" si="8"/>
        <v>95.892313659628897</v>
      </c>
      <c r="AC19" s="525"/>
      <c r="AD19" s="525"/>
      <c r="AE19" s="525">
        <f t="shared" si="10"/>
        <v>8825.2163670825339</v>
      </c>
      <c r="AF19" s="1465"/>
      <c r="AG19" s="1465">
        <f t="shared" si="11"/>
        <v>258.65943346129239</v>
      </c>
      <c r="AH19" s="1465">
        <f t="shared" si="12"/>
        <v>3123.1523350927705</v>
      </c>
      <c r="AI19" s="1465">
        <f t="shared" si="13"/>
        <v>-98.128135636596198</v>
      </c>
      <c r="AJ19" s="1465">
        <f t="shared" si="14"/>
        <v>76.151343226882702</v>
      </c>
      <c r="AK19" s="1465">
        <f t="shared" si="15"/>
        <v>6.2754617189166142</v>
      </c>
      <c r="AL19" s="1465">
        <f t="shared" si="16"/>
        <v>2887.8100000000013</v>
      </c>
      <c r="AM19" s="1465">
        <v>6.39</v>
      </c>
    </row>
    <row r="20" spans="1:39" x14ac:dyDescent="0.25">
      <c r="A20" s="16">
        <v>13</v>
      </c>
      <c r="B20" s="585">
        <v>42461</v>
      </c>
      <c r="C20" s="43" t="s">
        <v>138</v>
      </c>
      <c r="D20" s="737">
        <v>1959</v>
      </c>
      <c r="E20" s="737">
        <v>1</v>
      </c>
      <c r="F20" s="737">
        <v>4</v>
      </c>
      <c r="G20" s="349">
        <v>8</v>
      </c>
      <c r="H20" s="738">
        <v>135.6</v>
      </c>
      <c r="I20" s="738">
        <v>130.13999999999999</v>
      </c>
      <c r="J20" s="738">
        <v>151.61000000000001</v>
      </c>
      <c r="K20" s="738">
        <v>927.54</v>
      </c>
      <c r="L20" s="738">
        <v>1080.51</v>
      </c>
      <c r="M20" s="525">
        <v>9071.64</v>
      </c>
      <c r="N20" s="525">
        <v>8843.8700000000008</v>
      </c>
      <c r="O20" s="525"/>
      <c r="P20" s="525"/>
      <c r="Q20" s="525">
        <f t="shared" si="0"/>
        <v>10129.32</v>
      </c>
      <c r="R20" s="525">
        <f t="shared" si="1"/>
        <v>10075.990000000002</v>
      </c>
      <c r="S20" s="525">
        <f t="shared" si="2"/>
        <v>10211.431309021111</v>
      </c>
      <c r="T20" s="525"/>
      <c r="U20" s="525">
        <f t="shared" si="3"/>
        <v>41.209213051823411</v>
      </c>
      <c r="V20" s="525"/>
      <c r="W20" s="525"/>
      <c r="X20" s="525">
        <f t="shared" si="4"/>
        <v>68.884019193857952</v>
      </c>
      <c r="Y20" s="525">
        <f t="shared" si="5"/>
        <v>437.78564107485607</v>
      </c>
      <c r="Z20" s="525">
        <f t="shared" si="6"/>
        <v>4460.3798119001913</v>
      </c>
      <c r="AA20" s="525">
        <f t="shared" si="7"/>
        <v>2294.0012879078695</v>
      </c>
      <c r="AB20" s="525">
        <f t="shared" si="8"/>
        <v>80.215902111324368</v>
      </c>
      <c r="AC20" s="525"/>
      <c r="AD20" s="525"/>
      <c r="AE20" s="525">
        <f t="shared" si="10"/>
        <v>7382.4758752399221</v>
      </c>
      <c r="AF20" s="1465"/>
      <c r="AG20" s="1465">
        <f t="shared" si="11"/>
        <v>216.37396161228406</v>
      </c>
      <c r="AH20" s="1465">
        <f t="shared" si="12"/>
        <v>2612.5814721689057</v>
      </c>
      <c r="AI20" s="1465">
        <f t="shared" si="13"/>
        <v>-82.111309021111083</v>
      </c>
      <c r="AJ20" s="1465">
        <f t="shared" si="14"/>
        <v>99.473508586953542</v>
      </c>
      <c r="AK20" s="1465">
        <f t="shared" si="15"/>
        <v>6.2754617189166124</v>
      </c>
      <c r="AL20" s="1465">
        <f t="shared" si="16"/>
        <v>53.329999999998108</v>
      </c>
      <c r="AM20" s="1465">
        <v>6.39</v>
      </c>
    </row>
    <row r="21" spans="1:39" x14ac:dyDescent="0.25">
      <c r="A21" s="16">
        <v>14</v>
      </c>
      <c r="B21" s="584">
        <v>42569</v>
      </c>
      <c r="C21" s="43" t="s">
        <v>139</v>
      </c>
      <c r="D21" s="737">
        <v>1958</v>
      </c>
      <c r="E21" s="737">
        <v>1</v>
      </c>
      <c r="F21" s="737">
        <v>4</v>
      </c>
      <c r="G21" s="708">
        <v>12</v>
      </c>
      <c r="H21" s="738">
        <v>115.2</v>
      </c>
      <c r="I21" s="738">
        <v>208.35</v>
      </c>
      <c r="J21" s="738">
        <v>110.91</v>
      </c>
      <c r="K21" s="738">
        <v>787.98</v>
      </c>
      <c r="L21" s="738">
        <v>586.09</v>
      </c>
      <c r="M21" s="525">
        <v>10495.62</v>
      </c>
      <c r="N21" s="525">
        <v>5251.41</v>
      </c>
      <c r="O21" s="525"/>
      <c r="P21" s="525"/>
      <c r="Q21" s="525">
        <f t="shared" si="0"/>
        <v>11491.95</v>
      </c>
      <c r="R21" s="525">
        <f t="shared" si="1"/>
        <v>5948.41</v>
      </c>
      <c r="S21" s="525">
        <f t="shared" si="2"/>
        <v>8675.1982802303264</v>
      </c>
      <c r="T21" s="525"/>
      <c r="U21" s="525">
        <f t="shared" si="3"/>
        <v>35.009596928982724</v>
      </c>
      <c r="V21" s="525"/>
      <c r="W21" s="525"/>
      <c r="X21" s="525">
        <f t="shared" si="4"/>
        <v>58.52093666026871</v>
      </c>
      <c r="Y21" s="525">
        <f t="shared" si="5"/>
        <v>371.92408445297508</v>
      </c>
      <c r="Z21" s="525">
        <f t="shared" si="6"/>
        <v>3789.3492207293666</v>
      </c>
      <c r="AA21" s="525">
        <f t="shared" si="7"/>
        <v>1948.8860499040309</v>
      </c>
      <c r="AB21" s="525">
        <f t="shared" si="8"/>
        <v>68.148023032629553</v>
      </c>
      <c r="AC21" s="525"/>
      <c r="AD21" s="525"/>
      <c r="AE21" s="525">
        <f t="shared" si="10"/>
        <v>6271.8379117082532</v>
      </c>
      <c r="AF21" s="1465"/>
      <c r="AG21" s="1465">
        <f t="shared" si="11"/>
        <v>183.82212667946257</v>
      </c>
      <c r="AH21" s="1465">
        <f t="shared" si="12"/>
        <v>2219.5382418426107</v>
      </c>
      <c r="AI21" s="1465">
        <f t="shared" si="13"/>
        <v>2816.7517197696743</v>
      </c>
      <c r="AJ21" s="1465">
        <f t="shared" si="14"/>
        <v>51.761537424022897</v>
      </c>
      <c r="AK21" s="1465">
        <f t="shared" si="15"/>
        <v>6.2754617189166133</v>
      </c>
      <c r="AL21" s="1465">
        <f t="shared" si="16"/>
        <v>5543.5400000000009</v>
      </c>
      <c r="AM21" s="1465">
        <v>9.2799999999999994</v>
      </c>
    </row>
    <row r="22" spans="1:39" x14ac:dyDescent="0.25">
      <c r="A22" s="16">
        <v>15</v>
      </c>
      <c r="B22" s="585">
        <v>42401</v>
      </c>
      <c r="C22" s="43" t="s">
        <v>140</v>
      </c>
      <c r="D22" s="737">
        <v>1958</v>
      </c>
      <c r="E22" s="737">
        <v>1</v>
      </c>
      <c r="F22" s="737">
        <v>3</v>
      </c>
      <c r="G22" s="349">
        <v>7</v>
      </c>
      <c r="H22" s="738">
        <v>122.3</v>
      </c>
      <c r="I22" s="738">
        <v>117.36</v>
      </c>
      <c r="J22" s="738">
        <v>185.43</v>
      </c>
      <c r="K22" s="738">
        <v>836.58</v>
      </c>
      <c r="L22" s="738">
        <v>1281.3399999999999</v>
      </c>
      <c r="M22" s="525">
        <v>8181.84</v>
      </c>
      <c r="N22" s="525">
        <v>8349.4699999999993</v>
      </c>
      <c r="O22" s="525"/>
      <c r="P22" s="525"/>
      <c r="Q22" s="525">
        <f t="shared" si="0"/>
        <v>9135.7800000000007</v>
      </c>
      <c r="R22" s="525">
        <f t="shared" si="1"/>
        <v>9816.24</v>
      </c>
      <c r="S22" s="525">
        <f t="shared" si="2"/>
        <v>9209.8676186820212</v>
      </c>
      <c r="T22" s="525"/>
      <c r="U22" s="525">
        <f t="shared" si="3"/>
        <v>37.167306461932178</v>
      </c>
      <c r="V22" s="525"/>
      <c r="W22" s="525"/>
      <c r="X22" s="525">
        <f t="shared" si="4"/>
        <v>62.127695777351242</v>
      </c>
      <c r="Y22" s="525">
        <f t="shared" si="5"/>
        <v>394.84648896353167</v>
      </c>
      <c r="Z22" s="525">
        <f t="shared" si="6"/>
        <v>4022.8941813819574</v>
      </c>
      <c r="AA22" s="525">
        <f t="shared" si="7"/>
        <v>2068.9996866602687</v>
      </c>
      <c r="AB22" s="525">
        <f t="shared" si="8"/>
        <v>72.3481182021753</v>
      </c>
      <c r="AC22" s="525"/>
      <c r="AD22" s="525"/>
      <c r="AE22" s="525">
        <f t="shared" si="10"/>
        <v>6658.3834774472161</v>
      </c>
      <c r="AF22" s="1465"/>
      <c r="AG22" s="1465">
        <f t="shared" si="11"/>
        <v>195.15144177863084</v>
      </c>
      <c r="AH22" s="1465">
        <f t="shared" si="12"/>
        <v>2356.3326994561739</v>
      </c>
      <c r="AI22" s="1465">
        <f t="shared" si="13"/>
        <v>-74.087618682020548</v>
      </c>
      <c r="AJ22" s="1465">
        <f t="shared" si="14"/>
        <v>107.44829669716214</v>
      </c>
      <c r="AK22" s="1465">
        <f t="shared" si="15"/>
        <v>6.2754617189166133</v>
      </c>
      <c r="AL22" s="1465">
        <f t="shared" si="16"/>
        <v>-680.45999999999913</v>
      </c>
      <c r="AM22" s="1465">
        <v>6.39</v>
      </c>
    </row>
    <row r="23" spans="1:39" x14ac:dyDescent="0.25">
      <c r="A23" s="16">
        <v>16</v>
      </c>
      <c r="B23" s="585">
        <v>42401</v>
      </c>
      <c r="C23" s="43" t="s">
        <v>141</v>
      </c>
      <c r="D23" s="737">
        <v>1958</v>
      </c>
      <c r="E23" s="737">
        <v>1</v>
      </c>
      <c r="F23" s="737">
        <v>4</v>
      </c>
      <c r="G23" s="661">
        <v>7</v>
      </c>
      <c r="H23" s="738">
        <v>154.6</v>
      </c>
      <c r="I23" s="738">
        <v>148.38</v>
      </c>
      <c r="J23" s="738">
        <v>116.9</v>
      </c>
      <c r="K23" s="738">
        <v>1057.5</v>
      </c>
      <c r="L23" s="738">
        <v>833.14</v>
      </c>
      <c r="M23" s="525">
        <v>10342.74</v>
      </c>
      <c r="N23" s="525">
        <v>6814.18</v>
      </c>
      <c r="O23" s="525"/>
      <c r="P23" s="525"/>
      <c r="Q23" s="525">
        <f t="shared" si="0"/>
        <v>11548.619999999999</v>
      </c>
      <c r="R23" s="525">
        <f t="shared" si="1"/>
        <v>7764.22</v>
      </c>
      <c r="S23" s="525">
        <f t="shared" si="2"/>
        <v>11642.236580934099</v>
      </c>
      <c r="T23" s="525"/>
      <c r="U23" s="525">
        <f t="shared" si="3"/>
        <v>46.983365323096606</v>
      </c>
      <c r="V23" s="525"/>
      <c r="W23" s="525"/>
      <c r="X23" s="525">
        <f t="shared" si="4"/>
        <v>78.535909788867556</v>
      </c>
      <c r="Y23" s="525">
        <f t="shared" si="5"/>
        <v>499.12728694817662</v>
      </c>
      <c r="Z23" s="525">
        <f t="shared" si="6"/>
        <v>5085.3592840690972</v>
      </c>
      <c r="AA23" s="525">
        <f t="shared" si="7"/>
        <v>2615.4321468330136</v>
      </c>
      <c r="AB23" s="525">
        <f t="shared" si="8"/>
        <v>91.455593410108747</v>
      </c>
      <c r="AC23" s="525"/>
      <c r="AD23" s="525"/>
      <c r="AE23" s="525">
        <f t="shared" si="10"/>
        <v>8416.8935863723582</v>
      </c>
      <c r="AF23" s="1465"/>
      <c r="AG23" s="1465">
        <f t="shared" si="11"/>
        <v>246.69184708893152</v>
      </c>
      <c r="AH23" s="1465">
        <f t="shared" si="12"/>
        <v>2978.6511474728086</v>
      </c>
      <c r="AI23" s="1465">
        <f t="shared" si="13"/>
        <v>-93.616580934100057</v>
      </c>
      <c r="AJ23" s="1465">
        <f t="shared" si="14"/>
        <v>67.230716743645573</v>
      </c>
      <c r="AK23" s="1465">
        <f t="shared" si="15"/>
        <v>6.2754617189166124</v>
      </c>
      <c r="AL23" s="1465">
        <f t="shared" si="16"/>
        <v>3784.3999999999987</v>
      </c>
      <c r="AM23" s="1465">
        <v>6.39</v>
      </c>
    </row>
    <row r="24" spans="1:39" x14ac:dyDescent="0.25">
      <c r="A24" s="16">
        <v>17</v>
      </c>
      <c r="B24" s="585">
        <v>42461</v>
      </c>
      <c r="C24" s="43" t="s">
        <v>142</v>
      </c>
      <c r="D24" s="737">
        <v>1958</v>
      </c>
      <c r="E24" s="737">
        <v>1</v>
      </c>
      <c r="F24" s="737">
        <v>3</v>
      </c>
      <c r="G24" s="661">
        <v>10</v>
      </c>
      <c r="H24" s="738">
        <v>141.19999999999999</v>
      </c>
      <c r="I24" s="738">
        <v>135.6</v>
      </c>
      <c r="J24" s="738">
        <v>155.94</v>
      </c>
      <c r="K24" s="738">
        <v>965.76</v>
      </c>
      <c r="L24" s="738">
        <v>1111.18</v>
      </c>
      <c r="M24" s="525">
        <v>9446.34</v>
      </c>
      <c r="N24" s="525">
        <v>8694.0499999999993</v>
      </c>
      <c r="O24" s="525"/>
      <c r="P24" s="525"/>
      <c r="Q24" s="525">
        <f t="shared" si="0"/>
        <v>10547.7</v>
      </c>
      <c r="R24" s="525">
        <f t="shared" si="1"/>
        <v>9961.17</v>
      </c>
      <c r="S24" s="525">
        <f t="shared" si="2"/>
        <v>10633.14233653231</v>
      </c>
      <c r="T24" s="525"/>
      <c r="U24" s="525">
        <f t="shared" si="3"/>
        <v>42.911068458093403</v>
      </c>
      <c r="V24" s="525"/>
      <c r="W24" s="525"/>
      <c r="X24" s="525">
        <f t="shared" si="4"/>
        <v>71.728786948176577</v>
      </c>
      <c r="Y24" s="525">
        <f t="shared" si="5"/>
        <v>455.86528406909787</v>
      </c>
      <c r="Z24" s="525">
        <f t="shared" si="6"/>
        <v>4644.5842879078691</v>
      </c>
      <c r="AA24" s="525">
        <f t="shared" si="7"/>
        <v>2388.7388042226489</v>
      </c>
      <c r="AB24" s="525">
        <f t="shared" si="8"/>
        <v>83.528653230966071</v>
      </c>
      <c r="AC24" s="525"/>
      <c r="AD24" s="525"/>
      <c r="AE24" s="525">
        <f t="shared" si="10"/>
        <v>7687.3568848368523</v>
      </c>
      <c r="AF24" s="1465"/>
      <c r="AG24" s="1465">
        <f t="shared" si="11"/>
        <v>225.30975943698016</v>
      </c>
      <c r="AH24" s="1465">
        <f t="shared" si="12"/>
        <v>2720.475692258477</v>
      </c>
      <c r="AI24" s="1465">
        <f t="shared" si="13"/>
        <v>-85.442336532309128</v>
      </c>
      <c r="AJ24" s="1465">
        <f t="shared" si="14"/>
        <v>94.439261639978383</v>
      </c>
      <c r="AK24" s="1465">
        <f t="shared" si="15"/>
        <v>6.2754617189166142</v>
      </c>
      <c r="AL24" s="1465">
        <f t="shared" si="16"/>
        <v>586.53000000000065</v>
      </c>
      <c r="AM24" s="1465">
        <v>6.39</v>
      </c>
    </row>
    <row r="25" spans="1:39" x14ac:dyDescent="0.25">
      <c r="A25" s="16">
        <v>19</v>
      </c>
      <c r="B25" s="585">
        <v>42401</v>
      </c>
      <c r="C25" s="43" t="s">
        <v>143</v>
      </c>
      <c r="D25" s="737">
        <v>1959</v>
      </c>
      <c r="E25" s="737">
        <v>1</v>
      </c>
      <c r="F25" s="737">
        <v>3</v>
      </c>
      <c r="G25" s="661">
        <v>7</v>
      </c>
      <c r="H25" s="738">
        <v>136.30000000000001</v>
      </c>
      <c r="I25" s="738">
        <v>130.80000000000001</v>
      </c>
      <c r="J25" s="738">
        <v>113.54</v>
      </c>
      <c r="K25" s="738">
        <v>466.14</v>
      </c>
      <c r="L25" s="738">
        <v>404.6</v>
      </c>
      <c r="M25" s="525">
        <v>8627.76</v>
      </c>
      <c r="N25" s="525">
        <v>6314.17</v>
      </c>
      <c r="O25" s="525"/>
      <c r="P25" s="525"/>
      <c r="Q25" s="525">
        <f t="shared" si="0"/>
        <v>9224.7000000000007</v>
      </c>
      <c r="R25" s="525">
        <f t="shared" si="1"/>
        <v>6832.31</v>
      </c>
      <c r="S25" s="525">
        <f t="shared" si="2"/>
        <v>10264.145187460013</v>
      </c>
      <c r="T25" s="525"/>
      <c r="U25" s="525">
        <f t="shared" si="3"/>
        <v>41.421944977607168</v>
      </c>
      <c r="V25" s="525"/>
      <c r="W25" s="525"/>
      <c r="X25" s="525">
        <f t="shared" si="4"/>
        <v>69.239615163147789</v>
      </c>
      <c r="Y25" s="525">
        <f t="shared" si="5"/>
        <v>440.04559644913633</v>
      </c>
      <c r="Z25" s="525">
        <f t="shared" si="6"/>
        <v>4483.4053714011516</v>
      </c>
      <c r="AA25" s="525">
        <f t="shared" si="7"/>
        <v>2305.8434774472171</v>
      </c>
      <c r="AB25" s="525">
        <f t="shared" si="8"/>
        <v>80.629996001279594</v>
      </c>
      <c r="AC25" s="525"/>
      <c r="AD25" s="525"/>
      <c r="AE25" s="525">
        <f t="shared" si="10"/>
        <v>7420.5860014395403</v>
      </c>
      <c r="AF25" s="1465"/>
      <c r="AG25" s="1465">
        <f t="shared" si="11"/>
        <v>217.49093634037109</v>
      </c>
      <c r="AH25" s="1465">
        <f t="shared" si="12"/>
        <v>2626.0682496801028</v>
      </c>
      <c r="AI25" s="1465">
        <f t="shared" si="13"/>
        <v>-1039.4451874600127</v>
      </c>
      <c r="AJ25" s="1465">
        <f t="shared" si="14"/>
        <v>74.065389660368353</v>
      </c>
      <c r="AK25" s="1465">
        <f t="shared" si="15"/>
        <v>6.2754617189166133</v>
      </c>
      <c r="AL25" s="1465">
        <f t="shared" si="16"/>
        <v>2392.3900000000003</v>
      </c>
      <c r="AM25" s="1465">
        <v>5.79</v>
      </c>
    </row>
    <row r="26" spans="1:39" x14ac:dyDescent="0.25">
      <c r="A26" s="16">
        <v>18</v>
      </c>
      <c r="B26" s="584">
        <v>42569</v>
      </c>
      <c r="C26" s="256" t="s">
        <v>144</v>
      </c>
      <c r="D26" s="842">
        <v>1958</v>
      </c>
      <c r="E26" s="842">
        <v>1</v>
      </c>
      <c r="F26" s="842">
        <v>3</v>
      </c>
      <c r="G26" s="749">
        <v>9</v>
      </c>
      <c r="H26" s="843">
        <v>119.5</v>
      </c>
      <c r="I26" s="843">
        <v>146.58000000000001</v>
      </c>
      <c r="J26" s="843">
        <v>196.12</v>
      </c>
      <c r="K26" s="843">
        <v>1044.48</v>
      </c>
      <c r="L26" s="843">
        <v>1397.5</v>
      </c>
      <c r="M26" s="636">
        <v>14897.46</v>
      </c>
      <c r="N26" s="636">
        <v>14528.28</v>
      </c>
      <c r="O26" s="636"/>
      <c r="P26" s="636"/>
      <c r="Q26" s="525">
        <f t="shared" si="0"/>
        <v>16088.519999999999</v>
      </c>
      <c r="R26" s="525">
        <f t="shared" si="1"/>
        <v>16121.900000000001</v>
      </c>
      <c r="S26" s="525">
        <f t="shared" si="2"/>
        <v>8999.0121049264235</v>
      </c>
      <c r="T26" s="525"/>
      <c r="U26" s="525">
        <f t="shared" si="3"/>
        <v>36.316378758797185</v>
      </c>
      <c r="V26" s="525"/>
      <c r="W26" s="525"/>
      <c r="X26" s="525">
        <f t="shared" si="4"/>
        <v>60.705311900191937</v>
      </c>
      <c r="Y26" s="525">
        <f t="shared" si="5"/>
        <v>385.80666746641077</v>
      </c>
      <c r="Z26" s="525">
        <f t="shared" si="6"/>
        <v>3930.791943378119</v>
      </c>
      <c r="AA26" s="525">
        <f t="shared" si="7"/>
        <v>2021.6309285028792</v>
      </c>
      <c r="AB26" s="525">
        <f t="shared" si="8"/>
        <v>70.691742642354441</v>
      </c>
      <c r="AC26" s="525"/>
      <c r="AD26" s="636"/>
      <c r="AE26" s="525">
        <f t="shared" si="10"/>
        <v>6505.9429726487524</v>
      </c>
      <c r="AF26" s="1465"/>
      <c r="AG26" s="1465">
        <f t="shared" si="11"/>
        <v>190.68354286628278</v>
      </c>
      <c r="AH26" s="1465">
        <f t="shared" si="12"/>
        <v>2302.3855894113885</v>
      </c>
      <c r="AI26" s="1465">
        <f t="shared" si="13"/>
        <v>7089.5078950735751</v>
      </c>
      <c r="AJ26" s="1465">
        <f t="shared" si="14"/>
        <v>100.20747713276302</v>
      </c>
      <c r="AK26" s="1465">
        <f t="shared" si="15"/>
        <v>6.2754617189166133</v>
      </c>
      <c r="AL26" s="1465">
        <f t="shared" si="16"/>
        <v>-33.380000000002838</v>
      </c>
      <c r="AM26" s="1465">
        <v>9.2799999999999994</v>
      </c>
    </row>
    <row r="27" spans="1:39" x14ac:dyDescent="0.25">
      <c r="A27" s="22"/>
      <c r="B27" s="22"/>
      <c r="C27" s="384" t="s">
        <v>125</v>
      </c>
      <c r="D27" s="845"/>
      <c r="E27" s="845"/>
      <c r="F27" s="846">
        <f t="shared" ref="F27:AL27" si="17">SUM(F8:F26)</f>
        <v>134</v>
      </c>
      <c r="G27" s="846">
        <f t="shared" si="17"/>
        <v>340</v>
      </c>
      <c r="H27" s="1783">
        <f t="shared" si="17"/>
        <v>6252.0000000000009</v>
      </c>
      <c r="I27" s="1652">
        <f t="shared" si="17"/>
        <v>6132.0300000000007</v>
      </c>
      <c r="J27" s="1652">
        <f t="shared" si="17"/>
        <v>6229.3439999999982</v>
      </c>
      <c r="K27" s="1652">
        <f t="shared" si="17"/>
        <v>60258.660000000011</v>
      </c>
      <c r="L27" s="1652">
        <f t="shared" si="17"/>
        <v>60589.569999999992</v>
      </c>
      <c r="M27" s="1784">
        <f>SUM(M8:M26)</f>
        <v>739597.1399999999</v>
      </c>
      <c r="N27" s="1784">
        <f t="shared" si="17"/>
        <v>579719.13000000012</v>
      </c>
      <c r="O27" s="647">
        <f t="shared" si="17"/>
        <v>18420.190000000002</v>
      </c>
      <c r="P27" s="647">
        <f t="shared" si="17"/>
        <v>14136.16</v>
      </c>
      <c r="Q27" s="647">
        <f t="shared" si="17"/>
        <v>824408.02</v>
      </c>
      <c r="R27" s="647">
        <f t="shared" si="17"/>
        <v>660674.20400000003</v>
      </c>
      <c r="S27" s="647">
        <f t="shared" si="17"/>
        <v>662856.73</v>
      </c>
      <c r="T27" s="647">
        <f t="shared" si="17"/>
        <v>0</v>
      </c>
      <c r="U27" s="647">
        <f t="shared" si="17"/>
        <v>1900</v>
      </c>
      <c r="V27" s="647">
        <f t="shared" si="17"/>
        <v>28456.259999999995</v>
      </c>
      <c r="W27" s="647">
        <f t="shared" si="17"/>
        <v>2601</v>
      </c>
      <c r="X27" s="647">
        <f t="shared" si="17"/>
        <v>3175.9800000000005</v>
      </c>
      <c r="Y27" s="647">
        <f t="shared" si="17"/>
        <v>20184.630000000005</v>
      </c>
      <c r="Z27" s="647">
        <f t="shared" si="17"/>
        <v>205651.14000000004</v>
      </c>
      <c r="AA27" s="647">
        <f t="shared" si="17"/>
        <v>105767.67000000003</v>
      </c>
      <c r="AB27" s="647">
        <f t="shared" si="17"/>
        <v>3698.4500000000003</v>
      </c>
      <c r="AC27" s="647">
        <f t="shared" si="17"/>
        <v>160989.23000000001</v>
      </c>
      <c r="AD27" s="647">
        <f t="shared" si="17"/>
        <v>0</v>
      </c>
      <c r="AE27" s="647">
        <f t="shared" si="17"/>
        <v>532424.3600000001</v>
      </c>
      <c r="AF27" s="647">
        <f t="shared" si="17"/>
        <v>0</v>
      </c>
      <c r="AG27" s="647">
        <f t="shared" si="17"/>
        <v>9976.1800000000021</v>
      </c>
      <c r="AH27" s="647">
        <f t="shared" si="17"/>
        <v>120456.19000000005</v>
      </c>
      <c r="AI27" s="647">
        <f t="shared" si="17"/>
        <v>161551.29</v>
      </c>
      <c r="AJ27" s="1785">
        <f t="shared" si="14"/>
        <v>80.13922571980801</v>
      </c>
      <c r="AK27" s="1785">
        <f>S27/H27/12</f>
        <v>8.8352624493495409</v>
      </c>
      <c r="AL27" s="647">
        <f t="shared" si="17"/>
        <v>163733.81600000005</v>
      </c>
      <c r="AM27" s="15"/>
    </row>
    <row r="28" spans="1:39" x14ac:dyDescent="0.25">
      <c r="A28" s="380"/>
      <c r="B28" s="380"/>
      <c r="C28" s="9"/>
      <c r="D28" s="375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5"/>
      <c r="P28" s="375"/>
      <c r="Q28" s="375"/>
      <c r="R28" s="375"/>
      <c r="S28" s="375"/>
      <c r="T28" s="849"/>
      <c r="U28" s="375" t="s">
        <v>180</v>
      </c>
      <c r="V28" s="375" t="s">
        <v>180</v>
      </c>
      <c r="W28" s="763" t="s">
        <v>180</v>
      </c>
      <c r="X28" s="375" t="s">
        <v>180</v>
      </c>
      <c r="Y28" s="375" t="s">
        <v>180</v>
      </c>
      <c r="Z28" s="375" t="s">
        <v>180</v>
      </c>
      <c r="AA28" s="764"/>
      <c r="AB28" s="375" t="s">
        <v>180</v>
      </c>
      <c r="AC28" s="1583" t="s">
        <v>180</v>
      </c>
      <c r="AD28" s="375"/>
      <c r="AE28" s="349" t="s">
        <v>180</v>
      </c>
      <c r="AG28" t="s">
        <v>180</v>
      </c>
      <c r="AH28" t="s">
        <v>180</v>
      </c>
    </row>
    <row r="29" spans="1:39" x14ac:dyDescent="0.25">
      <c r="C29" s="295" t="s">
        <v>753</v>
      </c>
      <c r="D29" s="375"/>
      <c r="E29" s="375"/>
      <c r="F29" s="375"/>
      <c r="G29" s="375"/>
      <c r="H29" s="763">
        <f>H8+H9+H10+H11+H12+H13+H14+H15</f>
        <v>4820.0999999999995</v>
      </c>
      <c r="I29" s="375"/>
      <c r="J29" s="375"/>
      <c r="K29" s="375"/>
      <c r="L29" s="375"/>
      <c r="M29" s="375"/>
      <c r="N29" s="375"/>
      <c r="O29" s="375"/>
      <c r="P29" s="375"/>
      <c r="Q29" s="375"/>
      <c r="R29" s="375"/>
      <c r="S29" s="375"/>
      <c r="T29" s="375"/>
      <c r="U29" s="375"/>
      <c r="V29" s="375"/>
      <c r="W29" s="375"/>
      <c r="X29" s="375"/>
      <c r="Y29" s="375"/>
      <c r="Z29" s="375"/>
      <c r="AA29" s="375"/>
      <c r="AB29" s="375"/>
      <c r="AC29" s="375"/>
      <c r="AD29" s="375"/>
      <c r="AE29" s="349"/>
    </row>
    <row r="30" spans="1:39" x14ac:dyDescent="0.25">
      <c r="C30" s="295"/>
      <c r="D30" s="375"/>
      <c r="E30" s="375"/>
      <c r="F30" s="375"/>
      <c r="G30" s="375"/>
      <c r="H30" s="763"/>
      <c r="I30" s="375"/>
      <c r="J30" s="375"/>
      <c r="K30" s="375"/>
      <c r="L30" s="375"/>
      <c r="M30" s="375"/>
      <c r="N30" s="375"/>
      <c r="O30" s="375"/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5"/>
      <c r="AB30" s="375"/>
      <c r="AC30" s="375"/>
      <c r="AD30" s="375"/>
      <c r="AE30" s="349"/>
    </row>
    <row r="31" spans="1:39" x14ac:dyDescent="0.25">
      <c r="C31" s="295"/>
      <c r="D31" s="375"/>
      <c r="E31" s="375"/>
      <c r="F31" s="375"/>
      <c r="G31" s="375"/>
      <c r="H31" s="763"/>
      <c r="I31" s="375"/>
      <c r="J31" s="375"/>
      <c r="K31" s="375"/>
      <c r="L31" s="375"/>
      <c r="M31" s="375"/>
      <c r="N31" s="375"/>
      <c r="O31" s="375"/>
      <c r="P31" s="375"/>
      <c r="Q31" s="375"/>
      <c r="R31" s="375"/>
      <c r="S31" s="375"/>
      <c r="T31" s="375"/>
      <c r="U31" s="375"/>
      <c r="V31" s="375"/>
      <c r="W31" s="375"/>
      <c r="X31" s="375"/>
      <c r="Y31" s="375"/>
      <c r="Z31" s="375"/>
      <c r="AA31" s="375"/>
      <c r="AB31" s="375"/>
      <c r="AC31" s="375"/>
      <c r="AD31" s="375"/>
      <c r="AE31" s="349"/>
    </row>
    <row r="32" spans="1:39" x14ac:dyDescent="0.25">
      <c r="C32" s="295"/>
      <c r="D32" s="375"/>
      <c r="E32" s="375"/>
      <c r="F32" s="375"/>
      <c r="G32" s="375"/>
      <c r="H32" s="763"/>
      <c r="I32" s="375"/>
      <c r="J32" s="375"/>
      <c r="K32" s="375"/>
      <c r="L32" s="375"/>
      <c r="M32" s="375"/>
      <c r="N32" s="375"/>
      <c r="O32" s="375"/>
      <c r="P32" s="375"/>
      <c r="Q32" s="375"/>
      <c r="R32" s="375"/>
      <c r="S32" s="375"/>
      <c r="T32" s="375"/>
      <c r="U32" s="375"/>
      <c r="V32" s="375"/>
      <c r="W32" s="375"/>
      <c r="X32" s="375"/>
      <c r="Y32" s="375"/>
      <c r="Z32" s="375"/>
      <c r="AA32" s="375"/>
      <c r="AB32" s="375"/>
      <c r="AC32" s="375"/>
      <c r="AD32" s="375"/>
      <c r="AE32" s="349"/>
    </row>
    <row r="33" spans="1:39" x14ac:dyDescent="0.25">
      <c r="C33" s="295"/>
      <c r="D33" s="375"/>
      <c r="E33" s="375"/>
      <c r="F33" s="375"/>
      <c r="G33" s="375"/>
      <c r="H33" s="763"/>
      <c r="I33" s="375"/>
      <c r="J33" s="375"/>
      <c r="K33" s="375"/>
      <c r="L33" s="375"/>
      <c r="M33" s="375"/>
      <c r="N33" s="375"/>
      <c r="O33" s="375"/>
      <c r="P33" s="375"/>
      <c r="Q33" s="375"/>
      <c r="R33" s="375"/>
      <c r="S33" s="375"/>
      <c r="T33" s="375"/>
      <c r="U33" s="375"/>
      <c r="V33" s="375"/>
      <c r="W33" s="375"/>
      <c r="X33" s="375"/>
      <c r="Y33" s="375"/>
      <c r="Z33" s="375"/>
      <c r="AA33" s="375"/>
      <c r="AB33" s="375"/>
      <c r="AC33" s="375"/>
      <c r="AD33" s="375"/>
      <c r="AE33" s="349"/>
    </row>
    <row r="34" spans="1:39" ht="18.75" x14ac:dyDescent="0.3">
      <c r="A34" s="176"/>
      <c r="B34" s="176"/>
      <c r="C34" s="176"/>
      <c r="D34" s="84" t="s">
        <v>791</v>
      </c>
      <c r="E34" s="84"/>
      <c r="F34" s="84"/>
      <c r="G34" s="84"/>
      <c r="H34" s="84"/>
      <c r="I34" s="84"/>
      <c r="J34" s="84"/>
      <c r="K34" s="84"/>
      <c r="L34" s="84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</row>
    <row r="35" spans="1:39" ht="18.75" x14ac:dyDescent="0.3">
      <c r="A35" s="176"/>
      <c r="B35" s="176"/>
      <c r="C35" s="176"/>
      <c r="D35" s="1993"/>
      <c r="E35" s="1994"/>
      <c r="F35" s="1994"/>
      <c r="G35" s="1994"/>
      <c r="H35" s="1994"/>
      <c r="I35" s="1616"/>
      <c r="J35" s="1616"/>
      <c r="K35" s="1616"/>
      <c r="L35" s="161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</row>
    <row r="36" spans="1:39" ht="18.75" x14ac:dyDescent="0.3">
      <c r="A36" s="176"/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64"/>
    </row>
    <row r="37" spans="1:39" ht="18.75" x14ac:dyDescent="0.3">
      <c r="A37" s="176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64"/>
    </row>
    <row r="38" spans="1:39" ht="39.75" customHeight="1" x14ac:dyDescent="0.25">
      <c r="A38" s="2083" t="s">
        <v>0</v>
      </c>
      <c r="B38" s="2014"/>
      <c r="C38" s="2083" t="s">
        <v>184</v>
      </c>
      <c r="D38" s="2083" t="s">
        <v>54</v>
      </c>
      <c r="E38" s="2014" t="s">
        <v>55</v>
      </c>
      <c r="F38" s="2083" t="s">
        <v>56</v>
      </c>
      <c r="G38" s="2083" t="s">
        <v>57</v>
      </c>
      <c r="H38" s="2014" t="s">
        <v>6</v>
      </c>
      <c r="I38" s="2175" t="s">
        <v>284</v>
      </c>
      <c r="J38" s="2176"/>
      <c r="K38" s="2049" t="s">
        <v>746</v>
      </c>
      <c r="L38" s="2071" t="s">
        <v>332</v>
      </c>
      <c r="M38" s="2049" t="s">
        <v>890</v>
      </c>
      <c r="N38" s="2041" t="s">
        <v>372</v>
      </c>
      <c r="O38" s="2041" t="s">
        <v>735</v>
      </c>
      <c r="P38" s="2134" t="s">
        <v>724</v>
      </c>
      <c r="Q38" s="2179" t="s">
        <v>846</v>
      </c>
      <c r="R38" s="2045" t="s">
        <v>716</v>
      </c>
      <c r="S38" s="1987"/>
      <c r="T38" s="2005"/>
      <c r="U38" s="2001"/>
      <c r="V38" s="2177"/>
      <c r="W38" s="2005"/>
      <c r="X38" s="2001"/>
      <c r="Y38" s="2001"/>
      <c r="Z38" s="2026"/>
      <c r="AA38" s="2026"/>
      <c r="AB38" s="1997"/>
      <c r="AC38" s="1997"/>
      <c r="AD38" s="2170"/>
      <c r="AE38" s="1997"/>
      <c r="AF38" s="1987"/>
      <c r="AG38" s="1987"/>
      <c r="AH38" s="1987"/>
      <c r="AI38" s="1987"/>
      <c r="AJ38" s="2005"/>
      <c r="AK38" s="2001"/>
      <c r="AL38" s="2001"/>
      <c r="AM38" s="1999"/>
    </row>
    <row r="39" spans="1:39" ht="27" customHeight="1" x14ac:dyDescent="0.25">
      <c r="A39" s="2083"/>
      <c r="B39" s="2015"/>
      <c r="C39" s="2083"/>
      <c r="D39" s="2083"/>
      <c r="E39" s="2015"/>
      <c r="F39" s="2083"/>
      <c r="G39" s="2083"/>
      <c r="H39" s="2015"/>
      <c r="I39" s="1643" t="s">
        <v>15</v>
      </c>
      <c r="J39" s="1644" t="s">
        <v>16</v>
      </c>
      <c r="K39" s="2050"/>
      <c r="L39" s="2071"/>
      <c r="M39" s="2050"/>
      <c r="N39" s="2042"/>
      <c r="O39" s="2042"/>
      <c r="P39" s="2135"/>
      <c r="Q39" s="2180"/>
      <c r="R39" s="2046"/>
      <c r="S39" s="1988"/>
      <c r="T39" s="2006"/>
      <c r="U39" s="2002"/>
      <c r="V39" s="2178"/>
      <c r="W39" s="2006"/>
      <c r="X39" s="2002"/>
      <c r="Y39" s="2002"/>
      <c r="Z39" s="2026"/>
      <c r="AA39" s="2169"/>
      <c r="AB39" s="1998"/>
      <c r="AC39" s="1998"/>
      <c r="AD39" s="2171"/>
      <c r="AE39" s="1998"/>
      <c r="AF39" s="1988"/>
      <c r="AG39" s="1988"/>
      <c r="AH39" s="1988"/>
      <c r="AI39" s="1988"/>
      <c r="AJ39" s="2006"/>
      <c r="AK39" s="2002"/>
      <c r="AL39" s="2002"/>
      <c r="AM39" s="2000"/>
    </row>
    <row r="40" spans="1:39" x14ac:dyDescent="0.25">
      <c r="A40" s="1582">
        <v>1</v>
      </c>
      <c r="B40" s="584">
        <v>42569</v>
      </c>
      <c r="C40" s="52" t="s">
        <v>126</v>
      </c>
      <c r="D40" s="702">
        <v>1965</v>
      </c>
      <c r="E40" s="702">
        <v>2</v>
      </c>
      <c r="F40" s="702">
        <v>16</v>
      </c>
      <c r="G40" s="349">
        <v>35</v>
      </c>
      <c r="H40" s="742">
        <v>653.4</v>
      </c>
      <c r="I40" s="736">
        <v>31401.599999999999</v>
      </c>
      <c r="J40" s="736">
        <v>25603.91</v>
      </c>
      <c r="K40" s="742">
        <f>L40+M40+N40</f>
        <v>0</v>
      </c>
      <c r="L40" s="742"/>
      <c r="M40" s="875"/>
      <c r="N40" s="875"/>
      <c r="O40" s="875">
        <f>I40-K40</f>
        <v>31401.599999999999</v>
      </c>
      <c r="P40" s="875">
        <f>J40/I40*100</f>
        <v>81.536959900132473</v>
      </c>
      <c r="Q40" s="875">
        <f>I40-J40</f>
        <v>5797.6899999999987</v>
      </c>
      <c r="R40" s="875">
        <v>4</v>
      </c>
      <c r="S40" s="736"/>
      <c r="T40" s="736"/>
      <c r="U40" s="736"/>
      <c r="V40" s="1465"/>
      <c r="W40" s="1465"/>
      <c r="X40" s="1465"/>
      <c r="Y40" s="1465"/>
      <c r="Z40" s="736"/>
      <c r="AA40" s="736"/>
      <c r="AB40" s="736"/>
      <c r="AC40" s="736"/>
      <c r="AD40" s="736"/>
      <c r="AE40" s="736"/>
      <c r="AF40" s="47"/>
      <c r="AG40" s="47"/>
      <c r="AH40" s="47"/>
      <c r="AI40" s="1465"/>
      <c r="AJ40" s="1465"/>
      <c r="AK40" s="1465"/>
      <c r="AL40" s="1465"/>
      <c r="AM40" s="1465"/>
    </row>
    <row r="41" spans="1:39" x14ac:dyDescent="0.25">
      <c r="A41" s="16">
        <v>2</v>
      </c>
      <c r="B41" s="584">
        <v>42569</v>
      </c>
      <c r="C41" s="43" t="s">
        <v>127</v>
      </c>
      <c r="D41" s="737">
        <v>1965</v>
      </c>
      <c r="E41" s="737">
        <v>2</v>
      </c>
      <c r="F41" s="737">
        <v>16</v>
      </c>
      <c r="G41" s="708">
        <v>31</v>
      </c>
      <c r="H41" s="913">
        <v>658.2</v>
      </c>
      <c r="I41" s="736">
        <v>31593.599999999999</v>
      </c>
      <c r="J41" s="736">
        <v>22240.31</v>
      </c>
      <c r="K41" s="742">
        <f t="shared" ref="K41:K47" si="18">L41+M41+N41</f>
        <v>0</v>
      </c>
      <c r="L41" s="913"/>
      <c r="M41" s="875"/>
      <c r="N41" s="875"/>
      <c r="O41" s="875">
        <f t="shared" ref="O41:O47" si="19">I41-K41</f>
        <v>31593.599999999999</v>
      </c>
      <c r="P41" s="875">
        <f t="shared" ref="P41:P48" si="20">J41/I41*100</f>
        <v>70.394985060265384</v>
      </c>
      <c r="Q41" s="875">
        <f t="shared" ref="Q41:Q48" si="21">I41-J41</f>
        <v>9353.2899999999972</v>
      </c>
      <c r="R41" s="875">
        <v>4</v>
      </c>
      <c r="S41" s="736"/>
      <c r="T41" s="736"/>
      <c r="U41" s="736"/>
      <c r="V41" s="1465"/>
      <c r="W41" s="1465"/>
      <c r="X41" s="1465"/>
      <c r="Y41" s="1465"/>
      <c r="Z41" s="736"/>
      <c r="AA41" s="736"/>
      <c r="AB41" s="736"/>
      <c r="AC41" s="736"/>
      <c r="AD41" s="736"/>
      <c r="AE41" s="736"/>
      <c r="AF41" s="47"/>
      <c r="AG41" s="47"/>
      <c r="AH41" s="47"/>
      <c r="AI41" s="1465"/>
      <c r="AJ41" s="1465"/>
      <c r="AK41" s="1465"/>
      <c r="AL41" s="1465"/>
      <c r="AM41" s="1465"/>
    </row>
    <row r="42" spans="1:39" x14ac:dyDescent="0.25">
      <c r="A42" s="16">
        <v>3</v>
      </c>
      <c r="B42" s="584">
        <v>42569</v>
      </c>
      <c r="C42" s="43" t="s">
        <v>128</v>
      </c>
      <c r="D42" s="737">
        <v>1965</v>
      </c>
      <c r="E42" s="737">
        <v>2</v>
      </c>
      <c r="F42" s="737">
        <v>16</v>
      </c>
      <c r="G42" s="349">
        <v>36</v>
      </c>
      <c r="H42" s="913">
        <v>663.6</v>
      </c>
      <c r="I42" s="736">
        <v>31852.799999999999</v>
      </c>
      <c r="J42" s="736">
        <v>26277.91</v>
      </c>
      <c r="K42" s="742">
        <f t="shared" si="18"/>
        <v>0</v>
      </c>
      <c r="L42" s="913"/>
      <c r="M42" s="875"/>
      <c r="N42" s="875"/>
      <c r="O42" s="875">
        <f t="shared" si="19"/>
        <v>31852.799999999999</v>
      </c>
      <c r="P42" s="875">
        <f t="shared" si="20"/>
        <v>82.497959363070123</v>
      </c>
      <c r="Q42" s="875">
        <f t="shared" si="21"/>
        <v>5574.8899999999994</v>
      </c>
      <c r="R42" s="875">
        <v>4</v>
      </c>
      <c r="S42" s="736"/>
      <c r="T42" s="736"/>
      <c r="U42" s="736"/>
      <c r="V42" s="1465"/>
      <c r="W42" s="1465"/>
      <c r="X42" s="1465"/>
      <c r="Y42" s="1465"/>
      <c r="Z42" s="736"/>
      <c r="AA42" s="736"/>
      <c r="AB42" s="736"/>
      <c r="AC42" s="736"/>
      <c r="AD42" s="736"/>
      <c r="AE42" s="736"/>
      <c r="AF42" s="47"/>
      <c r="AG42" s="47"/>
      <c r="AH42" s="47"/>
      <c r="AI42" s="1465"/>
      <c r="AJ42" s="1465"/>
      <c r="AK42" s="1465"/>
      <c r="AL42" s="1465"/>
      <c r="AM42" s="1465"/>
    </row>
    <row r="43" spans="1:39" x14ac:dyDescent="0.25">
      <c r="A43" s="16">
        <v>4</v>
      </c>
      <c r="B43" s="584">
        <v>42569</v>
      </c>
      <c r="C43" s="43" t="s">
        <v>129</v>
      </c>
      <c r="D43" s="737">
        <v>1965</v>
      </c>
      <c r="E43" s="737">
        <v>2</v>
      </c>
      <c r="F43" s="737">
        <v>16</v>
      </c>
      <c r="G43" s="708">
        <v>39</v>
      </c>
      <c r="H43" s="913">
        <v>654.70000000000005</v>
      </c>
      <c r="I43" s="736">
        <v>31425.599999999999</v>
      </c>
      <c r="J43" s="736">
        <v>25150.13</v>
      </c>
      <c r="K43" s="742">
        <f t="shared" si="18"/>
        <v>954.56</v>
      </c>
      <c r="L43" s="913">
        <v>477.28</v>
      </c>
      <c r="M43" s="875">
        <v>477.28</v>
      </c>
      <c r="N43" s="875"/>
      <c r="O43" s="875">
        <f t="shared" si="19"/>
        <v>30471.039999999997</v>
      </c>
      <c r="P43" s="875">
        <f t="shared" si="20"/>
        <v>80.030707448704248</v>
      </c>
      <c r="Q43" s="875">
        <f t="shared" si="21"/>
        <v>6275.4699999999975</v>
      </c>
      <c r="R43" s="875">
        <v>4</v>
      </c>
      <c r="S43" s="736"/>
      <c r="T43" s="736"/>
      <c r="U43" s="736"/>
      <c r="V43" s="1465"/>
      <c r="W43" s="1465"/>
      <c r="X43" s="1465"/>
      <c r="Y43" s="1465"/>
      <c r="Z43" s="736"/>
      <c r="AA43" s="736"/>
      <c r="AB43" s="736"/>
      <c r="AC43" s="736"/>
      <c r="AD43" s="736"/>
      <c r="AE43" s="736"/>
      <c r="AF43" s="47"/>
      <c r="AG43" s="47"/>
      <c r="AH43" s="47"/>
      <c r="AI43" s="1465"/>
      <c r="AJ43" s="1465"/>
      <c r="AK43" s="1465"/>
      <c r="AL43" s="1465"/>
      <c r="AM43" s="1465"/>
    </row>
    <row r="44" spans="1:39" x14ac:dyDescent="0.25">
      <c r="A44" s="16">
        <v>5</v>
      </c>
      <c r="B44" s="584">
        <v>42569</v>
      </c>
      <c r="C44" s="43" t="s">
        <v>130</v>
      </c>
      <c r="D44" s="737">
        <v>1995</v>
      </c>
      <c r="E44" s="737">
        <v>2</v>
      </c>
      <c r="F44" s="737">
        <v>8</v>
      </c>
      <c r="G44" s="349">
        <v>23</v>
      </c>
      <c r="H44" s="913">
        <v>548.70000000000005</v>
      </c>
      <c r="I44" s="736">
        <v>26337.599999999999</v>
      </c>
      <c r="J44" s="736">
        <v>25854.240000000002</v>
      </c>
      <c r="K44" s="742">
        <f t="shared" si="18"/>
        <v>4034.94</v>
      </c>
      <c r="L44" s="913">
        <v>2017.47</v>
      </c>
      <c r="M44" s="875"/>
      <c r="N44" s="875">
        <v>2017.47</v>
      </c>
      <c r="O44" s="875">
        <f t="shared" si="19"/>
        <v>22302.66</v>
      </c>
      <c r="P44" s="875">
        <f t="shared" si="20"/>
        <v>98.164753052669965</v>
      </c>
      <c r="Q44" s="875">
        <f t="shared" si="21"/>
        <v>483.35999999999694</v>
      </c>
      <c r="R44" s="875">
        <v>4</v>
      </c>
      <c r="S44" s="736"/>
      <c r="T44" s="736"/>
      <c r="U44" s="736"/>
      <c r="V44" s="1465"/>
      <c r="W44" s="1465"/>
      <c r="X44" s="1465"/>
      <c r="Y44" s="1465"/>
      <c r="Z44" s="736"/>
      <c r="AA44" s="736"/>
      <c r="AB44" s="736"/>
      <c r="AC44" s="736"/>
      <c r="AD44" s="736"/>
      <c r="AE44" s="736"/>
      <c r="AF44" s="47"/>
      <c r="AG44" s="47"/>
      <c r="AH44" s="47"/>
      <c r="AI44" s="1465"/>
      <c r="AJ44" s="1465"/>
      <c r="AK44" s="1465"/>
      <c r="AL44" s="1465"/>
      <c r="AM44" s="1465"/>
    </row>
    <row r="45" spans="1:39" x14ac:dyDescent="0.25">
      <c r="A45" s="16">
        <v>6</v>
      </c>
      <c r="B45" s="584">
        <v>42569</v>
      </c>
      <c r="C45" s="43" t="s">
        <v>131</v>
      </c>
      <c r="D45" s="737">
        <v>1995</v>
      </c>
      <c r="E45" s="737">
        <v>2</v>
      </c>
      <c r="F45" s="737">
        <v>8</v>
      </c>
      <c r="G45" s="708">
        <v>27</v>
      </c>
      <c r="H45" s="913">
        <v>548.6</v>
      </c>
      <c r="I45" s="736">
        <v>26332.799999999999</v>
      </c>
      <c r="J45" s="736">
        <v>23132.720000000001</v>
      </c>
      <c r="K45" s="742">
        <f t="shared" si="18"/>
        <v>5943.32</v>
      </c>
      <c r="L45" s="913">
        <v>3569.83</v>
      </c>
      <c r="M45" s="875"/>
      <c r="N45" s="875">
        <v>2373.4899999999998</v>
      </c>
      <c r="O45" s="875">
        <f t="shared" si="19"/>
        <v>20389.48</v>
      </c>
      <c r="P45" s="875">
        <f t="shared" si="20"/>
        <v>87.847551342812011</v>
      </c>
      <c r="Q45" s="875">
        <f t="shared" si="21"/>
        <v>3200.0799999999981</v>
      </c>
      <c r="R45" s="875">
        <v>4</v>
      </c>
      <c r="S45" s="736"/>
      <c r="T45" s="736"/>
      <c r="U45" s="736"/>
      <c r="V45" s="1465"/>
      <c r="W45" s="1465"/>
      <c r="X45" s="1465"/>
      <c r="Y45" s="1465"/>
      <c r="Z45" s="736"/>
      <c r="AA45" s="736"/>
      <c r="AB45" s="736"/>
      <c r="AC45" s="736"/>
      <c r="AD45" s="736"/>
      <c r="AE45" s="736"/>
      <c r="AF45" s="47"/>
      <c r="AG45" s="47"/>
      <c r="AH45" s="47"/>
      <c r="AI45" s="1465"/>
      <c r="AJ45" s="1465"/>
      <c r="AK45" s="1465"/>
      <c r="AL45" s="1465"/>
      <c r="AM45" s="1465"/>
    </row>
    <row r="46" spans="1:39" x14ac:dyDescent="0.25">
      <c r="A46" s="16">
        <v>7</v>
      </c>
      <c r="B46" s="584">
        <v>42569</v>
      </c>
      <c r="C46" s="43" t="s">
        <v>132</v>
      </c>
      <c r="D46" s="737">
        <v>1995</v>
      </c>
      <c r="E46" s="737">
        <v>2</v>
      </c>
      <c r="F46" s="737">
        <v>8</v>
      </c>
      <c r="G46" s="349">
        <v>30</v>
      </c>
      <c r="H46" s="913">
        <v>544.20000000000005</v>
      </c>
      <c r="I46" s="736">
        <v>26121.599999999999</v>
      </c>
      <c r="J46" s="736">
        <v>13809.52</v>
      </c>
      <c r="K46" s="742">
        <f t="shared" si="18"/>
        <v>2354.34</v>
      </c>
      <c r="L46" s="913">
        <v>579</v>
      </c>
      <c r="M46" s="875"/>
      <c r="N46" s="875">
        <v>1775.34</v>
      </c>
      <c r="O46" s="875">
        <f t="shared" si="19"/>
        <v>23767.26</v>
      </c>
      <c r="P46" s="875">
        <f t="shared" si="20"/>
        <v>52.866286904324397</v>
      </c>
      <c r="Q46" s="875">
        <f t="shared" si="21"/>
        <v>12312.079999999998</v>
      </c>
      <c r="R46" s="875">
        <v>4</v>
      </c>
      <c r="S46" s="736"/>
      <c r="T46" s="736"/>
      <c r="U46" s="736"/>
      <c r="V46" s="1465"/>
      <c r="W46" s="1465"/>
      <c r="X46" s="1465"/>
      <c r="Y46" s="1465"/>
      <c r="Z46" s="736"/>
      <c r="AA46" s="736"/>
      <c r="AB46" s="736"/>
      <c r="AC46" s="736"/>
      <c r="AD46" s="736"/>
      <c r="AE46" s="736"/>
      <c r="AF46" s="47"/>
      <c r="AG46" s="47"/>
      <c r="AH46" s="47"/>
      <c r="AI46" s="1465"/>
      <c r="AJ46" s="1465"/>
      <c r="AK46" s="1465"/>
      <c r="AL46" s="1465"/>
      <c r="AM46" s="1465"/>
    </row>
    <row r="47" spans="1:39" x14ac:dyDescent="0.25">
      <c r="A47" s="16">
        <v>8</v>
      </c>
      <c r="B47" s="584">
        <v>42569</v>
      </c>
      <c r="C47" s="43" t="s">
        <v>133</v>
      </c>
      <c r="D47" s="737">
        <v>1995</v>
      </c>
      <c r="E47" s="737">
        <v>2</v>
      </c>
      <c r="F47" s="737">
        <v>8</v>
      </c>
      <c r="G47" s="708">
        <v>29</v>
      </c>
      <c r="H47" s="913">
        <v>548.70000000000005</v>
      </c>
      <c r="I47" s="736">
        <v>26337.599999999999</v>
      </c>
      <c r="J47" s="736">
        <v>25258.03</v>
      </c>
      <c r="K47" s="742">
        <f t="shared" si="18"/>
        <v>2316</v>
      </c>
      <c r="L47" s="913">
        <v>1158</v>
      </c>
      <c r="M47" s="875"/>
      <c r="N47" s="875">
        <v>1158</v>
      </c>
      <c r="O47" s="875">
        <f t="shared" si="19"/>
        <v>24021.599999999999</v>
      </c>
      <c r="P47" s="875">
        <f t="shared" si="20"/>
        <v>95.901031225320452</v>
      </c>
      <c r="Q47" s="875">
        <f t="shared" si="21"/>
        <v>1079.5699999999997</v>
      </c>
      <c r="R47" s="875">
        <v>4</v>
      </c>
      <c r="S47" s="736"/>
      <c r="T47" s="736"/>
      <c r="U47" s="736"/>
      <c r="V47" s="1465"/>
      <c r="W47" s="1465"/>
      <c r="X47" s="1465"/>
      <c r="Y47" s="1465"/>
      <c r="Z47" s="736"/>
      <c r="AA47" s="736"/>
      <c r="AB47" s="736"/>
      <c r="AC47" s="736"/>
      <c r="AD47" s="736"/>
      <c r="AE47" s="736"/>
      <c r="AF47" s="47"/>
      <c r="AG47" s="47"/>
      <c r="AH47" s="47"/>
      <c r="AI47" s="1465"/>
      <c r="AJ47" s="1465"/>
      <c r="AK47" s="1465"/>
      <c r="AL47" s="1465"/>
      <c r="AM47" s="1465"/>
    </row>
    <row r="48" spans="1:39" x14ac:dyDescent="0.25">
      <c r="A48" s="16"/>
      <c r="B48" s="584"/>
      <c r="C48" s="43"/>
      <c r="D48" s="737"/>
      <c r="E48" s="737"/>
      <c r="F48" s="737"/>
      <c r="G48" s="661"/>
      <c r="H48" s="1636">
        <f>SUM(H40:H47)</f>
        <v>4820.0999999999995</v>
      </c>
      <c r="I48" s="1636">
        <f t="shared" ref="I48:O48" si="22">SUM(I40:I47)</f>
        <v>231403.2</v>
      </c>
      <c r="J48" s="1636">
        <f t="shared" si="22"/>
        <v>187326.77000000002</v>
      </c>
      <c r="K48" s="1636">
        <f>SUM(K40:K47)</f>
        <v>15603.16</v>
      </c>
      <c r="L48" s="1636">
        <f>SUM(L40:L47)</f>
        <v>7801.58</v>
      </c>
      <c r="M48" s="1636">
        <f t="shared" si="22"/>
        <v>477.28</v>
      </c>
      <c r="N48" s="1636">
        <f t="shared" si="22"/>
        <v>7324.3</v>
      </c>
      <c r="O48" s="1636">
        <f t="shared" si="22"/>
        <v>215800.04</v>
      </c>
      <c r="P48" s="1784">
        <f t="shared" si="20"/>
        <v>80.952540846453289</v>
      </c>
      <c r="Q48" s="1784">
        <f t="shared" si="21"/>
        <v>44076.429999999993</v>
      </c>
      <c r="R48" s="1636"/>
      <c r="S48" s="1636"/>
      <c r="T48" s="1636"/>
      <c r="U48" s="736"/>
      <c r="V48" s="1785"/>
      <c r="W48" s="1785"/>
      <c r="X48" s="1785"/>
      <c r="Y48" s="1785"/>
      <c r="Z48" s="736"/>
      <c r="AA48" s="736"/>
      <c r="AB48" s="736"/>
      <c r="AC48" s="736"/>
      <c r="AD48" s="736"/>
      <c r="AE48" s="736"/>
      <c r="AF48" s="47"/>
      <c r="AG48" s="47"/>
      <c r="AH48" s="47"/>
      <c r="AI48" s="1785"/>
      <c r="AJ48" s="1785"/>
      <c r="AK48" s="1785"/>
      <c r="AL48" s="1785"/>
      <c r="AM48" s="1785"/>
    </row>
    <row r="49" spans="1:35" x14ac:dyDescent="0.25">
      <c r="C49" s="295"/>
      <c r="D49" s="375"/>
      <c r="E49" s="375"/>
      <c r="F49" s="375"/>
      <c r="G49" s="375"/>
      <c r="H49" s="763"/>
      <c r="I49" s="375"/>
      <c r="J49" s="375"/>
      <c r="K49" s="375" t="s">
        <v>180</v>
      </c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75"/>
      <c r="AB49" s="375"/>
      <c r="AC49" s="375"/>
      <c r="AD49" s="375"/>
      <c r="AE49" s="349"/>
      <c r="AI49" s="50"/>
    </row>
    <row r="50" spans="1:35" ht="18.75" x14ac:dyDescent="0.3">
      <c r="D50" s="375"/>
      <c r="E50" s="375"/>
      <c r="F50" s="375"/>
      <c r="G50" s="375"/>
      <c r="H50" s="375"/>
      <c r="I50" s="375"/>
      <c r="J50" s="375"/>
      <c r="K50" s="375"/>
      <c r="L50" s="375"/>
      <c r="M50" s="375"/>
      <c r="N50" s="375"/>
      <c r="O50" s="375"/>
      <c r="P50" s="375"/>
      <c r="Q50" s="375"/>
      <c r="R50" s="375"/>
      <c r="S50" s="176"/>
      <c r="T50" s="375"/>
      <c r="U50" s="375"/>
      <c r="V50" s="375"/>
      <c r="W50" s="375"/>
      <c r="X50" s="375"/>
      <c r="Y50" s="375"/>
      <c r="Z50" s="375"/>
      <c r="AA50" s="375"/>
      <c r="AB50" s="375"/>
      <c r="AC50" s="375"/>
      <c r="AD50" s="375"/>
      <c r="AE50" s="375"/>
    </row>
    <row r="51" spans="1:35" ht="18.75" customHeight="1" x14ac:dyDescent="0.3"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908" t="s">
        <v>847</v>
      </c>
      <c r="R51" s="1908"/>
      <c r="T51" s="176"/>
      <c r="U51" s="176"/>
      <c r="V51" s="850"/>
      <c r="W51" s="850"/>
      <c r="X51" s="850"/>
      <c r="Y51" s="850"/>
      <c r="Z51" s="850"/>
      <c r="AA51" s="850"/>
      <c r="AB51" s="375"/>
      <c r="AC51" s="375"/>
      <c r="AD51" s="851"/>
      <c r="AE51" s="375"/>
    </row>
    <row r="52" spans="1:35" ht="15.75" customHeight="1" x14ac:dyDescent="0.25">
      <c r="D52" s="378"/>
      <c r="E52" s="378"/>
      <c r="F52" s="378"/>
      <c r="G52" s="378"/>
      <c r="H52" s="378"/>
      <c r="I52" s="378"/>
      <c r="J52" s="378"/>
      <c r="K52" s="378"/>
      <c r="L52" s="378"/>
      <c r="M52" s="378"/>
      <c r="N52" s="378"/>
      <c r="O52" s="378"/>
      <c r="P52" s="378"/>
      <c r="Q52" s="378"/>
      <c r="R52" s="378"/>
      <c r="S52" s="378"/>
      <c r="T52" s="378"/>
      <c r="U52" s="378"/>
      <c r="V52" s="378"/>
      <c r="W52" s="378"/>
      <c r="X52" s="378"/>
      <c r="Y52" s="378"/>
      <c r="Z52" s="378"/>
      <c r="AA52" s="378"/>
      <c r="AB52" s="378"/>
      <c r="AC52" s="378"/>
      <c r="AD52" s="378"/>
      <c r="AE52" s="378"/>
    </row>
    <row r="53" spans="1:35" ht="15" customHeight="1" x14ac:dyDescent="0.25">
      <c r="D53" s="375"/>
      <c r="E53" s="375"/>
      <c r="F53" s="375"/>
      <c r="G53" s="375"/>
      <c r="H53" s="375"/>
      <c r="I53" s="378"/>
      <c r="J53" s="378"/>
      <c r="K53" s="378"/>
      <c r="L53" s="378"/>
      <c r="M53" s="378"/>
      <c r="N53" s="378"/>
      <c r="O53" s="378"/>
      <c r="P53" s="378"/>
      <c r="Q53" s="378"/>
      <c r="R53" s="378"/>
      <c r="S53" s="378"/>
      <c r="T53" s="378"/>
      <c r="U53" s="378"/>
      <c r="V53" s="378"/>
      <c r="W53" s="378"/>
      <c r="X53" s="378"/>
      <c r="Y53" s="378"/>
      <c r="Z53" s="378"/>
      <c r="AA53" s="378"/>
      <c r="AB53" s="378"/>
      <c r="AC53" s="378"/>
      <c r="AD53" s="378"/>
      <c r="AE53" s="378"/>
    </row>
    <row r="54" spans="1:35" ht="24" customHeight="1" x14ac:dyDescent="0.25">
      <c r="A54" s="2083" t="s">
        <v>0</v>
      </c>
      <c r="B54" s="2014"/>
      <c r="C54" s="2083" t="s">
        <v>184</v>
      </c>
      <c r="D54" s="1561" t="s">
        <v>54</v>
      </c>
      <c r="E54" s="1561" t="s">
        <v>55</v>
      </c>
      <c r="F54" s="1561" t="s">
        <v>56</v>
      </c>
      <c r="G54" s="1561" t="s">
        <v>57</v>
      </c>
      <c r="H54" s="1561" t="s">
        <v>6</v>
      </c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  <c r="AC54" s="378"/>
      <c r="AD54" s="378"/>
      <c r="AE54" s="378"/>
    </row>
    <row r="55" spans="1:35" ht="30" customHeight="1" x14ac:dyDescent="0.25">
      <c r="A55" s="2083"/>
      <c r="B55" s="2015"/>
      <c r="C55" s="2083"/>
      <c r="D55" s="1563"/>
      <c r="E55" s="1563"/>
      <c r="F55" s="1563"/>
      <c r="G55" s="1563"/>
      <c r="H55" s="1563"/>
      <c r="I55" s="378"/>
      <c r="J55" s="378"/>
      <c r="K55" s="378"/>
      <c r="L55" s="378"/>
      <c r="M55" s="378"/>
      <c r="N55" s="378"/>
      <c r="O55" s="378"/>
      <c r="P55" s="378"/>
      <c r="Q55" s="378"/>
      <c r="R55" s="378"/>
      <c r="S55" s="378"/>
      <c r="T55" s="378"/>
      <c r="U55" s="378"/>
      <c r="V55" s="378"/>
      <c r="W55" s="378"/>
      <c r="X55" s="378"/>
      <c r="Y55" s="378"/>
      <c r="Z55" s="378"/>
      <c r="AA55" s="378"/>
      <c r="AB55" s="378"/>
      <c r="AC55" s="378"/>
      <c r="AD55" s="378"/>
      <c r="AE55" s="378"/>
    </row>
    <row r="56" spans="1:35" ht="15" customHeight="1" x14ac:dyDescent="0.25">
      <c r="A56" s="112">
        <v>1</v>
      </c>
      <c r="B56" s="584">
        <v>42569</v>
      </c>
      <c r="C56" s="52" t="s">
        <v>126</v>
      </c>
      <c r="D56" s="702">
        <v>1965</v>
      </c>
      <c r="E56" s="702">
        <v>2</v>
      </c>
      <c r="F56" s="702">
        <v>16</v>
      </c>
      <c r="G56" s="661">
        <v>35</v>
      </c>
      <c r="H56" s="728">
        <v>653.4</v>
      </c>
      <c r="I56" s="378"/>
      <c r="J56" s="378"/>
      <c r="K56" s="378"/>
      <c r="L56" s="378"/>
      <c r="M56" s="378"/>
      <c r="N56" s="378"/>
      <c r="O56" s="378"/>
      <c r="P56" s="378"/>
      <c r="Q56" s="378"/>
      <c r="R56" s="378"/>
      <c r="S56" s="378"/>
      <c r="T56" s="378"/>
      <c r="U56" s="378"/>
      <c r="V56" s="378"/>
      <c r="W56" s="378"/>
      <c r="X56" s="378"/>
      <c r="Y56" s="378"/>
      <c r="Z56" s="378"/>
      <c r="AA56" s="378"/>
      <c r="AB56" s="378"/>
      <c r="AC56" s="378"/>
      <c r="AD56" s="378"/>
      <c r="AE56" s="378"/>
    </row>
    <row r="57" spans="1:35" ht="15" customHeight="1" x14ac:dyDescent="0.25">
      <c r="A57" s="22">
        <v>2</v>
      </c>
      <c r="B57" s="584">
        <v>42569</v>
      </c>
      <c r="C57" s="43" t="s">
        <v>127</v>
      </c>
      <c r="D57" s="737">
        <v>1965</v>
      </c>
      <c r="E57" s="737">
        <v>2</v>
      </c>
      <c r="F57" s="737">
        <v>16</v>
      </c>
      <c r="G57" s="661">
        <v>31</v>
      </c>
      <c r="H57" s="855">
        <v>658.2</v>
      </c>
      <c r="I57" s="378"/>
      <c r="J57" s="378"/>
      <c r="K57" s="378"/>
      <c r="L57" s="378"/>
      <c r="M57" s="378"/>
      <c r="N57" s="378"/>
      <c r="O57" s="378"/>
      <c r="P57" s="378"/>
      <c r="Q57" s="378"/>
      <c r="R57" s="378"/>
      <c r="S57" s="378"/>
      <c r="T57" s="378"/>
      <c r="U57" s="378"/>
      <c r="V57" s="378"/>
      <c r="W57" s="378"/>
      <c r="X57" s="378"/>
      <c r="Y57" s="378"/>
      <c r="Z57" s="378"/>
      <c r="AA57" s="378"/>
      <c r="AB57" s="378"/>
      <c r="AC57" s="378"/>
      <c r="AD57" s="378"/>
      <c r="AE57" s="378"/>
    </row>
    <row r="58" spans="1:35" ht="15" customHeight="1" x14ac:dyDescent="0.25">
      <c r="A58" s="22">
        <v>3</v>
      </c>
      <c r="B58" s="584">
        <v>42569</v>
      </c>
      <c r="C58" s="43" t="s">
        <v>128</v>
      </c>
      <c r="D58" s="737">
        <v>1965</v>
      </c>
      <c r="E58" s="737">
        <v>2</v>
      </c>
      <c r="F58" s="737">
        <v>16</v>
      </c>
      <c r="G58" s="661">
        <v>36</v>
      </c>
      <c r="H58" s="855">
        <v>663.6</v>
      </c>
      <c r="I58" s="378"/>
      <c r="J58" s="378"/>
      <c r="K58" s="378"/>
      <c r="L58" s="378"/>
      <c r="M58" s="378"/>
      <c r="N58" s="378"/>
      <c r="O58" s="378"/>
      <c r="P58" s="378"/>
      <c r="Q58" s="378"/>
      <c r="R58" s="378"/>
      <c r="S58" s="378"/>
      <c r="T58" s="378"/>
      <c r="U58" s="378"/>
      <c r="V58" s="378"/>
      <c r="W58" s="378"/>
      <c r="X58" s="378"/>
      <c r="Y58" s="378"/>
      <c r="Z58" s="378"/>
      <c r="AA58" s="378"/>
      <c r="AB58" s="378"/>
      <c r="AC58" s="378"/>
      <c r="AD58" s="378"/>
      <c r="AE58" s="378"/>
    </row>
    <row r="59" spans="1:35" ht="15" customHeight="1" x14ac:dyDescent="0.25">
      <c r="A59" s="22">
        <v>4</v>
      </c>
      <c r="B59" s="584">
        <v>42569</v>
      </c>
      <c r="C59" s="43" t="s">
        <v>129</v>
      </c>
      <c r="D59" s="737">
        <v>1965</v>
      </c>
      <c r="E59" s="737">
        <v>2</v>
      </c>
      <c r="F59" s="737">
        <v>16</v>
      </c>
      <c r="G59" s="661">
        <v>39</v>
      </c>
      <c r="H59" s="855">
        <v>654.70000000000005</v>
      </c>
      <c r="I59" s="378"/>
      <c r="J59" s="378"/>
      <c r="K59" s="378"/>
      <c r="L59" s="378"/>
      <c r="M59" s="378"/>
      <c r="N59" s="378"/>
      <c r="O59" s="378"/>
      <c r="P59" s="378"/>
      <c r="Q59" s="378"/>
      <c r="R59" s="378"/>
      <c r="S59" s="378"/>
      <c r="T59" s="378"/>
      <c r="U59" s="378"/>
      <c r="V59" s="378"/>
      <c r="W59" s="378"/>
      <c r="X59" s="378"/>
      <c r="Y59" s="378"/>
      <c r="Z59" s="378"/>
      <c r="AA59" s="378"/>
      <c r="AB59" s="378"/>
      <c r="AC59" s="378"/>
      <c r="AD59" s="378"/>
      <c r="AE59" s="378"/>
    </row>
    <row r="60" spans="1:35" ht="15" customHeight="1" x14ac:dyDescent="0.25">
      <c r="A60" s="22">
        <v>5</v>
      </c>
      <c r="B60" s="584">
        <v>42569</v>
      </c>
      <c r="C60" s="43" t="s">
        <v>130</v>
      </c>
      <c r="D60" s="737">
        <v>1995</v>
      </c>
      <c r="E60" s="737">
        <v>2</v>
      </c>
      <c r="F60" s="737">
        <v>8</v>
      </c>
      <c r="G60" s="661">
        <v>23</v>
      </c>
      <c r="H60" s="855">
        <v>548.70000000000005</v>
      </c>
      <c r="I60" s="378"/>
      <c r="J60" s="378"/>
      <c r="K60" s="378"/>
      <c r="L60" s="378"/>
      <c r="M60" s="378"/>
      <c r="N60" s="378"/>
      <c r="O60" s="378"/>
      <c r="P60" s="378"/>
      <c r="Q60" s="378"/>
      <c r="R60" s="378"/>
      <c r="S60" s="378"/>
      <c r="T60" s="378"/>
      <c r="U60" s="378"/>
      <c r="V60" s="378"/>
      <c r="W60" s="378"/>
      <c r="X60" s="378"/>
      <c r="Y60" s="378"/>
      <c r="Z60" s="378"/>
      <c r="AA60" s="378"/>
      <c r="AB60" s="378"/>
      <c r="AC60" s="378"/>
      <c r="AD60" s="378"/>
      <c r="AE60" s="378"/>
    </row>
    <row r="61" spans="1:35" ht="15" customHeight="1" x14ac:dyDescent="0.25">
      <c r="A61" s="22">
        <v>6</v>
      </c>
      <c r="B61" s="584">
        <v>42569</v>
      </c>
      <c r="C61" s="43" t="s">
        <v>131</v>
      </c>
      <c r="D61" s="737">
        <v>1995</v>
      </c>
      <c r="E61" s="737">
        <v>2</v>
      </c>
      <c r="F61" s="737">
        <v>8</v>
      </c>
      <c r="G61" s="661">
        <v>27</v>
      </c>
      <c r="H61" s="855">
        <v>548.6</v>
      </c>
      <c r="I61" s="378"/>
      <c r="J61" s="378"/>
      <c r="K61" s="378"/>
      <c r="L61" s="378"/>
      <c r="M61" s="378"/>
      <c r="N61" s="378"/>
      <c r="O61" s="378"/>
      <c r="P61" s="378"/>
      <c r="Q61" s="378"/>
      <c r="R61" s="378"/>
      <c r="S61" s="378"/>
      <c r="T61" s="378"/>
      <c r="U61" s="378"/>
      <c r="V61" s="378"/>
      <c r="W61" s="378"/>
      <c r="X61" s="378"/>
      <c r="Y61" s="378"/>
      <c r="Z61" s="378"/>
      <c r="AA61" s="378"/>
      <c r="AB61" s="378"/>
      <c r="AC61" s="378"/>
      <c r="AD61" s="378"/>
      <c r="AE61" s="378"/>
    </row>
    <row r="62" spans="1:35" ht="15" customHeight="1" x14ac:dyDescent="0.25">
      <c r="A62" s="22">
        <v>7</v>
      </c>
      <c r="B62" s="584">
        <v>42569</v>
      </c>
      <c r="C62" s="43" t="s">
        <v>132</v>
      </c>
      <c r="D62" s="737">
        <v>1995</v>
      </c>
      <c r="E62" s="737">
        <v>2</v>
      </c>
      <c r="F62" s="737">
        <v>8</v>
      </c>
      <c r="G62" s="661">
        <v>30</v>
      </c>
      <c r="H62" s="855">
        <v>544.20000000000005</v>
      </c>
      <c r="I62" s="378"/>
      <c r="J62" s="378"/>
      <c r="K62" s="378"/>
      <c r="L62" s="378"/>
      <c r="M62" s="378"/>
      <c r="N62" s="378"/>
      <c r="O62" s="378"/>
      <c r="P62" s="378"/>
      <c r="Q62" s="378"/>
      <c r="R62" s="378"/>
      <c r="S62" s="378"/>
      <c r="T62" s="378"/>
      <c r="U62" s="378"/>
      <c r="V62" s="378"/>
      <c r="W62" s="378"/>
      <c r="X62" s="378"/>
      <c r="Y62" s="378"/>
      <c r="Z62" s="378"/>
      <c r="AA62" s="378"/>
      <c r="AB62" s="378"/>
      <c r="AC62" s="378"/>
      <c r="AD62" s="378"/>
      <c r="AE62" s="378"/>
    </row>
    <row r="63" spans="1:35" ht="15" customHeight="1" x14ac:dyDescent="0.25">
      <c r="A63" s="379">
        <v>8</v>
      </c>
      <c r="B63" s="584">
        <v>42569</v>
      </c>
      <c r="C63" s="256" t="s">
        <v>133</v>
      </c>
      <c r="D63" s="842">
        <v>1995</v>
      </c>
      <c r="E63" s="842">
        <v>2</v>
      </c>
      <c r="F63" s="842">
        <v>8</v>
      </c>
      <c r="G63" s="661">
        <v>29</v>
      </c>
      <c r="H63" s="856">
        <v>548.70000000000005</v>
      </c>
      <c r="I63" s="378"/>
      <c r="J63" s="378"/>
      <c r="K63" s="378"/>
      <c r="L63" s="378"/>
      <c r="M63" s="378"/>
      <c r="N63" s="378"/>
      <c r="O63" s="378"/>
      <c r="P63" s="378"/>
      <c r="Q63" s="378"/>
      <c r="R63" s="378"/>
      <c r="S63" s="378"/>
      <c r="T63" s="378"/>
      <c r="U63" s="378"/>
      <c r="V63" s="378"/>
      <c r="W63" s="378"/>
      <c r="X63" s="378"/>
      <c r="Y63" s="378"/>
      <c r="Z63" s="378"/>
      <c r="AA63" s="378"/>
      <c r="AB63" s="378"/>
      <c r="AC63" s="378"/>
      <c r="AD63" s="378"/>
      <c r="AE63" s="378"/>
    </row>
    <row r="64" spans="1:35" ht="15" customHeight="1" x14ac:dyDescent="0.25">
      <c r="A64" s="22"/>
      <c r="B64" s="22"/>
      <c r="C64" s="381" t="s">
        <v>125</v>
      </c>
      <c r="D64" s="845"/>
      <c r="E64" s="845"/>
      <c r="F64" s="845">
        <f>SUM(F56:F63)</f>
        <v>96</v>
      </c>
      <c r="G64" s="845">
        <f>SUM(G56:G63)</f>
        <v>250</v>
      </c>
      <c r="H64" s="847">
        <f>SUM(H56:H63)</f>
        <v>4820.0999999999995</v>
      </c>
      <c r="I64" s="378"/>
      <c r="J64" s="378"/>
      <c r="K64" s="378"/>
      <c r="L64" s="378"/>
      <c r="M64" s="378"/>
      <c r="N64" s="378"/>
      <c r="O64" s="378"/>
      <c r="P64" s="378"/>
      <c r="Q64" s="378"/>
      <c r="R64" s="378"/>
      <c r="S64" s="378"/>
      <c r="T64" s="378"/>
      <c r="U64" s="378"/>
      <c r="V64" s="378"/>
      <c r="W64" s="378"/>
      <c r="X64" s="378"/>
      <c r="Y64" s="378"/>
      <c r="Z64" s="378"/>
      <c r="AA64" s="378"/>
      <c r="AB64" s="378"/>
      <c r="AC64" s="378"/>
      <c r="AD64" s="378"/>
      <c r="AE64" s="378"/>
    </row>
    <row r="65" spans="4:31" ht="15" customHeight="1" x14ac:dyDescent="0.25">
      <c r="D65" s="375"/>
      <c r="E65" s="375"/>
      <c r="F65" s="375"/>
      <c r="G65" s="375"/>
      <c r="H65" s="375"/>
      <c r="I65" s="378"/>
      <c r="J65" s="378"/>
      <c r="K65" s="378"/>
      <c r="L65" s="378"/>
      <c r="M65" s="378"/>
      <c r="N65" s="378"/>
      <c r="O65" s="378"/>
      <c r="P65" s="378"/>
      <c r="Q65" s="378"/>
      <c r="R65" s="378"/>
      <c r="S65" s="378"/>
      <c r="T65" s="378"/>
      <c r="U65" s="378"/>
      <c r="V65" s="378"/>
      <c r="W65" s="378"/>
      <c r="X65" s="378"/>
      <c r="Y65" s="378"/>
      <c r="Z65" s="378"/>
      <c r="AA65" s="378"/>
      <c r="AB65" s="378"/>
      <c r="AC65" s="378"/>
      <c r="AD65" s="378"/>
      <c r="AE65" s="378"/>
    </row>
    <row r="66" spans="4:31" ht="15" customHeight="1" x14ac:dyDescent="0.25">
      <c r="D66" s="375"/>
      <c r="E66" s="375"/>
      <c r="F66" s="375"/>
      <c r="G66" s="375"/>
      <c r="H66" s="375"/>
      <c r="I66" s="378"/>
      <c r="J66" s="378"/>
      <c r="K66" s="378"/>
      <c r="L66" s="378"/>
      <c r="M66" s="378"/>
      <c r="N66" s="378"/>
      <c r="O66" s="378"/>
      <c r="P66" s="378"/>
      <c r="Q66" s="378"/>
      <c r="R66" s="378"/>
      <c r="S66" s="378"/>
      <c r="T66" s="378"/>
      <c r="U66" s="378"/>
      <c r="V66" s="378"/>
      <c r="W66" s="378"/>
      <c r="X66" s="378"/>
      <c r="Y66" s="378"/>
      <c r="Z66" s="378"/>
      <c r="AA66" s="378"/>
      <c r="AB66" s="378"/>
      <c r="AC66" s="378"/>
      <c r="AD66" s="378"/>
      <c r="AE66" s="378"/>
    </row>
    <row r="67" spans="4:31" ht="15" customHeight="1" x14ac:dyDescent="0.25">
      <c r="D67" s="375"/>
      <c r="E67" s="375"/>
      <c r="F67" s="375"/>
      <c r="G67" s="375"/>
      <c r="H67" s="375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  <c r="T67" s="378"/>
      <c r="U67" s="378"/>
      <c r="V67" s="378"/>
      <c r="W67" s="378"/>
      <c r="X67" s="378"/>
      <c r="Y67" s="378"/>
      <c r="Z67" s="378"/>
      <c r="AA67" s="378"/>
      <c r="AB67" s="378"/>
      <c r="AC67" s="378"/>
      <c r="AD67" s="378"/>
      <c r="AE67" s="378"/>
    </row>
    <row r="68" spans="4:31" ht="15" customHeight="1" x14ac:dyDescent="0.25">
      <c r="D68" s="375"/>
      <c r="E68" s="375"/>
      <c r="F68" s="375"/>
      <c r="G68" s="375"/>
      <c r="H68" s="375"/>
      <c r="I68" s="378"/>
      <c r="J68" s="378"/>
      <c r="K68" s="378"/>
      <c r="L68" s="378"/>
      <c r="M68" s="378"/>
      <c r="N68" s="378"/>
      <c r="O68" s="378"/>
      <c r="P68" s="378"/>
      <c r="Q68" s="378"/>
      <c r="R68" s="378"/>
      <c r="S68" s="378"/>
      <c r="T68" s="378"/>
      <c r="U68" s="378"/>
      <c r="V68" s="378"/>
      <c r="W68" s="378"/>
      <c r="X68" s="378"/>
      <c r="Y68" s="378"/>
      <c r="Z68" s="378"/>
      <c r="AA68" s="378"/>
      <c r="AB68" s="378"/>
      <c r="AC68" s="378"/>
      <c r="AD68" s="378"/>
      <c r="AE68" s="378"/>
    </row>
    <row r="69" spans="4:31" ht="15" customHeight="1" x14ac:dyDescent="0.25">
      <c r="D69" s="375"/>
      <c r="E69" s="375"/>
      <c r="F69" s="375"/>
      <c r="G69" s="375"/>
      <c r="H69" s="375"/>
      <c r="I69" s="378"/>
      <c r="J69" s="378"/>
      <c r="K69" s="378"/>
      <c r="L69" s="378"/>
      <c r="M69" s="378"/>
      <c r="N69" s="378"/>
      <c r="O69" s="378"/>
      <c r="P69" s="378"/>
      <c r="Q69" s="378"/>
      <c r="R69" s="378"/>
      <c r="S69" s="378"/>
      <c r="T69" s="378"/>
      <c r="U69" s="378"/>
      <c r="V69" s="378"/>
      <c r="W69" s="378"/>
      <c r="X69" s="378"/>
      <c r="Y69" s="378"/>
      <c r="Z69" s="378"/>
      <c r="AA69" s="378"/>
      <c r="AB69" s="378"/>
      <c r="AC69" s="378"/>
      <c r="AD69" s="378"/>
      <c r="AE69" s="378"/>
    </row>
    <row r="70" spans="4:31" ht="15" customHeight="1" x14ac:dyDescent="0.25">
      <c r="D70" s="375"/>
      <c r="E70" s="375"/>
      <c r="F70" s="375"/>
      <c r="G70" s="375"/>
      <c r="H70" s="375"/>
      <c r="I70" s="378"/>
      <c r="J70" s="378"/>
      <c r="K70" s="378"/>
      <c r="L70" s="378"/>
      <c r="M70" s="378"/>
      <c r="N70" s="378"/>
      <c r="O70" s="378"/>
      <c r="P70" s="378"/>
      <c r="Q70" s="378"/>
      <c r="R70" s="378"/>
      <c r="S70" s="378"/>
      <c r="T70" s="378"/>
      <c r="U70" s="378"/>
      <c r="V70" s="378"/>
      <c r="W70" s="378"/>
      <c r="X70" s="378"/>
      <c r="Y70" s="378"/>
      <c r="Z70" s="378"/>
      <c r="AA70" s="378"/>
      <c r="AB70" s="378"/>
      <c r="AC70" s="378"/>
      <c r="AD70" s="378"/>
      <c r="AE70" s="378"/>
    </row>
    <row r="71" spans="4:31" ht="15" customHeight="1" x14ac:dyDescent="0.25">
      <c r="D71" s="375"/>
      <c r="E71" s="375"/>
      <c r="F71" s="375"/>
      <c r="G71" s="375"/>
      <c r="H71" s="375"/>
      <c r="I71" s="378"/>
      <c r="J71" s="378"/>
      <c r="K71" s="378"/>
      <c r="L71" s="378"/>
      <c r="M71" s="378"/>
      <c r="N71" s="378"/>
      <c r="O71" s="378"/>
      <c r="P71" s="378"/>
      <c r="Q71" s="378"/>
      <c r="R71" s="378"/>
      <c r="S71" s="378"/>
      <c r="T71" s="378"/>
      <c r="U71" s="378"/>
      <c r="V71" s="378"/>
      <c r="W71" s="378"/>
      <c r="X71" s="378"/>
      <c r="Y71" s="378"/>
      <c r="Z71" s="378"/>
      <c r="AA71" s="378"/>
      <c r="AB71" s="378"/>
      <c r="AC71" s="378"/>
      <c r="AD71" s="378"/>
      <c r="AE71" s="378"/>
    </row>
    <row r="72" spans="4:31" ht="15" customHeight="1" x14ac:dyDescent="0.25">
      <c r="D72" s="375"/>
      <c r="E72" s="375"/>
      <c r="F72" s="375"/>
      <c r="G72" s="375"/>
      <c r="H72" s="375"/>
      <c r="I72" s="378"/>
      <c r="J72" s="378"/>
      <c r="K72" s="378"/>
      <c r="L72" s="378"/>
      <c r="M72" s="378"/>
      <c r="N72" s="378"/>
      <c r="O72" s="378"/>
      <c r="P72" s="378"/>
      <c r="Q72" s="378"/>
      <c r="R72" s="378"/>
      <c r="S72" s="378"/>
      <c r="T72" s="378"/>
      <c r="U72" s="378"/>
      <c r="V72" s="378"/>
      <c r="W72" s="378"/>
      <c r="X72" s="378"/>
      <c r="Y72" s="378"/>
      <c r="Z72" s="378"/>
      <c r="AA72" s="378"/>
      <c r="AB72" s="378"/>
      <c r="AC72" s="378"/>
      <c r="AD72" s="378"/>
      <c r="AE72" s="378"/>
    </row>
    <row r="73" spans="4:31" x14ac:dyDescent="0.25">
      <c r="D73" s="375"/>
      <c r="E73" s="375"/>
      <c r="F73" s="375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  <c r="Y73" s="375"/>
      <c r="Z73" s="375"/>
      <c r="AA73" s="375"/>
      <c r="AB73" s="375"/>
      <c r="AC73" s="375"/>
      <c r="AD73" s="375"/>
      <c r="AE73" s="375"/>
    </row>
    <row r="74" spans="4:31" x14ac:dyDescent="0.25">
      <c r="D74" s="375"/>
      <c r="E74" s="375"/>
      <c r="F74" s="375"/>
      <c r="G74" s="375"/>
      <c r="H74" s="375"/>
      <c r="I74" s="375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  <c r="Y74" s="375"/>
      <c r="Z74" s="375"/>
      <c r="AA74" s="375"/>
      <c r="AB74" s="375"/>
      <c r="AC74" s="375"/>
      <c r="AD74" s="375"/>
      <c r="AE74" s="375"/>
    </row>
    <row r="75" spans="4:31" x14ac:dyDescent="0.25">
      <c r="D75" s="375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5"/>
      <c r="AC75" s="375"/>
      <c r="AD75" s="375"/>
      <c r="AE75" s="375"/>
    </row>
    <row r="76" spans="4:31" x14ac:dyDescent="0.25">
      <c r="D76" s="375"/>
      <c r="E76" s="375"/>
      <c r="F76" s="375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  <c r="Y76" s="375"/>
      <c r="Z76" s="375"/>
      <c r="AA76" s="375"/>
      <c r="AB76" s="375"/>
      <c r="AC76" s="375"/>
      <c r="AD76" s="375"/>
      <c r="AE76" s="375"/>
    </row>
    <row r="77" spans="4:31" x14ac:dyDescent="0.25">
      <c r="D77" s="375"/>
      <c r="E77" s="375"/>
      <c r="F77" s="375"/>
      <c r="G77" s="375"/>
      <c r="H77" s="375"/>
      <c r="I77" s="375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  <c r="AB77" s="375"/>
      <c r="AC77" s="375"/>
      <c r="AD77" s="375"/>
      <c r="AE77" s="375"/>
    </row>
    <row r="78" spans="4:31" x14ac:dyDescent="0.25">
      <c r="D78" s="375"/>
      <c r="E78" s="375"/>
      <c r="F78" s="375"/>
      <c r="G78" s="375"/>
      <c r="H78" s="375"/>
      <c r="I78" s="375"/>
      <c r="J78" s="375"/>
      <c r="K78" s="37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  <c r="Y78" s="375"/>
      <c r="Z78" s="375"/>
      <c r="AA78" s="375"/>
      <c r="AB78" s="375"/>
      <c r="AC78" s="375"/>
      <c r="AD78" s="375"/>
      <c r="AE78" s="375"/>
    </row>
    <row r="79" spans="4:31" x14ac:dyDescent="0.25">
      <c r="D79" s="375"/>
      <c r="E79" s="375"/>
      <c r="F79" s="375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  <c r="AD79" s="375"/>
      <c r="AE79" s="375"/>
    </row>
    <row r="80" spans="4:31" x14ac:dyDescent="0.25">
      <c r="D80" s="375"/>
      <c r="E80" s="375"/>
      <c r="F80" s="375"/>
      <c r="G80" s="375"/>
      <c r="H80" s="375"/>
      <c r="I80" s="375"/>
      <c r="J80" s="375"/>
      <c r="K80" s="37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  <c r="Y80" s="375"/>
      <c r="Z80" s="375"/>
      <c r="AA80" s="375"/>
      <c r="AB80" s="375"/>
      <c r="AC80" s="375"/>
      <c r="AD80" s="375"/>
      <c r="AE80" s="375"/>
    </row>
    <row r="81" spans="4:31" x14ac:dyDescent="0.25">
      <c r="D81" s="375"/>
      <c r="E81" s="375"/>
      <c r="F81" s="375"/>
      <c r="G81" s="375"/>
      <c r="H81" s="375"/>
      <c r="I81" s="375"/>
      <c r="J81" s="375"/>
      <c r="K81" s="37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5"/>
      <c r="AD81" s="375"/>
      <c r="AE81" s="375"/>
    </row>
    <row r="82" spans="4:31" x14ac:dyDescent="0.25">
      <c r="D82" s="375"/>
      <c r="E82" s="375"/>
      <c r="F82" s="375"/>
      <c r="G82" s="375"/>
      <c r="H82" s="375"/>
      <c r="I82" s="375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  <c r="AB82" s="375"/>
      <c r="AC82" s="375"/>
      <c r="AD82" s="375"/>
      <c r="AE82" s="375"/>
    </row>
    <row r="83" spans="4:31" x14ac:dyDescent="0.25">
      <c r="D83" s="375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  <c r="AE83" s="375"/>
    </row>
    <row r="84" spans="4:31" x14ac:dyDescent="0.25">
      <c r="D84" s="375"/>
      <c r="E84" s="375"/>
      <c r="F84" s="375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  <c r="Y84" s="375"/>
      <c r="Z84" s="375"/>
      <c r="AA84" s="375"/>
      <c r="AB84" s="375"/>
      <c r="AC84" s="375"/>
      <c r="AD84" s="375"/>
      <c r="AE84" s="375"/>
    </row>
    <row r="85" spans="4:31" x14ac:dyDescent="0.25">
      <c r="D85" s="375"/>
      <c r="E85" s="375"/>
      <c r="F85" s="375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  <c r="AE85" s="375"/>
    </row>
    <row r="86" spans="4:31" x14ac:dyDescent="0.25">
      <c r="D86" s="375"/>
      <c r="E86" s="375"/>
      <c r="F86" s="375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  <c r="AD86" s="375"/>
      <c r="AE86" s="375"/>
    </row>
    <row r="87" spans="4:31" x14ac:dyDescent="0.25">
      <c r="D87" s="375"/>
      <c r="E87" s="375"/>
      <c r="F87" s="375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  <c r="AE87" s="375"/>
    </row>
    <row r="88" spans="4:31" x14ac:dyDescent="0.25">
      <c r="D88" s="375"/>
      <c r="E88" s="375"/>
      <c r="F88" s="375"/>
      <c r="G88" s="375"/>
      <c r="H88" s="375"/>
      <c r="I88" s="375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  <c r="AB88" s="375"/>
      <c r="AC88" s="375"/>
      <c r="AD88" s="375"/>
      <c r="AE88" s="375"/>
    </row>
    <row r="89" spans="4:31" x14ac:dyDescent="0.25">
      <c r="D89" s="375"/>
      <c r="E89" s="375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  <c r="AD89" s="375"/>
      <c r="AE89" s="375"/>
    </row>
    <row r="90" spans="4:31" x14ac:dyDescent="0.25">
      <c r="D90" s="375"/>
      <c r="E90" s="375"/>
      <c r="F90" s="375"/>
      <c r="G90" s="375"/>
      <c r="H90" s="375"/>
      <c r="I90" s="375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  <c r="Y90" s="375"/>
      <c r="Z90" s="375"/>
      <c r="AA90" s="375"/>
      <c r="AB90" s="375"/>
      <c r="AC90" s="375"/>
      <c r="AD90" s="375"/>
      <c r="AE90" s="375"/>
    </row>
    <row r="91" spans="4:31" x14ac:dyDescent="0.25">
      <c r="D91" s="375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  <c r="AE91" s="375"/>
    </row>
    <row r="92" spans="4:31" x14ac:dyDescent="0.25">
      <c r="D92" s="375"/>
      <c r="E92" s="375"/>
      <c r="F92" s="375"/>
      <c r="G92" s="375"/>
      <c r="H92" s="375"/>
      <c r="I92" s="375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5"/>
      <c r="AC92" s="375"/>
      <c r="AD92" s="375"/>
      <c r="AE92" s="375"/>
    </row>
    <row r="93" spans="4:31" x14ac:dyDescent="0.25">
      <c r="D93" s="375"/>
      <c r="E93" s="375"/>
      <c r="F93" s="375"/>
      <c r="G93" s="375"/>
      <c r="H93" s="375"/>
      <c r="I93" s="375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  <c r="AE93" s="375"/>
    </row>
    <row r="94" spans="4:31" x14ac:dyDescent="0.25">
      <c r="D94" s="375"/>
      <c r="E94" s="375"/>
      <c r="F94" s="375"/>
      <c r="G94" s="375"/>
      <c r="H94" s="375"/>
      <c r="I94" s="375"/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  <c r="Y94" s="375"/>
      <c r="Z94" s="375"/>
      <c r="AA94" s="375"/>
      <c r="AB94" s="375"/>
      <c r="AC94" s="375"/>
      <c r="AD94" s="375"/>
      <c r="AE94" s="375"/>
    </row>
    <row r="95" spans="4:31" x14ac:dyDescent="0.25">
      <c r="D95" s="375"/>
      <c r="E95" s="375"/>
      <c r="F95" s="375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  <c r="AD95" s="375"/>
      <c r="AE95" s="375"/>
    </row>
    <row r="96" spans="4:31" x14ac:dyDescent="0.25">
      <c r="D96" s="375"/>
      <c r="E96" s="375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  <c r="AE96" s="375"/>
    </row>
    <row r="97" spans="4:31" x14ac:dyDescent="0.25">
      <c r="D97" s="375"/>
      <c r="E97" s="375"/>
      <c r="F97" s="375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  <c r="AE97" s="375"/>
    </row>
    <row r="98" spans="4:31" x14ac:dyDescent="0.25">
      <c r="D98" s="375"/>
      <c r="E98" s="375"/>
      <c r="F98" s="375"/>
      <c r="G98" s="375"/>
      <c r="H98" s="375"/>
      <c r="I98" s="375"/>
      <c r="J98" s="375"/>
      <c r="K98" s="37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  <c r="Y98" s="375"/>
      <c r="Z98" s="375"/>
      <c r="AA98" s="375"/>
      <c r="AB98" s="375"/>
      <c r="AC98" s="375"/>
      <c r="AD98" s="375"/>
      <c r="AE98" s="375"/>
    </row>
    <row r="99" spans="4:31" x14ac:dyDescent="0.25">
      <c r="D99" s="375"/>
      <c r="E99" s="375"/>
      <c r="F99" s="375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  <c r="Y99" s="375"/>
      <c r="Z99" s="375"/>
      <c r="AA99" s="375"/>
      <c r="AB99" s="375"/>
      <c r="AC99" s="375"/>
      <c r="AD99" s="375"/>
      <c r="AE99" s="375"/>
    </row>
    <row r="100" spans="4:31" x14ac:dyDescent="0.25">
      <c r="D100" s="375"/>
      <c r="E100" s="375"/>
      <c r="F100" s="375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  <c r="Y100" s="375"/>
      <c r="Z100" s="375"/>
      <c r="AA100" s="375"/>
      <c r="AB100" s="375"/>
      <c r="AC100" s="375"/>
      <c r="AD100" s="375"/>
      <c r="AE100" s="375"/>
    </row>
    <row r="101" spans="4:31" x14ac:dyDescent="0.25">
      <c r="D101" s="375"/>
      <c r="E101" s="375"/>
      <c r="F101" s="375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  <c r="AD101" s="375"/>
      <c r="AE101" s="375"/>
    </row>
    <row r="102" spans="4:31" x14ac:dyDescent="0.25">
      <c r="D102" s="375"/>
      <c r="E102" s="375"/>
      <c r="F102" s="375"/>
      <c r="G102" s="375"/>
      <c r="H102" s="375"/>
      <c r="I102" s="375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5"/>
      <c r="Z102" s="375"/>
      <c r="AA102" s="375"/>
      <c r="AB102" s="375"/>
      <c r="AC102" s="375"/>
      <c r="AD102" s="375"/>
      <c r="AE102" s="375"/>
    </row>
    <row r="103" spans="4:31" x14ac:dyDescent="0.25">
      <c r="D103" s="375"/>
      <c r="E103" s="375"/>
      <c r="F103" s="375"/>
      <c r="G103" s="375"/>
      <c r="H103" s="375"/>
      <c r="I103" s="375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  <c r="AD103" s="375"/>
      <c r="AE103" s="375"/>
    </row>
    <row r="104" spans="4:31" x14ac:dyDescent="0.25">
      <c r="D104" s="375"/>
      <c r="E104" s="375"/>
      <c r="F104" s="375"/>
      <c r="G104" s="375"/>
      <c r="H104" s="375"/>
      <c r="I104" s="375"/>
      <c r="J104" s="375"/>
      <c r="K104" s="37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  <c r="Y104" s="375"/>
      <c r="Z104" s="375"/>
      <c r="AA104" s="375"/>
      <c r="AB104" s="375"/>
      <c r="AC104" s="375"/>
      <c r="AD104" s="375"/>
      <c r="AE104" s="375"/>
    </row>
    <row r="105" spans="4:31" x14ac:dyDescent="0.25">
      <c r="D105" s="375"/>
      <c r="E105" s="375"/>
      <c r="F105" s="375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  <c r="Y105" s="375"/>
      <c r="Z105" s="375"/>
      <c r="AA105" s="375"/>
      <c r="AB105" s="375"/>
      <c r="AC105" s="375"/>
      <c r="AD105" s="375"/>
      <c r="AE105" s="375"/>
    </row>
    <row r="106" spans="4:31" x14ac:dyDescent="0.25">
      <c r="D106" s="375"/>
      <c r="E106" s="375"/>
      <c r="F106" s="375"/>
      <c r="G106" s="375"/>
      <c r="H106" s="375"/>
      <c r="I106" s="375"/>
      <c r="J106" s="375"/>
      <c r="K106" s="37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  <c r="Y106" s="375"/>
      <c r="Z106" s="375"/>
      <c r="AA106" s="375"/>
      <c r="AB106" s="375"/>
      <c r="AC106" s="375"/>
      <c r="AD106" s="375"/>
      <c r="AE106" s="375"/>
    </row>
    <row r="107" spans="4:31" x14ac:dyDescent="0.25">
      <c r="D107" s="375"/>
      <c r="E107" s="375"/>
      <c r="F107" s="375"/>
      <c r="G107" s="375"/>
      <c r="H107" s="375"/>
      <c r="I107" s="375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5"/>
      <c r="AC107" s="375"/>
      <c r="AD107" s="375"/>
      <c r="AE107" s="375"/>
    </row>
    <row r="108" spans="4:31" x14ac:dyDescent="0.25">
      <c r="D108" s="375"/>
      <c r="E108" s="375"/>
      <c r="F108" s="375"/>
      <c r="G108" s="375"/>
      <c r="H108" s="375"/>
      <c r="I108" s="375"/>
      <c r="J108" s="375"/>
      <c r="K108" s="37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  <c r="Y108" s="375"/>
      <c r="Z108" s="375"/>
      <c r="AA108" s="375"/>
      <c r="AB108" s="375"/>
      <c r="AC108" s="375"/>
      <c r="AD108" s="375"/>
      <c r="AE108" s="375"/>
    </row>
    <row r="109" spans="4:31" x14ac:dyDescent="0.25">
      <c r="D109" s="375"/>
      <c r="E109" s="375"/>
      <c r="F109" s="375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  <c r="Y109" s="375"/>
      <c r="Z109" s="375"/>
      <c r="AA109" s="375"/>
      <c r="AB109" s="375"/>
      <c r="AC109" s="375"/>
      <c r="AD109" s="375"/>
      <c r="AE109" s="375"/>
    </row>
    <row r="110" spans="4:31" x14ac:dyDescent="0.25">
      <c r="D110" s="375"/>
      <c r="E110" s="375"/>
      <c r="F110" s="375"/>
      <c r="G110" s="375"/>
      <c r="H110" s="375"/>
      <c r="I110" s="375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  <c r="Y110" s="375"/>
      <c r="Z110" s="375"/>
      <c r="AA110" s="375"/>
      <c r="AB110" s="375"/>
      <c r="AC110" s="375"/>
      <c r="AD110" s="375"/>
      <c r="AE110" s="375"/>
    </row>
    <row r="111" spans="4:31" x14ac:dyDescent="0.25">
      <c r="D111" s="375"/>
      <c r="E111" s="375"/>
      <c r="F111" s="375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  <c r="AD111" s="375"/>
      <c r="AE111" s="375"/>
    </row>
    <row r="112" spans="4:31" x14ac:dyDescent="0.25">
      <c r="D112" s="375"/>
      <c r="E112" s="375"/>
      <c r="F112" s="375"/>
      <c r="G112" s="375"/>
      <c r="H112" s="375"/>
      <c r="I112" s="375"/>
      <c r="J112" s="375"/>
      <c r="K112" s="37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  <c r="Y112" s="375"/>
      <c r="Z112" s="375"/>
      <c r="AA112" s="375"/>
      <c r="AB112" s="375"/>
      <c r="AC112" s="375"/>
      <c r="AD112" s="375"/>
      <c r="AE112" s="375"/>
    </row>
    <row r="113" spans="4:31" x14ac:dyDescent="0.25">
      <c r="D113" s="375"/>
      <c r="E113" s="375"/>
      <c r="F113" s="375"/>
      <c r="G113" s="375"/>
      <c r="H113" s="375"/>
      <c r="I113" s="375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  <c r="Y113" s="375"/>
      <c r="Z113" s="375"/>
      <c r="AA113" s="375"/>
      <c r="AB113" s="375"/>
      <c r="AC113" s="375"/>
      <c r="AD113" s="375"/>
      <c r="AE113" s="375"/>
    </row>
    <row r="114" spans="4:31" x14ac:dyDescent="0.25">
      <c r="D114" s="375"/>
      <c r="E114" s="375"/>
      <c r="F114" s="375"/>
      <c r="G114" s="375"/>
      <c r="H114" s="375"/>
      <c r="I114" s="375"/>
      <c r="J114" s="375"/>
      <c r="K114" s="37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  <c r="Y114" s="375"/>
      <c r="Z114" s="375"/>
      <c r="AA114" s="375"/>
      <c r="AB114" s="375"/>
      <c r="AC114" s="375"/>
      <c r="AD114" s="375"/>
      <c r="AE114" s="375"/>
    </row>
    <row r="115" spans="4:31" x14ac:dyDescent="0.25">
      <c r="D115" s="375"/>
      <c r="E115" s="375"/>
      <c r="F115" s="375"/>
      <c r="G115" s="375"/>
      <c r="H115" s="375"/>
      <c r="I115" s="375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5"/>
      <c r="AC115" s="375"/>
      <c r="AD115" s="375"/>
      <c r="AE115" s="375"/>
    </row>
    <row r="116" spans="4:31" x14ac:dyDescent="0.25">
      <c r="D116" s="375"/>
      <c r="E116" s="375"/>
      <c r="F116" s="375"/>
      <c r="G116" s="375"/>
      <c r="H116" s="375"/>
      <c r="I116" s="375"/>
      <c r="J116" s="375"/>
      <c r="K116" s="37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  <c r="Y116" s="375"/>
      <c r="Z116" s="375"/>
      <c r="AA116" s="375"/>
      <c r="AB116" s="375"/>
      <c r="AC116" s="375"/>
      <c r="AD116" s="375"/>
      <c r="AE116" s="375"/>
    </row>
    <row r="117" spans="4:31" x14ac:dyDescent="0.25">
      <c r="D117" s="375"/>
      <c r="E117" s="375"/>
      <c r="F117" s="375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  <c r="AE117" s="375"/>
    </row>
    <row r="118" spans="4:31" x14ac:dyDescent="0.25">
      <c r="D118" s="375"/>
      <c r="E118" s="375"/>
      <c r="F118" s="375"/>
      <c r="G118" s="375"/>
      <c r="H118" s="375"/>
      <c r="I118" s="375"/>
      <c r="J118" s="375"/>
      <c r="K118" s="37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  <c r="AD118" s="375"/>
      <c r="AE118" s="375"/>
    </row>
    <row r="119" spans="4:31" x14ac:dyDescent="0.25">
      <c r="D119" s="375"/>
      <c r="E119" s="375"/>
      <c r="F119" s="375"/>
      <c r="G119" s="375"/>
      <c r="H119" s="375"/>
      <c r="I119" s="375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  <c r="AD119" s="375"/>
      <c r="AE119" s="375"/>
    </row>
    <row r="120" spans="4:31" x14ac:dyDescent="0.25">
      <c r="D120" s="375"/>
      <c r="E120" s="375"/>
      <c r="F120" s="375"/>
      <c r="G120" s="375"/>
      <c r="H120" s="375"/>
      <c r="I120" s="375"/>
      <c r="J120" s="375"/>
      <c r="K120" s="37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5"/>
      <c r="AC120" s="375"/>
      <c r="AD120" s="375"/>
      <c r="AE120" s="375"/>
    </row>
    <row r="121" spans="4:31" x14ac:dyDescent="0.25">
      <c r="D121" s="375"/>
      <c r="E121" s="375"/>
      <c r="F121" s="375"/>
      <c r="G121" s="375"/>
      <c r="H121" s="375"/>
      <c r="I121" s="375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5"/>
      <c r="AB121" s="375"/>
      <c r="AC121" s="375"/>
      <c r="AD121" s="375"/>
      <c r="AE121" s="375"/>
    </row>
    <row r="122" spans="4:31" x14ac:dyDescent="0.25">
      <c r="D122" s="375"/>
      <c r="E122" s="375"/>
      <c r="F122" s="375"/>
      <c r="G122" s="375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5"/>
      <c r="AC122" s="375"/>
      <c r="AD122" s="375"/>
      <c r="AE122" s="375"/>
    </row>
    <row r="123" spans="4:31" x14ac:dyDescent="0.25">
      <c r="D123" s="375"/>
      <c r="E123" s="375"/>
      <c r="F123" s="375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  <c r="AD123" s="375"/>
      <c r="AE123" s="375"/>
    </row>
    <row r="124" spans="4:31" x14ac:dyDescent="0.25">
      <c r="D124" s="375"/>
      <c r="E124" s="375"/>
      <c r="F124" s="375"/>
      <c r="G124" s="375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  <c r="Y124" s="375"/>
      <c r="Z124" s="375"/>
      <c r="AA124" s="375"/>
      <c r="AB124" s="375"/>
      <c r="AC124" s="375"/>
      <c r="AD124" s="375"/>
      <c r="AE124" s="375"/>
    </row>
    <row r="125" spans="4:31" x14ac:dyDescent="0.25">
      <c r="D125" s="375"/>
      <c r="E125" s="375"/>
      <c r="F125" s="375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  <c r="AD125" s="375"/>
      <c r="AE125" s="375"/>
    </row>
    <row r="126" spans="4:31" x14ac:dyDescent="0.25">
      <c r="D126" s="375"/>
      <c r="E126" s="375"/>
      <c r="F126" s="375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5"/>
      <c r="AC126" s="375"/>
      <c r="AD126" s="375"/>
      <c r="AE126" s="375"/>
    </row>
    <row r="127" spans="4:31" x14ac:dyDescent="0.25">
      <c r="D127" s="375"/>
      <c r="E127" s="375"/>
      <c r="F127" s="375"/>
      <c r="G127" s="375"/>
      <c r="H127" s="375"/>
      <c r="I127" s="375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  <c r="Y127" s="375"/>
      <c r="Z127" s="375"/>
      <c r="AA127" s="375"/>
      <c r="AB127" s="375"/>
      <c r="AC127" s="375"/>
      <c r="AD127" s="375"/>
      <c r="AE127" s="375"/>
    </row>
    <row r="128" spans="4:31" x14ac:dyDescent="0.25">
      <c r="D128" s="375"/>
      <c r="E128" s="375"/>
      <c r="F128" s="375"/>
      <c r="G128" s="375"/>
      <c r="H128" s="375"/>
      <c r="I128" s="375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  <c r="AD128" s="375"/>
      <c r="AE128" s="375"/>
    </row>
    <row r="129" spans="4:31" x14ac:dyDescent="0.25">
      <c r="D129" s="375"/>
      <c r="E129" s="375"/>
      <c r="F129" s="375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  <c r="AE129" s="375"/>
    </row>
    <row r="130" spans="4:31" x14ac:dyDescent="0.25">
      <c r="D130" s="375"/>
      <c r="E130" s="375"/>
      <c r="F130" s="375"/>
      <c r="G130" s="375"/>
      <c r="H130" s="375"/>
      <c r="I130" s="375"/>
      <c r="J130" s="375"/>
      <c r="K130" s="37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  <c r="Y130" s="375"/>
      <c r="Z130" s="375"/>
      <c r="AA130" s="375"/>
      <c r="AB130" s="375"/>
      <c r="AC130" s="375"/>
      <c r="AD130" s="375"/>
      <c r="AE130" s="375"/>
    </row>
    <row r="131" spans="4:31" x14ac:dyDescent="0.25">
      <c r="D131" s="375"/>
      <c r="E131" s="375"/>
      <c r="F131" s="375"/>
      <c r="G131" s="375"/>
      <c r="H131" s="375"/>
      <c r="I131" s="375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  <c r="AD131" s="375"/>
      <c r="AE131" s="375"/>
    </row>
    <row r="132" spans="4:31" x14ac:dyDescent="0.25">
      <c r="D132" s="375"/>
      <c r="E132" s="375"/>
      <c r="F132" s="375"/>
      <c r="G132" s="375"/>
      <c r="H132" s="375"/>
      <c r="I132" s="375"/>
      <c r="J132" s="375"/>
      <c r="K132" s="37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  <c r="Y132" s="375"/>
      <c r="Z132" s="375"/>
      <c r="AA132" s="375"/>
      <c r="AB132" s="375"/>
      <c r="AC132" s="375"/>
      <c r="AD132" s="375"/>
      <c r="AE132" s="375"/>
    </row>
    <row r="133" spans="4:31" x14ac:dyDescent="0.25">
      <c r="D133" s="375"/>
      <c r="E133" s="375"/>
      <c r="F133" s="375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  <c r="AE133" s="375"/>
    </row>
    <row r="134" spans="4:31" x14ac:dyDescent="0.25">
      <c r="D134" s="375"/>
      <c r="E134" s="375"/>
      <c r="F134" s="375"/>
      <c r="G134" s="375"/>
      <c r="H134" s="375"/>
      <c r="I134" s="375"/>
      <c r="J134" s="375"/>
      <c r="K134" s="37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  <c r="Y134" s="375"/>
      <c r="Z134" s="375"/>
      <c r="AA134" s="375"/>
      <c r="AB134" s="375"/>
      <c r="AC134" s="375"/>
      <c r="AD134" s="375"/>
      <c r="AE134" s="375"/>
    </row>
    <row r="135" spans="4:31" x14ac:dyDescent="0.25">
      <c r="D135" s="375"/>
      <c r="E135" s="375"/>
      <c r="F135" s="375"/>
      <c r="G135" s="375"/>
      <c r="H135" s="375"/>
      <c r="I135" s="375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  <c r="AE135" s="375"/>
    </row>
    <row r="136" spans="4:31" x14ac:dyDescent="0.25">
      <c r="D136" s="375"/>
      <c r="E136" s="375"/>
      <c r="F136" s="375"/>
      <c r="G136" s="375"/>
      <c r="H136" s="375"/>
      <c r="I136" s="375"/>
      <c r="J136" s="375"/>
      <c r="K136" s="37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  <c r="Y136" s="375"/>
      <c r="Z136" s="375"/>
      <c r="AA136" s="375"/>
      <c r="AB136" s="375"/>
      <c r="AC136" s="375"/>
      <c r="AD136" s="375"/>
      <c r="AE136" s="375"/>
    </row>
    <row r="137" spans="4:31" x14ac:dyDescent="0.25">
      <c r="D137" s="375"/>
      <c r="E137" s="375"/>
      <c r="F137" s="375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  <c r="AD137" s="375"/>
      <c r="AE137" s="375"/>
    </row>
    <row r="138" spans="4:31" x14ac:dyDescent="0.25">
      <c r="D138" s="375"/>
      <c r="E138" s="375"/>
      <c r="F138" s="375"/>
      <c r="G138" s="375"/>
      <c r="H138" s="375"/>
      <c r="I138" s="375"/>
      <c r="J138" s="375"/>
      <c r="K138" s="37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  <c r="Y138" s="375"/>
      <c r="Z138" s="375"/>
      <c r="AA138" s="375"/>
      <c r="AB138" s="375"/>
      <c r="AC138" s="375"/>
      <c r="AD138" s="375"/>
      <c r="AE138" s="375"/>
    </row>
    <row r="139" spans="4:31" x14ac:dyDescent="0.25">
      <c r="D139" s="375"/>
      <c r="E139" s="375"/>
      <c r="F139" s="375"/>
      <c r="G139" s="375"/>
      <c r="H139" s="375"/>
      <c r="I139" s="375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  <c r="AD139" s="375"/>
      <c r="AE139" s="375"/>
    </row>
    <row r="140" spans="4:31" x14ac:dyDescent="0.25">
      <c r="D140" s="375"/>
      <c r="E140" s="375"/>
      <c r="F140" s="375"/>
      <c r="G140" s="375"/>
      <c r="H140" s="375"/>
      <c r="I140" s="375"/>
      <c r="J140" s="375"/>
      <c r="K140" s="37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5"/>
      <c r="AC140" s="375"/>
      <c r="AD140" s="375"/>
      <c r="AE140" s="375"/>
    </row>
    <row r="141" spans="4:31" x14ac:dyDescent="0.25">
      <c r="D141" s="375"/>
      <c r="E141" s="375"/>
      <c r="F141" s="375"/>
      <c r="G141" s="375"/>
      <c r="H141" s="375"/>
      <c r="I141" s="375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375"/>
      <c r="AA141" s="375"/>
      <c r="AB141" s="375"/>
      <c r="AC141" s="375"/>
      <c r="AD141" s="375"/>
      <c r="AE141" s="375"/>
    </row>
    <row r="142" spans="4:31" x14ac:dyDescent="0.25">
      <c r="D142" s="375"/>
      <c r="E142" s="375"/>
      <c r="F142" s="375"/>
      <c r="G142" s="375"/>
      <c r="H142" s="375"/>
      <c r="I142" s="375"/>
      <c r="J142" s="375"/>
      <c r="K142" s="37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  <c r="Y142" s="375"/>
      <c r="Z142" s="375"/>
      <c r="AA142" s="375"/>
      <c r="AB142" s="375"/>
      <c r="AC142" s="375"/>
      <c r="AD142" s="375"/>
      <c r="AE142" s="375"/>
    </row>
    <row r="143" spans="4:31" x14ac:dyDescent="0.25">
      <c r="D143" s="375"/>
      <c r="E143" s="375"/>
      <c r="F143" s="375"/>
      <c r="G143" s="375"/>
      <c r="H143" s="375"/>
      <c r="I143" s="375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  <c r="AD143" s="375"/>
      <c r="AE143" s="375"/>
    </row>
    <row r="144" spans="4:31" x14ac:dyDescent="0.25">
      <c r="D144" s="375"/>
      <c r="E144" s="375"/>
      <c r="F144" s="375"/>
      <c r="G144" s="375"/>
      <c r="H144" s="375"/>
      <c r="I144" s="375"/>
      <c r="J144" s="375"/>
      <c r="K144" s="37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  <c r="Y144" s="375"/>
      <c r="Z144" s="375"/>
      <c r="AA144" s="375"/>
      <c r="AB144" s="375"/>
      <c r="AC144" s="375"/>
      <c r="AD144" s="375"/>
      <c r="AE144" s="375"/>
    </row>
    <row r="145" spans="4:31" x14ac:dyDescent="0.25">
      <c r="D145" s="375"/>
      <c r="E145" s="375"/>
      <c r="F145" s="375"/>
      <c r="G145" s="375"/>
      <c r="H145" s="375"/>
      <c r="I145" s="375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  <c r="Y145" s="375"/>
      <c r="Z145" s="375"/>
      <c r="AA145" s="375"/>
      <c r="AB145" s="375"/>
      <c r="AC145" s="375"/>
      <c r="AD145" s="375"/>
      <c r="AE145" s="375"/>
    </row>
    <row r="146" spans="4:31" x14ac:dyDescent="0.25">
      <c r="D146" s="375"/>
      <c r="E146" s="375"/>
      <c r="F146" s="375"/>
      <c r="G146" s="375"/>
      <c r="H146" s="375"/>
      <c r="I146" s="375"/>
      <c r="J146" s="375"/>
      <c r="K146" s="37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5"/>
      <c r="AC146" s="375"/>
      <c r="AD146" s="375"/>
      <c r="AE146" s="375"/>
    </row>
    <row r="147" spans="4:31" x14ac:dyDescent="0.25">
      <c r="D147" s="375"/>
      <c r="E147" s="375"/>
      <c r="F147" s="375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  <c r="AD147" s="375"/>
      <c r="AE147" s="375"/>
    </row>
    <row r="148" spans="4:31" x14ac:dyDescent="0.25">
      <c r="D148" s="375"/>
      <c r="E148" s="375"/>
      <c r="F148" s="375"/>
      <c r="G148" s="375"/>
      <c r="H148" s="375"/>
      <c r="I148" s="375"/>
      <c r="J148" s="375"/>
      <c r="K148" s="37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  <c r="Y148" s="375"/>
      <c r="Z148" s="375"/>
      <c r="AA148" s="375"/>
      <c r="AB148" s="375"/>
      <c r="AC148" s="375"/>
      <c r="AD148" s="375"/>
      <c r="AE148" s="375"/>
    </row>
    <row r="149" spans="4:31" x14ac:dyDescent="0.25">
      <c r="D149" s="375"/>
      <c r="E149" s="375"/>
      <c r="F149" s="375"/>
      <c r="G149" s="375"/>
      <c r="H149" s="375"/>
      <c r="I149" s="375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  <c r="Y149" s="375"/>
      <c r="Z149" s="375"/>
      <c r="AA149" s="375"/>
      <c r="AB149" s="375"/>
      <c r="AC149" s="375"/>
      <c r="AD149" s="375"/>
      <c r="AE149" s="375"/>
    </row>
    <row r="150" spans="4:31" x14ac:dyDescent="0.25">
      <c r="D150" s="375"/>
      <c r="E150" s="375"/>
      <c r="F150" s="375"/>
      <c r="G150" s="375"/>
      <c r="H150" s="375"/>
      <c r="I150" s="375"/>
      <c r="J150" s="375"/>
      <c r="K150" s="37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  <c r="Y150" s="375"/>
      <c r="Z150" s="375"/>
      <c r="AA150" s="375"/>
      <c r="AB150" s="375"/>
      <c r="AC150" s="375"/>
      <c r="AD150" s="375"/>
      <c r="AE150" s="375"/>
    </row>
    <row r="151" spans="4:31" x14ac:dyDescent="0.25">
      <c r="D151" s="375"/>
      <c r="E151" s="375"/>
      <c r="F151" s="375"/>
      <c r="G151" s="375"/>
      <c r="H151" s="375"/>
      <c r="I151" s="375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  <c r="Y151" s="375"/>
      <c r="Z151" s="375"/>
      <c r="AA151" s="375"/>
      <c r="AB151" s="375"/>
      <c r="AC151" s="375"/>
      <c r="AD151" s="375"/>
      <c r="AE151" s="375"/>
    </row>
    <row r="152" spans="4:31" x14ac:dyDescent="0.25">
      <c r="D152" s="375"/>
      <c r="E152" s="375"/>
      <c r="F152" s="375"/>
      <c r="G152" s="375"/>
      <c r="H152" s="375"/>
      <c r="I152" s="375"/>
      <c r="J152" s="375"/>
      <c r="K152" s="37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  <c r="Y152" s="375"/>
      <c r="Z152" s="375"/>
      <c r="AA152" s="375"/>
      <c r="AB152" s="375"/>
      <c r="AC152" s="375"/>
      <c r="AD152" s="375"/>
      <c r="AE152" s="375"/>
    </row>
    <row r="153" spans="4:31" x14ac:dyDescent="0.25">
      <c r="D153" s="375"/>
      <c r="E153" s="375"/>
      <c r="F153" s="375"/>
      <c r="G153" s="375"/>
      <c r="H153" s="375"/>
      <c r="I153" s="375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  <c r="AD153" s="375"/>
      <c r="AE153" s="375"/>
    </row>
    <row r="154" spans="4:31" x14ac:dyDescent="0.25">
      <c r="D154" s="375"/>
      <c r="E154" s="375"/>
      <c r="F154" s="375"/>
      <c r="G154" s="375"/>
      <c r="H154" s="375"/>
      <c r="I154" s="375"/>
      <c r="J154" s="375"/>
      <c r="K154" s="37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  <c r="Y154" s="375"/>
      <c r="Z154" s="375"/>
      <c r="AA154" s="375"/>
      <c r="AB154" s="375"/>
      <c r="AC154" s="375"/>
      <c r="AD154" s="375"/>
      <c r="AE154" s="375"/>
    </row>
    <row r="155" spans="4:31" x14ac:dyDescent="0.25">
      <c r="D155" s="375"/>
      <c r="E155" s="375"/>
      <c r="F155" s="375"/>
      <c r="G155" s="375"/>
      <c r="H155" s="375"/>
      <c r="I155" s="375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  <c r="Y155" s="375"/>
      <c r="Z155" s="375"/>
      <c r="AA155" s="375"/>
      <c r="AB155" s="375"/>
      <c r="AC155" s="375"/>
      <c r="AD155" s="375"/>
      <c r="AE155" s="375"/>
    </row>
    <row r="156" spans="4:31" x14ac:dyDescent="0.25">
      <c r="D156" s="375"/>
      <c r="E156" s="375"/>
      <c r="F156" s="375"/>
      <c r="G156" s="375"/>
      <c r="H156" s="375"/>
      <c r="I156" s="375"/>
      <c r="J156" s="375"/>
      <c r="K156" s="37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5"/>
      <c r="AC156" s="375"/>
      <c r="AD156" s="375"/>
      <c r="AE156" s="375"/>
    </row>
    <row r="157" spans="4:31" x14ac:dyDescent="0.25">
      <c r="D157" s="375"/>
      <c r="E157" s="375"/>
      <c r="F157" s="375"/>
      <c r="G157" s="375"/>
      <c r="H157" s="375"/>
      <c r="I157" s="375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  <c r="Y157" s="375"/>
      <c r="Z157" s="375"/>
      <c r="AA157" s="375"/>
      <c r="AB157" s="375"/>
      <c r="AC157" s="375"/>
      <c r="AD157" s="375"/>
      <c r="AE157" s="375"/>
    </row>
    <row r="158" spans="4:31" x14ac:dyDescent="0.25">
      <c r="D158" s="375"/>
      <c r="E158" s="375"/>
      <c r="F158" s="375"/>
      <c r="G158" s="375"/>
      <c r="H158" s="375"/>
      <c r="I158" s="375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  <c r="Y158" s="375"/>
      <c r="Z158" s="375"/>
      <c r="AA158" s="375"/>
      <c r="AB158" s="375"/>
      <c r="AC158" s="375"/>
      <c r="AD158" s="375"/>
      <c r="AE158" s="375"/>
    </row>
    <row r="159" spans="4:31" x14ac:dyDescent="0.25">
      <c r="D159" s="375"/>
      <c r="E159" s="375"/>
      <c r="F159" s="375"/>
      <c r="G159" s="375"/>
      <c r="H159" s="375"/>
      <c r="I159" s="375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  <c r="AD159" s="375"/>
      <c r="AE159" s="375"/>
    </row>
    <row r="160" spans="4:31" x14ac:dyDescent="0.25">
      <c r="D160" s="375"/>
      <c r="E160" s="375"/>
      <c r="F160" s="375"/>
      <c r="G160" s="375"/>
      <c r="H160" s="375"/>
      <c r="I160" s="375"/>
      <c r="J160" s="375"/>
      <c r="K160" s="37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  <c r="Y160" s="375"/>
      <c r="Z160" s="375"/>
      <c r="AA160" s="375"/>
      <c r="AB160" s="375"/>
      <c r="AC160" s="375"/>
      <c r="AD160" s="375"/>
      <c r="AE160" s="375"/>
    </row>
    <row r="161" spans="4:31" x14ac:dyDescent="0.25">
      <c r="D161" s="375"/>
      <c r="E161" s="375"/>
      <c r="F161" s="375"/>
      <c r="G161" s="375"/>
      <c r="H161" s="375"/>
      <c r="I161" s="375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  <c r="AD161" s="375"/>
      <c r="AE161" s="375"/>
    </row>
    <row r="162" spans="4:31" x14ac:dyDescent="0.25">
      <c r="D162" s="375"/>
      <c r="E162" s="375"/>
      <c r="F162" s="375"/>
      <c r="G162" s="375"/>
      <c r="H162" s="375"/>
      <c r="I162" s="375"/>
      <c r="J162" s="375"/>
      <c r="K162" s="37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  <c r="Y162" s="375"/>
      <c r="Z162" s="375"/>
      <c r="AA162" s="375"/>
      <c r="AB162" s="375"/>
      <c r="AC162" s="375"/>
      <c r="AD162" s="375"/>
      <c r="AE162" s="375"/>
    </row>
    <row r="163" spans="4:31" x14ac:dyDescent="0.25">
      <c r="D163" s="375"/>
      <c r="E163" s="375"/>
      <c r="F163" s="375"/>
      <c r="G163" s="375"/>
      <c r="H163" s="375"/>
      <c r="I163" s="375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  <c r="Y163" s="375"/>
      <c r="Z163" s="375"/>
      <c r="AA163" s="375"/>
      <c r="AB163" s="375"/>
      <c r="AC163" s="375"/>
      <c r="AD163" s="375"/>
      <c r="AE163" s="375"/>
    </row>
    <row r="164" spans="4:31" x14ac:dyDescent="0.25">
      <c r="D164" s="375"/>
      <c r="E164" s="375"/>
      <c r="F164" s="375"/>
      <c r="G164" s="375"/>
      <c r="H164" s="375"/>
      <c r="I164" s="375"/>
      <c r="J164" s="375"/>
      <c r="K164" s="37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  <c r="Y164" s="375"/>
      <c r="Z164" s="375"/>
      <c r="AA164" s="375"/>
      <c r="AB164" s="375"/>
      <c r="AC164" s="375"/>
      <c r="AD164" s="375"/>
      <c r="AE164" s="375"/>
    </row>
    <row r="165" spans="4:31" x14ac:dyDescent="0.25">
      <c r="D165" s="375"/>
      <c r="E165" s="375"/>
      <c r="F165" s="375"/>
      <c r="G165" s="375"/>
      <c r="H165" s="375"/>
      <c r="I165" s="375"/>
      <c r="J165" s="375"/>
      <c r="K165" s="37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  <c r="Y165" s="375"/>
      <c r="Z165" s="375"/>
      <c r="AA165" s="375"/>
      <c r="AB165" s="375"/>
      <c r="AC165" s="375"/>
      <c r="AD165" s="375"/>
      <c r="AE165" s="375"/>
    </row>
    <row r="166" spans="4:31" x14ac:dyDescent="0.25">
      <c r="D166" s="375"/>
      <c r="E166" s="375"/>
      <c r="F166" s="375"/>
      <c r="G166" s="375"/>
      <c r="H166" s="375"/>
      <c r="I166" s="375"/>
      <c r="J166" s="375"/>
      <c r="K166" s="37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  <c r="Y166" s="375"/>
      <c r="Z166" s="375"/>
      <c r="AA166" s="375"/>
      <c r="AB166" s="375"/>
      <c r="AC166" s="375"/>
      <c r="AD166" s="375"/>
      <c r="AE166" s="375"/>
    </row>
    <row r="167" spans="4:31" x14ac:dyDescent="0.25">
      <c r="D167" s="375"/>
      <c r="E167" s="375"/>
      <c r="F167" s="375"/>
      <c r="G167" s="375"/>
      <c r="H167" s="375"/>
      <c r="I167" s="375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  <c r="AD167" s="375"/>
      <c r="AE167" s="375"/>
    </row>
    <row r="168" spans="4:31" x14ac:dyDescent="0.25">
      <c r="D168" s="375"/>
      <c r="E168" s="375"/>
      <c r="F168" s="375"/>
      <c r="G168" s="375"/>
      <c r="H168" s="375"/>
      <c r="I168" s="375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  <c r="Y168" s="375"/>
      <c r="Z168" s="375"/>
      <c r="AA168" s="375"/>
      <c r="AB168" s="375"/>
      <c r="AC168" s="375"/>
      <c r="AD168" s="375"/>
      <c r="AE168" s="375"/>
    </row>
    <row r="169" spans="4:31" x14ac:dyDescent="0.25">
      <c r="D169" s="375"/>
      <c r="E169" s="375"/>
      <c r="F169" s="375"/>
      <c r="G169" s="375"/>
      <c r="H169" s="375"/>
      <c r="I169" s="375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  <c r="AD169" s="375"/>
      <c r="AE169" s="375"/>
    </row>
    <row r="170" spans="4:31" x14ac:dyDescent="0.25">
      <c r="D170" s="375"/>
      <c r="E170" s="375"/>
      <c r="F170" s="375"/>
      <c r="G170" s="375"/>
      <c r="H170" s="375"/>
      <c r="I170" s="375"/>
      <c r="J170" s="375"/>
      <c r="K170" s="37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  <c r="Y170" s="375"/>
      <c r="Z170" s="375"/>
      <c r="AA170" s="375"/>
      <c r="AB170" s="375"/>
      <c r="AC170" s="375"/>
      <c r="AD170" s="375"/>
      <c r="AE170" s="375"/>
    </row>
    <row r="171" spans="4:31" x14ac:dyDescent="0.25">
      <c r="D171" s="375"/>
      <c r="E171" s="375"/>
      <c r="F171" s="375"/>
      <c r="G171" s="375"/>
      <c r="H171" s="375"/>
      <c r="I171" s="375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  <c r="AD171" s="375"/>
      <c r="AE171" s="375"/>
    </row>
    <row r="172" spans="4:31" x14ac:dyDescent="0.25">
      <c r="D172" s="375"/>
      <c r="E172" s="375"/>
      <c r="F172" s="375"/>
      <c r="G172" s="375"/>
      <c r="H172" s="375"/>
      <c r="I172" s="375"/>
      <c r="J172" s="375"/>
      <c r="K172" s="37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5"/>
      <c r="AC172" s="375"/>
      <c r="AD172" s="375"/>
      <c r="AE172" s="375"/>
    </row>
    <row r="173" spans="4:31" x14ac:dyDescent="0.25">
      <c r="D173" s="375"/>
      <c r="E173" s="375"/>
      <c r="F173" s="375"/>
      <c r="G173" s="375"/>
      <c r="H173" s="375"/>
      <c r="I173" s="375"/>
      <c r="J173" s="375"/>
      <c r="K173" s="37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  <c r="Y173" s="375"/>
      <c r="Z173" s="375"/>
      <c r="AA173" s="375"/>
      <c r="AB173" s="375"/>
      <c r="AC173" s="375"/>
      <c r="AD173" s="375"/>
      <c r="AE173" s="375"/>
    </row>
    <row r="174" spans="4:31" x14ac:dyDescent="0.25">
      <c r="D174" s="375"/>
      <c r="E174" s="375"/>
      <c r="F174" s="375"/>
      <c r="G174" s="375"/>
      <c r="H174" s="375"/>
      <c r="I174" s="375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  <c r="Y174" s="375"/>
      <c r="Z174" s="375"/>
      <c r="AA174" s="375"/>
      <c r="AB174" s="375"/>
      <c r="AC174" s="375"/>
      <c r="AD174" s="375"/>
      <c r="AE174" s="375"/>
    </row>
    <row r="175" spans="4:31" x14ac:dyDescent="0.25">
      <c r="D175" s="375"/>
      <c r="E175" s="375"/>
      <c r="F175" s="375"/>
      <c r="G175" s="375"/>
      <c r="H175" s="375"/>
      <c r="I175" s="375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  <c r="AD175" s="375"/>
      <c r="AE175" s="375"/>
    </row>
    <row r="176" spans="4:31" x14ac:dyDescent="0.25">
      <c r="D176" s="375"/>
      <c r="E176" s="375"/>
      <c r="F176" s="375"/>
      <c r="G176" s="375"/>
      <c r="H176" s="375"/>
      <c r="I176" s="375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  <c r="Y176" s="375"/>
      <c r="Z176" s="375"/>
      <c r="AA176" s="375"/>
      <c r="AB176" s="375"/>
      <c r="AC176" s="375"/>
      <c r="AD176" s="375"/>
      <c r="AE176" s="375"/>
    </row>
    <row r="177" spans="4:31" x14ac:dyDescent="0.25">
      <c r="D177" s="375"/>
      <c r="E177" s="375"/>
      <c r="F177" s="375"/>
      <c r="G177" s="375"/>
      <c r="H177" s="375"/>
      <c r="I177" s="375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  <c r="AD177" s="375"/>
      <c r="AE177" s="375"/>
    </row>
    <row r="178" spans="4:31" x14ac:dyDescent="0.25">
      <c r="D178" s="375"/>
      <c r="E178" s="375"/>
      <c r="F178" s="375"/>
      <c r="G178" s="375"/>
      <c r="H178" s="375"/>
      <c r="I178" s="375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  <c r="Y178" s="375"/>
      <c r="Z178" s="375"/>
      <c r="AA178" s="375"/>
      <c r="AB178" s="375"/>
      <c r="AC178" s="375"/>
      <c r="AD178" s="375"/>
      <c r="AE178" s="375"/>
    </row>
    <row r="179" spans="4:31" x14ac:dyDescent="0.25">
      <c r="D179" s="375"/>
      <c r="E179" s="375"/>
      <c r="F179" s="375"/>
      <c r="G179" s="375"/>
      <c r="H179" s="375"/>
      <c r="I179" s="375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5"/>
      <c r="AC179" s="375"/>
      <c r="AD179" s="375"/>
      <c r="AE179" s="375"/>
    </row>
    <row r="180" spans="4:31" x14ac:dyDescent="0.25">
      <c r="D180" s="375"/>
      <c r="E180" s="375"/>
      <c r="F180" s="375"/>
      <c r="G180" s="375"/>
      <c r="H180" s="375"/>
      <c r="I180" s="375"/>
      <c r="J180" s="375"/>
      <c r="K180" s="37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  <c r="Y180" s="375"/>
      <c r="Z180" s="375"/>
      <c r="AA180" s="375"/>
      <c r="AB180" s="375"/>
      <c r="AC180" s="375"/>
      <c r="AD180" s="375"/>
      <c r="AE180" s="375"/>
    </row>
    <row r="181" spans="4:31" x14ac:dyDescent="0.25">
      <c r="D181" s="375"/>
      <c r="E181" s="375"/>
      <c r="F181" s="375"/>
      <c r="G181" s="375"/>
      <c r="H181" s="375"/>
      <c r="I181" s="375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  <c r="AD181" s="375"/>
      <c r="AE181" s="375"/>
    </row>
    <row r="182" spans="4:31" x14ac:dyDescent="0.25">
      <c r="D182" s="375"/>
      <c r="E182" s="375"/>
      <c r="F182" s="375"/>
      <c r="G182" s="375"/>
      <c r="H182" s="375"/>
      <c r="I182" s="375"/>
      <c r="J182" s="375"/>
      <c r="K182" s="37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  <c r="Y182" s="375"/>
      <c r="Z182" s="375"/>
      <c r="AA182" s="375"/>
      <c r="AB182" s="375"/>
      <c r="AC182" s="375"/>
      <c r="AD182" s="375"/>
      <c r="AE182" s="375"/>
    </row>
    <row r="183" spans="4:31" x14ac:dyDescent="0.25">
      <c r="D183" s="375"/>
      <c r="E183" s="375"/>
      <c r="F183" s="375"/>
      <c r="G183" s="375"/>
      <c r="H183" s="375"/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  <c r="AD183" s="375"/>
      <c r="AE183" s="375"/>
    </row>
    <row r="184" spans="4:31" x14ac:dyDescent="0.25">
      <c r="D184" s="375"/>
      <c r="E184" s="375"/>
      <c r="F184" s="375"/>
      <c r="G184" s="375"/>
      <c r="H184" s="375"/>
      <c r="I184" s="375"/>
      <c r="J184" s="375"/>
      <c r="K184" s="37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  <c r="Y184" s="375"/>
      <c r="Z184" s="375"/>
      <c r="AA184" s="375"/>
      <c r="AB184" s="375"/>
      <c r="AC184" s="375"/>
      <c r="AD184" s="375"/>
      <c r="AE184" s="375"/>
    </row>
    <row r="185" spans="4:31" x14ac:dyDescent="0.25">
      <c r="D185" s="375"/>
      <c r="E185" s="375"/>
      <c r="F185" s="375"/>
      <c r="G185" s="375"/>
      <c r="H185" s="375"/>
      <c r="I185" s="375"/>
      <c r="J185" s="375"/>
      <c r="K185" s="37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5"/>
      <c r="AC185" s="375"/>
      <c r="AD185" s="375"/>
      <c r="AE185" s="375"/>
    </row>
    <row r="186" spans="4:31" x14ac:dyDescent="0.25">
      <c r="D186" s="375"/>
      <c r="E186" s="375"/>
      <c r="F186" s="375"/>
      <c r="G186" s="375"/>
      <c r="H186" s="375"/>
      <c r="I186" s="375"/>
      <c r="J186" s="375"/>
      <c r="K186" s="37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  <c r="Y186" s="375"/>
      <c r="Z186" s="375"/>
      <c r="AA186" s="375"/>
      <c r="AB186" s="375"/>
      <c r="AC186" s="375"/>
      <c r="AD186" s="375"/>
      <c r="AE186" s="375"/>
    </row>
    <row r="187" spans="4:31" x14ac:dyDescent="0.25">
      <c r="D187" s="375"/>
      <c r="E187" s="375"/>
      <c r="F187" s="375"/>
      <c r="G187" s="375"/>
      <c r="H187" s="375"/>
      <c r="I187" s="375"/>
      <c r="J187" s="375"/>
      <c r="K187" s="37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  <c r="Y187" s="375"/>
      <c r="Z187" s="375"/>
      <c r="AA187" s="375"/>
      <c r="AB187" s="375"/>
      <c r="AC187" s="375"/>
      <c r="AD187" s="375"/>
      <c r="AE187" s="375"/>
    </row>
    <row r="188" spans="4:31" x14ac:dyDescent="0.25">
      <c r="D188" s="375"/>
      <c r="E188" s="375"/>
      <c r="F188" s="375"/>
      <c r="G188" s="375"/>
      <c r="H188" s="375"/>
      <c r="I188" s="375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  <c r="AD188" s="375"/>
      <c r="AE188" s="375"/>
    </row>
    <row r="189" spans="4:31" x14ac:dyDescent="0.25">
      <c r="D189" s="375"/>
      <c r="E189" s="375"/>
      <c r="F189" s="375"/>
      <c r="G189" s="375"/>
      <c r="H189" s="375"/>
      <c r="I189" s="375"/>
      <c r="J189" s="375"/>
      <c r="K189" s="37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  <c r="Y189" s="375"/>
      <c r="Z189" s="375"/>
      <c r="AA189" s="375"/>
      <c r="AB189" s="375"/>
      <c r="AC189" s="375"/>
      <c r="AD189" s="375"/>
      <c r="AE189" s="375"/>
    </row>
    <row r="190" spans="4:31" x14ac:dyDescent="0.25">
      <c r="D190" s="375"/>
      <c r="E190" s="375"/>
      <c r="F190" s="375"/>
      <c r="G190" s="375"/>
      <c r="H190" s="375"/>
      <c r="I190" s="375"/>
      <c r="J190" s="375"/>
      <c r="K190" s="375"/>
      <c r="L190" s="375"/>
      <c r="M190" s="375"/>
      <c r="N190" s="375"/>
      <c r="O190" s="375"/>
      <c r="P190" s="375"/>
      <c r="Q190" s="375"/>
      <c r="R190" s="375"/>
      <c r="S190" s="375"/>
      <c r="T190" s="375"/>
      <c r="U190" s="375"/>
      <c r="V190" s="375"/>
      <c r="W190" s="375"/>
      <c r="X190" s="375"/>
      <c r="Y190" s="375"/>
      <c r="Z190" s="375"/>
      <c r="AA190" s="375"/>
      <c r="AB190" s="375"/>
      <c r="AC190" s="375"/>
      <c r="AD190" s="375"/>
      <c r="AE190" s="375"/>
    </row>
    <row r="191" spans="4:31" x14ac:dyDescent="0.25">
      <c r="D191" s="375"/>
      <c r="E191" s="375"/>
      <c r="F191" s="375"/>
      <c r="G191" s="375"/>
      <c r="H191" s="375"/>
      <c r="I191" s="375"/>
      <c r="J191" s="375"/>
      <c r="K191" s="375"/>
      <c r="L191" s="375"/>
      <c r="M191" s="375"/>
      <c r="N191" s="375"/>
      <c r="O191" s="375"/>
      <c r="P191" s="375"/>
      <c r="Q191" s="375"/>
      <c r="R191" s="375"/>
      <c r="S191" s="375"/>
      <c r="T191" s="375"/>
      <c r="U191" s="375"/>
      <c r="V191" s="375"/>
      <c r="W191" s="375"/>
      <c r="X191" s="375"/>
      <c r="Y191" s="375"/>
      <c r="Z191" s="375"/>
      <c r="AA191" s="375"/>
      <c r="AB191" s="375"/>
      <c r="AC191" s="375"/>
      <c r="AD191" s="375"/>
      <c r="AE191" s="375"/>
    </row>
    <row r="192" spans="4:31" x14ac:dyDescent="0.25">
      <c r="D192" s="375"/>
      <c r="E192" s="375"/>
      <c r="F192" s="375"/>
      <c r="G192" s="375"/>
      <c r="H192" s="375"/>
      <c r="I192" s="375"/>
      <c r="J192" s="375"/>
      <c r="K192" s="375"/>
      <c r="L192" s="375"/>
      <c r="M192" s="375"/>
      <c r="N192" s="375"/>
      <c r="O192" s="375"/>
      <c r="P192" s="375"/>
      <c r="Q192" s="375"/>
      <c r="R192" s="375"/>
      <c r="S192" s="375"/>
      <c r="T192" s="375"/>
      <c r="U192" s="375"/>
      <c r="V192" s="375"/>
      <c r="W192" s="375"/>
      <c r="X192" s="375"/>
      <c r="Y192" s="375"/>
      <c r="Z192" s="375"/>
      <c r="AA192" s="375"/>
      <c r="AB192" s="375"/>
      <c r="AC192" s="375"/>
      <c r="AD192" s="375"/>
      <c r="AE192" s="375"/>
    </row>
    <row r="193" spans="4:31" x14ac:dyDescent="0.25">
      <c r="D193" s="375"/>
      <c r="E193" s="375"/>
      <c r="F193" s="375"/>
      <c r="G193" s="375"/>
      <c r="H193" s="375"/>
      <c r="I193" s="375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  <c r="Y193" s="375"/>
      <c r="Z193" s="375"/>
      <c r="AA193" s="375"/>
      <c r="AB193" s="375"/>
      <c r="AC193" s="375"/>
      <c r="AD193" s="375"/>
      <c r="AE193" s="375"/>
    </row>
    <row r="194" spans="4:31" x14ac:dyDescent="0.25">
      <c r="D194" s="375"/>
      <c r="E194" s="375"/>
      <c r="F194" s="375"/>
      <c r="G194" s="375"/>
      <c r="H194" s="375"/>
      <c r="I194" s="375"/>
      <c r="J194" s="375"/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  <c r="Y194" s="375"/>
      <c r="Z194" s="375"/>
      <c r="AA194" s="375"/>
      <c r="AB194" s="375"/>
      <c r="AC194" s="375"/>
      <c r="AD194" s="375"/>
      <c r="AE194" s="375"/>
    </row>
    <row r="195" spans="4:31" x14ac:dyDescent="0.25">
      <c r="D195" s="375"/>
      <c r="E195" s="375"/>
      <c r="F195" s="375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  <c r="S195" s="375"/>
      <c r="T195" s="375"/>
      <c r="U195" s="375"/>
      <c r="V195" s="375"/>
      <c r="W195" s="375"/>
      <c r="X195" s="375"/>
      <c r="Y195" s="375"/>
      <c r="Z195" s="375"/>
      <c r="AA195" s="375"/>
      <c r="AB195" s="375"/>
      <c r="AC195" s="375"/>
      <c r="AD195" s="375"/>
      <c r="AE195" s="375"/>
    </row>
    <row r="196" spans="4:31" x14ac:dyDescent="0.25">
      <c r="D196" s="375"/>
      <c r="E196" s="375"/>
      <c r="F196" s="375"/>
      <c r="G196" s="375"/>
      <c r="H196" s="375"/>
      <c r="I196" s="375"/>
      <c r="J196" s="375"/>
      <c r="K196" s="375"/>
      <c r="L196" s="375"/>
      <c r="M196" s="375"/>
      <c r="N196" s="375"/>
      <c r="O196" s="375"/>
      <c r="P196" s="375"/>
      <c r="Q196" s="375"/>
      <c r="R196" s="375"/>
      <c r="S196" s="375"/>
      <c r="T196" s="375"/>
      <c r="U196" s="375"/>
      <c r="V196" s="375"/>
      <c r="W196" s="375"/>
      <c r="X196" s="375"/>
      <c r="Y196" s="375"/>
      <c r="Z196" s="375"/>
      <c r="AA196" s="375"/>
      <c r="AB196" s="375"/>
      <c r="AC196" s="375"/>
      <c r="AD196" s="375"/>
      <c r="AE196" s="375"/>
    </row>
    <row r="197" spans="4:31" x14ac:dyDescent="0.25">
      <c r="D197" s="375"/>
      <c r="E197" s="375"/>
      <c r="F197" s="375"/>
      <c r="G197" s="375"/>
      <c r="H197" s="375"/>
      <c r="I197" s="375"/>
      <c r="J197" s="375"/>
      <c r="K197" s="375"/>
      <c r="L197" s="375"/>
      <c r="M197" s="375"/>
      <c r="N197" s="375"/>
      <c r="O197" s="375"/>
      <c r="P197" s="375"/>
      <c r="Q197" s="375"/>
      <c r="R197" s="375"/>
      <c r="S197" s="375"/>
      <c r="T197" s="375"/>
      <c r="U197" s="375"/>
      <c r="V197" s="375"/>
      <c r="W197" s="375"/>
      <c r="X197" s="375"/>
      <c r="Y197" s="375"/>
      <c r="Z197" s="375"/>
      <c r="AA197" s="375"/>
      <c r="AB197" s="375"/>
      <c r="AC197" s="375"/>
      <c r="AD197" s="375"/>
      <c r="AE197" s="375"/>
    </row>
    <row r="198" spans="4:31" x14ac:dyDescent="0.25">
      <c r="D198" s="375"/>
      <c r="E198" s="375"/>
      <c r="F198" s="375"/>
      <c r="G198" s="375"/>
      <c r="H198" s="375"/>
      <c r="I198" s="375"/>
      <c r="J198" s="375"/>
      <c r="K198" s="375"/>
      <c r="L198" s="375"/>
      <c r="M198" s="375"/>
      <c r="N198" s="375"/>
      <c r="O198" s="375"/>
      <c r="P198" s="375"/>
      <c r="Q198" s="375"/>
      <c r="R198" s="375"/>
      <c r="S198" s="375"/>
      <c r="T198" s="375"/>
      <c r="U198" s="375"/>
      <c r="V198" s="375"/>
      <c r="W198" s="375"/>
      <c r="X198" s="375"/>
      <c r="Y198" s="375"/>
      <c r="Z198" s="375"/>
      <c r="AA198" s="375"/>
      <c r="AB198" s="375"/>
      <c r="AC198" s="375"/>
      <c r="AD198" s="375"/>
      <c r="AE198" s="375"/>
    </row>
    <row r="199" spans="4:31" x14ac:dyDescent="0.25">
      <c r="D199" s="375"/>
      <c r="E199" s="375"/>
      <c r="F199" s="375"/>
      <c r="G199" s="375"/>
      <c r="H199" s="375"/>
      <c r="I199" s="375"/>
      <c r="J199" s="375"/>
      <c r="K199" s="375"/>
      <c r="L199" s="375"/>
      <c r="M199" s="375"/>
      <c r="N199" s="375"/>
      <c r="O199" s="375"/>
      <c r="P199" s="375"/>
      <c r="Q199" s="375"/>
      <c r="R199" s="375"/>
      <c r="S199" s="375"/>
      <c r="T199" s="375"/>
      <c r="U199" s="375"/>
      <c r="V199" s="375"/>
      <c r="W199" s="375"/>
      <c r="X199" s="375"/>
      <c r="Y199" s="375"/>
      <c r="Z199" s="375"/>
      <c r="AA199" s="375"/>
      <c r="AB199" s="375"/>
      <c r="AC199" s="375"/>
      <c r="AD199" s="375"/>
      <c r="AE199" s="375"/>
    </row>
    <row r="200" spans="4:31" x14ac:dyDescent="0.25">
      <c r="D200" s="375"/>
      <c r="E200" s="375"/>
      <c r="F200" s="375"/>
      <c r="G200" s="375"/>
      <c r="H200" s="375"/>
      <c r="I200" s="375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  <c r="Y200" s="375"/>
      <c r="Z200" s="375"/>
      <c r="AA200" s="375"/>
      <c r="AB200" s="375"/>
      <c r="AC200" s="375"/>
      <c r="AD200" s="375"/>
      <c r="AE200" s="375"/>
    </row>
    <row r="201" spans="4:31" x14ac:dyDescent="0.25">
      <c r="D201" s="375"/>
      <c r="E201" s="375"/>
      <c r="F201" s="375"/>
      <c r="G201" s="375"/>
      <c r="H201" s="375"/>
      <c r="I201" s="375"/>
      <c r="J201" s="375"/>
      <c r="K201" s="375"/>
      <c r="L201" s="375"/>
      <c r="M201" s="375"/>
      <c r="N201" s="375"/>
      <c r="O201" s="375"/>
      <c r="P201" s="375"/>
      <c r="Q201" s="375"/>
      <c r="R201" s="375"/>
      <c r="S201" s="375"/>
      <c r="T201" s="375"/>
      <c r="U201" s="375"/>
      <c r="V201" s="375"/>
      <c r="W201" s="375"/>
      <c r="X201" s="375"/>
      <c r="Y201" s="375"/>
      <c r="Z201" s="375"/>
      <c r="AA201" s="375"/>
      <c r="AB201" s="375"/>
      <c r="AC201" s="375"/>
      <c r="AD201" s="375"/>
      <c r="AE201" s="375"/>
    </row>
    <row r="202" spans="4:31" x14ac:dyDescent="0.25">
      <c r="D202" s="375"/>
      <c r="E202" s="375"/>
      <c r="F202" s="375"/>
      <c r="G202" s="375"/>
      <c r="H202" s="375"/>
      <c r="I202" s="375"/>
      <c r="J202" s="375"/>
      <c r="K202" s="375"/>
      <c r="L202" s="375"/>
      <c r="M202" s="375"/>
      <c r="N202" s="375"/>
      <c r="O202" s="375"/>
      <c r="P202" s="375"/>
      <c r="Q202" s="375"/>
      <c r="R202" s="375"/>
      <c r="S202" s="375"/>
      <c r="T202" s="375"/>
      <c r="U202" s="375"/>
      <c r="V202" s="375"/>
      <c r="W202" s="375"/>
      <c r="X202" s="375"/>
      <c r="Y202" s="375"/>
      <c r="Z202" s="375"/>
      <c r="AA202" s="375"/>
      <c r="AB202" s="375"/>
      <c r="AC202" s="375"/>
      <c r="AD202" s="375"/>
      <c r="AE202" s="375"/>
    </row>
    <row r="203" spans="4:31" x14ac:dyDescent="0.25">
      <c r="D203" s="375"/>
      <c r="E203" s="375"/>
      <c r="F203" s="375"/>
      <c r="G203" s="375"/>
      <c r="H203" s="375"/>
      <c r="I203" s="375"/>
      <c r="J203" s="375"/>
      <c r="K203" s="375"/>
      <c r="L203" s="375"/>
      <c r="M203" s="375"/>
      <c r="N203" s="375"/>
      <c r="O203" s="375"/>
      <c r="P203" s="375"/>
      <c r="Q203" s="375"/>
      <c r="R203" s="375"/>
      <c r="S203" s="375"/>
      <c r="T203" s="375"/>
      <c r="U203" s="375"/>
      <c r="V203" s="375"/>
      <c r="W203" s="375"/>
      <c r="X203" s="375"/>
      <c r="Y203" s="375"/>
      <c r="Z203" s="375"/>
      <c r="AA203" s="375"/>
      <c r="AB203" s="375"/>
      <c r="AC203" s="375"/>
      <c r="AD203" s="375"/>
      <c r="AE203" s="375"/>
    </row>
    <row r="204" spans="4:31" x14ac:dyDescent="0.25">
      <c r="D204" s="375"/>
      <c r="E204" s="375"/>
      <c r="F204" s="375"/>
      <c r="G204" s="375"/>
      <c r="H204" s="375"/>
      <c r="I204" s="375"/>
      <c r="J204" s="375"/>
      <c r="K204" s="375"/>
      <c r="L204" s="375"/>
      <c r="M204" s="375"/>
      <c r="N204" s="375"/>
      <c r="O204" s="375"/>
      <c r="P204" s="375"/>
      <c r="Q204" s="375"/>
      <c r="R204" s="375"/>
      <c r="S204" s="375"/>
      <c r="T204" s="375"/>
      <c r="U204" s="375"/>
      <c r="V204" s="375"/>
      <c r="W204" s="375"/>
      <c r="X204" s="375"/>
      <c r="Y204" s="375"/>
      <c r="Z204" s="375"/>
      <c r="AA204" s="375"/>
      <c r="AB204" s="375"/>
      <c r="AC204" s="375"/>
      <c r="AD204" s="375"/>
      <c r="AE204" s="375"/>
    </row>
    <row r="205" spans="4:31" x14ac:dyDescent="0.25">
      <c r="D205" s="375"/>
      <c r="E205" s="375"/>
      <c r="F205" s="375"/>
      <c r="G205" s="375"/>
      <c r="H205" s="375"/>
      <c r="I205" s="375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  <c r="Y205" s="375"/>
      <c r="Z205" s="375"/>
      <c r="AA205" s="375"/>
      <c r="AB205" s="375"/>
      <c r="AC205" s="375"/>
      <c r="AD205" s="375"/>
      <c r="AE205" s="375"/>
    </row>
    <row r="206" spans="4:31" x14ac:dyDescent="0.25">
      <c r="D206" s="375"/>
      <c r="E206" s="375"/>
      <c r="F206" s="375"/>
      <c r="G206" s="375"/>
      <c r="H206" s="375"/>
      <c r="I206" s="375"/>
      <c r="J206" s="375"/>
      <c r="K206" s="375"/>
      <c r="L206" s="375"/>
      <c r="M206" s="375"/>
      <c r="N206" s="375"/>
      <c r="O206" s="375"/>
      <c r="P206" s="375"/>
      <c r="Q206" s="375"/>
      <c r="R206" s="375"/>
      <c r="S206" s="375"/>
      <c r="T206" s="375"/>
      <c r="U206" s="375"/>
      <c r="V206" s="375"/>
      <c r="W206" s="375"/>
      <c r="X206" s="375"/>
      <c r="Y206" s="375"/>
      <c r="Z206" s="375"/>
      <c r="AA206" s="375"/>
      <c r="AB206" s="375"/>
      <c r="AC206" s="375"/>
      <c r="AD206" s="375"/>
      <c r="AE206" s="375"/>
    </row>
    <row r="207" spans="4:31" x14ac:dyDescent="0.25">
      <c r="D207" s="375"/>
      <c r="E207" s="375"/>
      <c r="F207" s="375"/>
      <c r="G207" s="375"/>
      <c r="H207" s="375"/>
      <c r="I207" s="375"/>
      <c r="J207" s="375"/>
      <c r="K207" s="375"/>
      <c r="L207" s="375"/>
      <c r="M207" s="375"/>
      <c r="N207" s="375"/>
      <c r="O207" s="375"/>
      <c r="P207" s="375"/>
      <c r="Q207" s="375"/>
      <c r="R207" s="375"/>
      <c r="S207" s="375"/>
      <c r="T207" s="375"/>
      <c r="U207" s="375"/>
      <c r="V207" s="375"/>
      <c r="W207" s="375"/>
      <c r="X207" s="375"/>
      <c r="Y207" s="375"/>
      <c r="Z207" s="375"/>
      <c r="AA207" s="375"/>
      <c r="AB207" s="375"/>
      <c r="AC207" s="375"/>
      <c r="AD207" s="375"/>
      <c r="AE207" s="375"/>
    </row>
    <row r="208" spans="4:31" x14ac:dyDescent="0.25">
      <c r="D208" s="375"/>
      <c r="E208" s="375"/>
      <c r="F208" s="375"/>
      <c r="G208" s="375"/>
      <c r="H208" s="375"/>
      <c r="I208" s="375"/>
      <c r="J208" s="375"/>
      <c r="K208" s="375"/>
      <c r="L208" s="375"/>
      <c r="M208" s="375"/>
      <c r="N208" s="375"/>
      <c r="O208" s="375"/>
      <c r="P208" s="375"/>
      <c r="Q208" s="375"/>
      <c r="R208" s="375"/>
      <c r="S208" s="375"/>
      <c r="T208" s="375"/>
      <c r="U208" s="375"/>
      <c r="V208" s="375"/>
      <c r="W208" s="375"/>
      <c r="X208" s="375"/>
      <c r="Y208" s="375"/>
      <c r="Z208" s="375"/>
      <c r="AA208" s="375"/>
      <c r="AB208" s="375"/>
      <c r="AC208" s="375"/>
      <c r="AD208" s="375"/>
      <c r="AE208" s="375"/>
    </row>
    <row r="209" spans="4:31" x14ac:dyDescent="0.25">
      <c r="D209" s="375"/>
      <c r="E209" s="375"/>
      <c r="F209" s="375"/>
      <c r="G209" s="375"/>
      <c r="H209" s="375"/>
      <c r="I209" s="375"/>
      <c r="J209" s="375"/>
      <c r="K209" s="375"/>
      <c r="L209" s="375"/>
      <c r="M209" s="375"/>
      <c r="N209" s="375"/>
      <c r="O209" s="375"/>
      <c r="P209" s="375"/>
      <c r="Q209" s="375"/>
      <c r="R209" s="375"/>
      <c r="S209" s="375"/>
      <c r="T209" s="375"/>
      <c r="U209" s="375"/>
      <c r="V209" s="375"/>
      <c r="W209" s="375"/>
      <c r="X209" s="375"/>
      <c r="Y209" s="375"/>
      <c r="Z209" s="375"/>
      <c r="AA209" s="375"/>
      <c r="AB209" s="375"/>
      <c r="AC209" s="375"/>
      <c r="AD209" s="375"/>
      <c r="AE209" s="375"/>
    </row>
    <row r="210" spans="4:31" x14ac:dyDescent="0.25">
      <c r="D210" s="375"/>
      <c r="E210" s="375"/>
      <c r="F210" s="375"/>
      <c r="G210" s="375"/>
      <c r="H210" s="375"/>
      <c r="I210" s="375"/>
      <c r="J210" s="375"/>
      <c r="K210" s="375"/>
      <c r="L210" s="375"/>
      <c r="M210" s="375"/>
      <c r="N210" s="375"/>
      <c r="O210" s="375"/>
      <c r="P210" s="375"/>
      <c r="Q210" s="375"/>
      <c r="R210" s="375"/>
      <c r="S210" s="375"/>
      <c r="T210" s="375"/>
      <c r="U210" s="375"/>
      <c r="V210" s="375"/>
      <c r="W210" s="375"/>
      <c r="X210" s="375"/>
      <c r="Y210" s="375"/>
      <c r="Z210" s="375"/>
      <c r="AA210" s="375"/>
      <c r="AB210" s="375"/>
      <c r="AC210" s="375"/>
      <c r="AD210" s="375"/>
      <c r="AE210" s="375"/>
    </row>
    <row r="211" spans="4:31" x14ac:dyDescent="0.25">
      <c r="D211" s="375"/>
      <c r="E211" s="375"/>
      <c r="F211" s="375"/>
      <c r="G211" s="375"/>
      <c r="H211" s="375"/>
      <c r="I211" s="375"/>
      <c r="J211" s="375"/>
      <c r="K211" s="375"/>
      <c r="L211" s="375"/>
      <c r="M211" s="375"/>
      <c r="N211" s="375"/>
      <c r="O211" s="375"/>
      <c r="P211" s="375"/>
      <c r="Q211" s="375"/>
      <c r="R211" s="375"/>
      <c r="S211" s="375"/>
      <c r="T211" s="375"/>
      <c r="U211" s="375"/>
      <c r="V211" s="375"/>
      <c r="W211" s="375"/>
      <c r="X211" s="375"/>
      <c r="Y211" s="375"/>
      <c r="Z211" s="375"/>
      <c r="AA211" s="375"/>
      <c r="AB211" s="375"/>
      <c r="AC211" s="375"/>
      <c r="AD211" s="375"/>
      <c r="AE211" s="375"/>
    </row>
    <row r="212" spans="4:31" x14ac:dyDescent="0.25">
      <c r="D212" s="375"/>
      <c r="E212" s="375"/>
      <c r="F212" s="375"/>
      <c r="G212" s="375"/>
      <c r="H212" s="375"/>
      <c r="I212" s="375"/>
      <c r="J212" s="375"/>
      <c r="K212" s="375"/>
      <c r="L212" s="375"/>
      <c r="M212" s="375"/>
      <c r="N212" s="375"/>
      <c r="O212" s="375"/>
      <c r="P212" s="375"/>
      <c r="Q212" s="375"/>
      <c r="R212" s="375"/>
      <c r="S212" s="375"/>
      <c r="T212" s="375"/>
      <c r="U212" s="375"/>
      <c r="V212" s="375"/>
      <c r="W212" s="375"/>
      <c r="X212" s="375"/>
      <c r="Y212" s="375"/>
      <c r="Z212" s="375"/>
      <c r="AA212" s="375"/>
      <c r="AB212" s="375"/>
      <c r="AC212" s="375"/>
      <c r="AD212" s="375"/>
      <c r="AE212" s="375"/>
    </row>
    <row r="213" spans="4:31" x14ac:dyDescent="0.25">
      <c r="D213" s="375"/>
      <c r="E213" s="375"/>
      <c r="F213" s="375"/>
      <c r="G213" s="375"/>
      <c r="H213" s="375"/>
      <c r="I213" s="375"/>
      <c r="J213" s="375"/>
      <c r="K213" s="375"/>
      <c r="L213" s="375"/>
      <c r="M213" s="375"/>
      <c r="N213" s="375"/>
      <c r="O213" s="375"/>
      <c r="P213" s="375"/>
      <c r="Q213" s="375"/>
      <c r="R213" s="375"/>
      <c r="S213" s="375"/>
      <c r="T213" s="375"/>
      <c r="U213" s="375"/>
      <c r="V213" s="375"/>
      <c r="W213" s="375"/>
      <c r="X213" s="375"/>
      <c r="Y213" s="375"/>
      <c r="Z213" s="375"/>
      <c r="AA213" s="375"/>
      <c r="AB213" s="375"/>
      <c r="AC213" s="375"/>
      <c r="AD213" s="375"/>
      <c r="AE213" s="375"/>
    </row>
    <row r="214" spans="4:31" x14ac:dyDescent="0.25">
      <c r="D214" s="375"/>
      <c r="E214" s="375"/>
      <c r="F214" s="375"/>
      <c r="G214" s="375"/>
      <c r="H214" s="375"/>
      <c r="I214" s="375"/>
      <c r="J214" s="375"/>
      <c r="K214" s="375"/>
      <c r="L214" s="375"/>
      <c r="M214" s="375"/>
      <c r="N214" s="375"/>
      <c r="O214" s="375"/>
      <c r="P214" s="375"/>
      <c r="Q214" s="375"/>
      <c r="R214" s="375"/>
      <c r="S214" s="375"/>
      <c r="T214" s="375"/>
      <c r="U214" s="375"/>
      <c r="V214" s="375"/>
      <c r="W214" s="375"/>
      <c r="X214" s="375"/>
      <c r="Y214" s="375"/>
      <c r="Z214" s="375"/>
      <c r="AA214" s="375"/>
      <c r="AB214" s="375"/>
      <c r="AC214" s="375"/>
      <c r="AD214" s="375"/>
      <c r="AE214" s="375"/>
    </row>
    <row r="215" spans="4:31" x14ac:dyDescent="0.25">
      <c r="D215" s="375"/>
      <c r="E215" s="375"/>
      <c r="F215" s="375"/>
      <c r="G215" s="375"/>
      <c r="H215" s="375"/>
      <c r="I215" s="375"/>
      <c r="J215" s="375"/>
      <c r="K215" s="375"/>
      <c r="L215" s="375"/>
      <c r="M215" s="375"/>
      <c r="N215" s="375"/>
      <c r="O215" s="375"/>
      <c r="P215" s="375"/>
      <c r="Q215" s="375"/>
      <c r="R215" s="375"/>
      <c r="S215" s="375"/>
      <c r="T215" s="375"/>
      <c r="U215" s="375"/>
      <c r="V215" s="375"/>
      <c r="W215" s="375"/>
      <c r="X215" s="375"/>
      <c r="Y215" s="375"/>
      <c r="Z215" s="375"/>
      <c r="AA215" s="375"/>
      <c r="AB215" s="375"/>
      <c r="AC215" s="375"/>
      <c r="AD215" s="375"/>
      <c r="AE215" s="375"/>
    </row>
    <row r="216" spans="4:31" x14ac:dyDescent="0.25">
      <c r="D216" s="375"/>
      <c r="E216" s="375"/>
      <c r="F216" s="375"/>
      <c r="G216" s="375"/>
      <c r="H216" s="375"/>
      <c r="I216" s="375"/>
      <c r="J216" s="375"/>
      <c r="K216" s="375"/>
      <c r="L216" s="375"/>
      <c r="M216" s="375"/>
      <c r="N216" s="375"/>
      <c r="O216" s="375"/>
      <c r="P216" s="375"/>
      <c r="Q216" s="375"/>
      <c r="R216" s="375"/>
      <c r="S216" s="375"/>
      <c r="T216" s="375"/>
      <c r="U216" s="375"/>
      <c r="V216" s="375"/>
      <c r="W216" s="375"/>
      <c r="X216" s="375"/>
      <c r="Y216" s="375"/>
      <c r="Z216" s="375"/>
      <c r="AA216" s="375"/>
      <c r="AB216" s="375"/>
      <c r="AC216" s="375"/>
      <c r="AD216" s="375"/>
      <c r="AE216" s="375"/>
    </row>
    <row r="217" spans="4:31" x14ac:dyDescent="0.25">
      <c r="D217" s="375"/>
      <c r="E217" s="375"/>
      <c r="F217" s="375"/>
      <c r="G217" s="375"/>
      <c r="H217" s="375"/>
      <c r="I217" s="375"/>
      <c r="J217" s="375"/>
      <c r="K217" s="375"/>
      <c r="L217" s="375"/>
      <c r="M217" s="375"/>
      <c r="N217" s="375"/>
      <c r="O217" s="375"/>
      <c r="P217" s="375"/>
      <c r="Q217" s="375"/>
      <c r="R217" s="375"/>
      <c r="S217" s="375"/>
      <c r="T217" s="375"/>
      <c r="U217" s="375"/>
      <c r="V217" s="375"/>
      <c r="W217" s="375"/>
      <c r="X217" s="375"/>
      <c r="Y217" s="375"/>
      <c r="Z217" s="375"/>
      <c r="AA217" s="375"/>
      <c r="AB217" s="375"/>
      <c r="AC217" s="375"/>
      <c r="AD217" s="375"/>
      <c r="AE217" s="375"/>
    </row>
    <row r="218" spans="4:31" x14ac:dyDescent="0.25">
      <c r="D218" s="375"/>
      <c r="E218" s="375"/>
      <c r="F218" s="375"/>
      <c r="G218" s="375"/>
      <c r="H218" s="375"/>
      <c r="I218" s="375"/>
      <c r="J218" s="375"/>
      <c r="K218" s="375"/>
      <c r="L218" s="375"/>
      <c r="M218" s="375"/>
      <c r="N218" s="375"/>
      <c r="O218" s="375"/>
      <c r="P218" s="375"/>
      <c r="Q218" s="375"/>
      <c r="R218" s="375"/>
      <c r="S218" s="375"/>
      <c r="T218" s="375"/>
      <c r="U218" s="375"/>
      <c r="V218" s="375"/>
      <c r="W218" s="375"/>
      <c r="X218" s="375"/>
      <c r="Y218" s="375"/>
      <c r="Z218" s="375"/>
      <c r="AA218" s="375"/>
      <c r="AB218" s="375"/>
      <c r="AC218" s="375"/>
      <c r="AD218" s="375"/>
      <c r="AE218" s="375"/>
    </row>
    <row r="219" spans="4:31" x14ac:dyDescent="0.25">
      <c r="D219" s="375"/>
      <c r="E219" s="375"/>
      <c r="F219" s="375"/>
      <c r="G219" s="375"/>
      <c r="H219" s="375"/>
      <c r="I219" s="375"/>
      <c r="J219" s="375"/>
      <c r="K219" s="375"/>
      <c r="L219" s="375"/>
      <c r="M219" s="375"/>
      <c r="N219" s="375"/>
      <c r="O219" s="375"/>
      <c r="P219" s="375"/>
      <c r="Q219" s="375"/>
      <c r="R219" s="375"/>
      <c r="S219" s="375"/>
      <c r="T219" s="375"/>
      <c r="U219" s="375"/>
      <c r="V219" s="375"/>
      <c r="W219" s="375"/>
      <c r="X219" s="375"/>
      <c r="Y219" s="375"/>
      <c r="Z219" s="375"/>
      <c r="AA219" s="375"/>
      <c r="AB219" s="375"/>
      <c r="AC219" s="375"/>
      <c r="AD219" s="375"/>
      <c r="AE219" s="375"/>
    </row>
    <row r="220" spans="4:31" x14ac:dyDescent="0.25">
      <c r="D220" s="375"/>
      <c r="E220" s="375"/>
      <c r="F220" s="375"/>
      <c r="G220" s="375"/>
      <c r="H220" s="375"/>
      <c r="I220" s="375"/>
      <c r="J220" s="375"/>
      <c r="K220" s="375"/>
      <c r="L220" s="375"/>
      <c r="M220" s="375"/>
      <c r="N220" s="375"/>
      <c r="O220" s="375"/>
      <c r="P220" s="375"/>
      <c r="Q220" s="375"/>
      <c r="R220" s="375"/>
      <c r="S220" s="375"/>
      <c r="T220" s="375"/>
      <c r="U220" s="375"/>
      <c r="V220" s="375"/>
      <c r="W220" s="375"/>
      <c r="X220" s="375"/>
      <c r="Y220" s="375"/>
      <c r="Z220" s="375"/>
      <c r="AA220" s="375"/>
      <c r="AB220" s="375"/>
      <c r="AC220" s="375"/>
      <c r="AD220" s="375"/>
      <c r="AE220" s="375"/>
    </row>
    <row r="221" spans="4:31" x14ac:dyDescent="0.25">
      <c r="D221" s="375"/>
      <c r="E221" s="375"/>
      <c r="F221" s="375"/>
      <c r="G221" s="375"/>
      <c r="H221" s="375"/>
      <c r="I221" s="375"/>
      <c r="J221" s="375"/>
      <c r="K221" s="375"/>
      <c r="L221" s="375"/>
      <c r="M221" s="375"/>
      <c r="N221" s="375"/>
      <c r="O221" s="375"/>
      <c r="P221" s="375"/>
      <c r="Q221" s="375"/>
      <c r="R221" s="375"/>
      <c r="S221" s="375"/>
      <c r="T221" s="375"/>
      <c r="U221" s="375"/>
      <c r="V221" s="375"/>
      <c r="W221" s="375"/>
      <c r="X221" s="375"/>
      <c r="Y221" s="375"/>
      <c r="Z221" s="375"/>
      <c r="AA221" s="375"/>
      <c r="AB221" s="375"/>
      <c r="AC221" s="375"/>
      <c r="AD221" s="375"/>
      <c r="AE221" s="375"/>
    </row>
    <row r="222" spans="4:31" x14ac:dyDescent="0.25">
      <c r="D222" s="375"/>
      <c r="E222" s="375"/>
      <c r="F222" s="375"/>
      <c r="G222" s="375"/>
      <c r="H222" s="375"/>
      <c r="I222" s="375"/>
      <c r="J222" s="375"/>
      <c r="K222" s="375"/>
      <c r="L222" s="375"/>
      <c r="M222" s="375"/>
      <c r="N222" s="375"/>
      <c r="O222" s="375"/>
      <c r="P222" s="375"/>
      <c r="Q222" s="375"/>
      <c r="R222" s="375"/>
      <c r="S222" s="375"/>
      <c r="T222" s="375"/>
      <c r="U222" s="375"/>
      <c r="V222" s="375"/>
      <c r="W222" s="375"/>
      <c r="X222" s="375"/>
      <c r="Y222" s="375"/>
      <c r="Z222" s="375"/>
      <c r="AA222" s="375"/>
      <c r="AB222" s="375"/>
      <c r="AC222" s="375"/>
      <c r="AD222" s="375"/>
      <c r="AE222" s="375"/>
    </row>
    <row r="223" spans="4:31" x14ac:dyDescent="0.25">
      <c r="D223" s="375"/>
      <c r="E223" s="375"/>
      <c r="F223" s="375"/>
      <c r="G223" s="375"/>
      <c r="H223" s="375"/>
      <c r="I223" s="375"/>
      <c r="J223" s="375"/>
      <c r="K223" s="375"/>
      <c r="L223" s="375"/>
      <c r="M223" s="375"/>
      <c r="N223" s="375"/>
      <c r="O223" s="375"/>
      <c r="P223" s="375"/>
      <c r="Q223" s="375"/>
      <c r="R223" s="375"/>
      <c r="S223" s="375"/>
      <c r="T223" s="375"/>
      <c r="U223" s="375"/>
      <c r="V223" s="375"/>
      <c r="W223" s="375"/>
      <c r="X223" s="375"/>
      <c r="Y223" s="375"/>
      <c r="Z223" s="375"/>
      <c r="AA223" s="375"/>
      <c r="AB223" s="375"/>
      <c r="AC223" s="375"/>
      <c r="AD223" s="375"/>
      <c r="AE223" s="375"/>
    </row>
    <row r="224" spans="4:31" x14ac:dyDescent="0.25">
      <c r="D224" s="375"/>
      <c r="E224" s="375"/>
      <c r="F224" s="375"/>
      <c r="G224" s="375"/>
      <c r="H224" s="375"/>
      <c r="I224" s="375"/>
      <c r="J224" s="375"/>
      <c r="K224" s="375"/>
      <c r="L224" s="375"/>
      <c r="M224" s="375"/>
      <c r="N224" s="375"/>
      <c r="O224" s="375"/>
      <c r="P224" s="375"/>
      <c r="Q224" s="375"/>
      <c r="R224" s="375"/>
      <c r="S224" s="375"/>
      <c r="T224" s="375"/>
      <c r="U224" s="375"/>
      <c r="V224" s="375"/>
      <c r="W224" s="375"/>
      <c r="X224" s="375"/>
      <c r="Y224" s="375"/>
      <c r="Z224" s="375"/>
      <c r="AA224" s="375"/>
      <c r="AB224" s="375"/>
      <c r="AC224" s="375"/>
      <c r="AD224" s="375"/>
      <c r="AE224" s="375"/>
    </row>
    <row r="225" spans="4:31" x14ac:dyDescent="0.25">
      <c r="D225" s="375"/>
      <c r="E225" s="375"/>
      <c r="F225" s="375"/>
      <c r="G225" s="375"/>
      <c r="H225" s="375"/>
      <c r="I225" s="375"/>
      <c r="J225" s="375"/>
      <c r="K225" s="375"/>
      <c r="L225" s="375"/>
      <c r="M225" s="375"/>
      <c r="N225" s="375"/>
      <c r="O225" s="375"/>
      <c r="P225" s="375"/>
      <c r="Q225" s="375"/>
      <c r="R225" s="375"/>
      <c r="S225" s="375"/>
      <c r="T225" s="375"/>
      <c r="U225" s="375"/>
      <c r="V225" s="375"/>
      <c r="W225" s="375"/>
      <c r="X225" s="375"/>
      <c r="Y225" s="375"/>
      <c r="Z225" s="375"/>
      <c r="AA225" s="375"/>
      <c r="AB225" s="375"/>
      <c r="AC225" s="375"/>
      <c r="AD225" s="375"/>
      <c r="AE225" s="375"/>
    </row>
    <row r="226" spans="4:31" x14ac:dyDescent="0.25">
      <c r="D226" s="375"/>
      <c r="E226" s="375"/>
      <c r="F226" s="375"/>
      <c r="G226" s="375"/>
      <c r="H226" s="375"/>
      <c r="I226" s="375"/>
      <c r="J226" s="375"/>
      <c r="K226" s="375"/>
      <c r="L226" s="375"/>
      <c r="M226" s="375"/>
      <c r="N226" s="375"/>
      <c r="O226" s="375"/>
      <c r="P226" s="375"/>
      <c r="Q226" s="375"/>
      <c r="R226" s="375"/>
      <c r="S226" s="375"/>
      <c r="T226" s="375"/>
      <c r="U226" s="375"/>
      <c r="V226" s="375"/>
      <c r="W226" s="375"/>
      <c r="X226" s="375"/>
      <c r="Y226" s="375"/>
      <c r="Z226" s="375"/>
      <c r="AA226" s="375"/>
      <c r="AB226" s="375"/>
      <c r="AC226" s="375"/>
      <c r="AD226" s="375"/>
      <c r="AE226" s="375"/>
    </row>
    <row r="227" spans="4:31" x14ac:dyDescent="0.25">
      <c r="D227" s="375"/>
      <c r="E227" s="375"/>
      <c r="F227" s="375"/>
      <c r="G227" s="375"/>
      <c r="H227" s="375"/>
      <c r="I227" s="375"/>
      <c r="J227" s="375"/>
      <c r="K227" s="375"/>
      <c r="L227" s="375"/>
      <c r="M227" s="375"/>
      <c r="N227" s="375"/>
      <c r="O227" s="375"/>
      <c r="P227" s="375"/>
      <c r="Q227" s="375"/>
      <c r="R227" s="375"/>
      <c r="S227" s="375"/>
      <c r="T227" s="375"/>
      <c r="U227" s="375"/>
      <c r="V227" s="375"/>
      <c r="W227" s="375"/>
      <c r="X227" s="375"/>
      <c r="Y227" s="375"/>
      <c r="Z227" s="375"/>
      <c r="AA227" s="375"/>
      <c r="AB227" s="375"/>
      <c r="AC227" s="375"/>
      <c r="AD227" s="375"/>
      <c r="AE227" s="375"/>
    </row>
    <row r="228" spans="4:31" x14ac:dyDescent="0.25">
      <c r="D228" s="375"/>
      <c r="E228" s="375"/>
      <c r="F228" s="375"/>
      <c r="G228" s="375"/>
      <c r="H228" s="375"/>
      <c r="I228" s="375"/>
      <c r="J228" s="375"/>
      <c r="K228" s="375"/>
      <c r="L228" s="375"/>
      <c r="M228" s="375"/>
      <c r="N228" s="375"/>
      <c r="O228" s="375"/>
      <c r="P228" s="375"/>
      <c r="Q228" s="375"/>
      <c r="R228" s="375"/>
      <c r="S228" s="375"/>
      <c r="T228" s="375"/>
      <c r="U228" s="375"/>
      <c r="V228" s="375"/>
      <c r="W228" s="375"/>
      <c r="X228" s="375"/>
      <c r="Y228" s="375"/>
      <c r="Z228" s="375"/>
      <c r="AA228" s="375"/>
      <c r="AB228" s="375"/>
      <c r="AC228" s="375"/>
      <c r="AD228" s="375"/>
      <c r="AE228" s="375"/>
    </row>
    <row r="229" spans="4:31" x14ac:dyDescent="0.25">
      <c r="D229" s="375"/>
      <c r="E229" s="375"/>
      <c r="F229" s="375"/>
      <c r="G229" s="375"/>
      <c r="H229" s="375"/>
      <c r="I229" s="375"/>
      <c r="J229" s="375"/>
      <c r="K229" s="375"/>
      <c r="L229" s="375"/>
      <c r="M229" s="375"/>
      <c r="N229" s="375"/>
      <c r="O229" s="375"/>
      <c r="P229" s="375"/>
      <c r="Q229" s="375"/>
      <c r="R229" s="375"/>
      <c r="S229" s="375"/>
      <c r="T229" s="375"/>
      <c r="U229" s="375"/>
      <c r="V229" s="375"/>
      <c r="W229" s="375"/>
      <c r="X229" s="375"/>
      <c r="Y229" s="375"/>
      <c r="Z229" s="375"/>
      <c r="AA229" s="375"/>
      <c r="AB229" s="375"/>
      <c r="AC229" s="375"/>
      <c r="AD229" s="375"/>
      <c r="AE229" s="375"/>
    </row>
    <row r="230" spans="4:31" x14ac:dyDescent="0.25">
      <c r="D230" s="375"/>
      <c r="E230" s="375"/>
      <c r="F230" s="375"/>
      <c r="G230" s="375"/>
      <c r="H230" s="375"/>
      <c r="I230" s="375"/>
      <c r="J230" s="375"/>
      <c r="K230" s="375"/>
      <c r="L230" s="375"/>
      <c r="M230" s="375"/>
      <c r="N230" s="375"/>
      <c r="O230" s="375"/>
      <c r="P230" s="375"/>
      <c r="Q230" s="375"/>
      <c r="R230" s="375"/>
      <c r="S230" s="375"/>
      <c r="T230" s="375"/>
      <c r="U230" s="375"/>
      <c r="V230" s="375"/>
      <c r="W230" s="375"/>
      <c r="X230" s="375"/>
      <c r="Y230" s="375"/>
      <c r="Z230" s="375"/>
      <c r="AA230" s="375"/>
      <c r="AB230" s="375"/>
      <c r="AC230" s="375"/>
      <c r="AD230" s="375"/>
      <c r="AE230" s="375"/>
    </row>
  </sheetData>
  <mergeCells count="77">
    <mergeCell ref="D3:H3"/>
    <mergeCell ref="A6:A7"/>
    <mergeCell ref="B6:B7"/>
    <mergeCell ref="C6:C7"/>
    <mergeCell ref="D6:D7"/>
    <mergeCell ref="E6:E7"/>
    <mergeCell ref="F6:F7"/>
    <mergeCell ref="G6:G7"/>
    <mergeCell ref="H6:H7"/>
    <mergeCell ref="X6:X7"/>
    <mergeCell ref="I6:J6"/>
    <mergeCell ref="K6:L6"/>
    <mergeCell ref="M6:N6"/>
    <mergeCell ref="O6:P6"/>
    <mergeCell ref="Q6:R6"/>
    <mergeCell ref="S6:S7"/>
    <mergeCell ref="T6:T7"/>
    <mergeCell ref="U6:U7"/>
    <mergeCell ref="V6:V7"/>
    <mergeCell ref="W6:W7"/>
    <mergeCell ref="AK6:AK7"/>
    <mergeCell ref="AL6:AL7"/>
    <mergeCell ref="AM6:AM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I6:AI7"/>
    <mergeCell ref="AJ6:AJ7"/>
    <mergeCell ref="A54:A55"/>
    <mergeCell ref="B54:B55"/>
    <mergeCell ref="C54:C55"/>
    <mergeCell ref="D35:H35"/>
    <mergeCell ref="A38:A39"/>
    <mergeCell ref="B38:B39"/>
    <mergeCell ref="C38:C39"/>
    <mergeCell ref="D38:D39"/>
    <mergeCell ref="E38:E39"/>
    <mergeCell ref="F38:F39"/>
    <mergeCell ref="G38:G39"/>
    <mergeCell ref="H38:H39"/>
    <mergeCell ref="V38:V39"/>
    <mergeCell ref="M38:M39"/>
    <mergeCell ref="N38:N39"/>
    <mergeCell ref="O38:O39"/>
    <mergeCell ref="P38:P39"/>
    <mergeCell ref="Q38:Q39"/>
    <mergeCell ref="T38:T39"/>
    <mergeCell ref="AM38:AM39"/>
    <mergeCell ref="AF38:AF39"/>
    <mergeCell ref="AG38:AG39"/>
    <mergeCell ref="AH38:AH39"/>
    <mergeCell ref="AI38:AI39"/>
    <mergeCell ref="AJ38:AJ39"/>
    <mergeCell ref="AK38:AK39"/>
    <mergeCell ref="W38:W39"/>
    <mergeCell ref="X38:X39"/>
    <mergeCell ref="Y38:Y39"/>
    <mergeCell ref="I38:J38"/>
    <mergeCell ref="AL38:AL39"/>
    <mergeCell ref="AA38:AA39"/>
    <mergeCell ref="AB38:AB39"/>
    <mergeCell ref="AC38:AC39"/>
    <mergeCell ref="AD38:AD39"/>
    <mergeCell ref="AE38:AE39"/>
    <mergeCell ref="Z38:Z39"/>
    <mergeCell ref="S38:S39"/>
    <mergeCell ref="K38:K39"/>
    <mergeCell ref="L38:L39"/>
    <mergeCell ref="R38:R39"/>
    <mergeCell ref="U38:U39"/>
  </mergeCells>
  <pageMargins left="0.17" right="0.17" top="0.74803149606299213" bottom="0.74803149606299213" header="0.31496062992125984" footer="0.31496062992125984"/>
  <pageSetup paperSize="9" orientation="landscape" verticalDpi="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Z120"/>
  <sheetViews>
    <sheetView topLeftCell="A13" zoomScaleNormal="100" workbookViewId="0">
      <selection activeCell="K27" sqref="K27"/>
    </sheetView>
  </sheetViews>
  <sheetFormatPr defaultRowHeight="15" x14ac:dyDescent="0.25"/>
  <cols>
    <col min="1" max="1" width="4.5703125" customWidth="1"/>
    <col min="2" max="2" width="11.140625" customWidth="1"/>
    <col min="3" max="3" width="20.140625" customWidth="1"/>
    <col min="4" max="4" width="9.85546875" customWidth="1"/>
    <col min="5" max="5" width="8.5703125" customWidth="1"/>
    <col min="6" max="6" width="10.140625" customWidth="1"/>
    <col min="7" max="7" width="9.140625" customWidth="1"/>
    <col min="8" max="8" width="10.140625" customWidth="1"/>
    <col min="9" max="9" width="11.28515625" hidden="1" customWidth="1"/>
    <col min="10" max="10" width="10.140625" hidden="1" customWidth="1"/>
    <col min="11" max="11" width="12.7109375" customWidth="1"/>
    <col min="12" max="12" width="13" customWidth="1"/>
    <col min="13" max="13" width="11.42578125" hidden="1" customWidth="1"/>
    <col min="14" max="14" width="10.5703125" hidden="1" customWidth="1"/>
    <col min="15" max="15" width="12.28515625" customWidth="1"/>
    <col min="16" max="16" width="10.5703125" hidden="1" customWidth="1"/>
    <col min="17" max="19" width="10.7109375" hidden="1" customWidth="1"/>
    <col min="20" max="20" width="12.7109375" hidden="1" customWidth="1"/>
    <col min="21" max="21" width="11.140625" customWidth="1"/>
    <col min="22" max="22" width="11" customWidth="1"/>
    <col min="23" max="23" width="9.28515625" hidden="1" customWidth="1"/>
    <col min="24" max="24" width="11" customWidth="1"/>
    <col min="25" max="25" width="10.140625" hidden="1" customWidth="1"/>
    <col min="26" max="26" width="10.42578125" customWidth="1"/>
    <col min="27" max="27" width="10.28515625" customWidth="1"/>
    <col min="28" max="28" width="9.140625" hidden="1" customWidth="1"/>
    <col min="29" max="29" width="11.5703125" customWidth="1"/>
    <col min="30" max="31" width="9.7109375" customWidth="1"/>
    <col min="32" max="32" width="9.5703125" customWidth="1"/>
    <col min="33" max="33" width="10.42578125" customWidth="1"/>
    <col min="34" max="34" width="11.85546875" customWidth="1"/>
    <col min="35" max="35" width="13" customWidth="1"/>
    <col min="36" max="36" width="10.5703125" customWidth="1"/>
    <col min="37" max="37" width="10.7109375" customWidth="1"/>
    <col min="38" max="40" width="11.42578125" customWidth="1"/>
    <col min="41" max="41" width="10.28515625" customWidth="1"/>
    <col min="42" max="42" width="10.28515625" style="34" customWidth="1"/>
    <col min="43" max="43" width="10.28515625" customWidth="1"/>
    <col min="44" max="44" width="10.5703125" customWidth="1"/>
    <col min="45" max="45" width="11.5703125" customWidth="1"/>
    <col min="46" max="46" width="11.28515625" customWidth="1"/>
    <col min="47" max="47" width="10.5703125" customWidth="1"/>
    <col min="48" max="48" width="11" customWidth="1"/>
    <col min="49" max="49" width="10.28515625" customWidth="1"/>
    <col min="50" max="50" width="11.42578125" style="39" customWidth="1"/>
    <col min="51" max="51" width="9.140625" customWidth="1"/>
  </cols>
  <sheetData>
    <row r="4" spans="1:52" ht="15.75" customHeight="1" x14ac:dyDescent="0.3">
      <c r="C4" s="2196" t="s">
        <v>574</v>
      </c>
      <c r="D4" s="2196"/>
      <c r="E4" s="2196"/>
      <c r="F4" s="2196"/>
      <c r="G4" s="2196"/>
      <c r="H4" s="2196"/>
      <c r="I4" s="2196"/>
      <c r="J4" s="2196"/>
      <c r="K4" s="2196"/>
      <c r="L4" s="2196"/>
      <c r="M4" s="2196"/>
      <c r="N4" s="2196"/>
      <c r="O4" s="2196"/>
      <c r="P4" s="2196"/>
      <c r="Q4" s="2196"/>
    </row>
    <row r="5" spans="1:52" ht="18.75" x14ac:dyDescent="0.3">
      <c r="C5" s="373"/>
      <c r="D5" s="374"/>
      <c r="E5" s="374"/>
      <c r="F5" s="374"/>
      <c r="G5" s="374"/>
      <c r="H5" s="374" t="s">
        <v>600</v>
      </c>
      <c r="I5" s="374"/>
      <c r="J5" s="374"/>
      <c r="K5" s="374"/>
      <c r="L5" s="374"/>
      <c r="M5" s="374"/>
      <c r="N5" s="374"/>
      <c r="O5" s="374"/>
      <c r="P5" s="374"/>
      <c r="Q5" s="374"/>
    </row>
    <row r="6" spans="1:52" ht="18.75" x14ac:dyDescent="0.3">
      <c r="C6" s="373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374"/>
      <c r="Q6" s="374"/>
    </row>
    <row r="7" spans="1:52" ht="18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AH7" s="250"/>
      <c r="AI7" s="250"/>
      <c r="AJ7" s="250"/>
    </row>
    <row r="8" spans="1:52" ht="42" customHeight="1" x14ac:dyDescent="0.25">
      <c r="A8" s="2017" t="s">
        <v>0</v>
      </c>
      <c r="B8" s="2020"/>
      <c r="C8" s="2017" t="s">
        <v>184</v>
      </c>
      <c r="D8" s="2017" t="s">
        <v>54</v>
      </c>
      <c r="E8" s="2017" t="s">
        <v>55</v>
      </c>
      <c r="F8" s="2017" t="s">
        <v>56</v>
      </c>
      <c r="G8" s="2017" t="s">
        <v>57</v>
      </c>
      <c r="H8" s="2017" t="s">
        <v>6</v>
      </c>
      <c r="I8" s="2097" t="s">
        <v>593</v>
      </c>
      <c r="J8" s="2060"/>
      <c r="K8" s="1991" t="s">
        <v>310</v>
      </c>
      <c r="L8" s="1992"/>
      <c r="M8" s="2017" t="s">
        <v>598</v>
      </c>
      <c r="N8" s="2017"/>
      <c r="O8" s="1987" t="s">
        <v>457</v>
      </c>
      <c r="P8" s="2009" t="s">
        <v>332</v>
      </c>
      <c r="Q8" s="1987" t="s">
        <v>333</v>
      </c>
      <c r="R8" s="2003" t="s">
        <v>308</v>
      </c>
      <c r="S8" s="2003" t="s">
        <v>10</v>
      </c>
      <c r="T8" s="2003" t="s">
        <v>578</v>
      </c>
      <c r="U8" s="2003" t="s">
        <v>337</v>
      </c>
      <c r="V8" s="2194" t="s">
        <v>458</v>
      </c>
      <c r="W8" s="2003" t="s">
        <v>331</v>
      </c>
      <c r="X8" s="1987" t="s">
        <v>320</v>
      </c>
      <c r="Y8" s="2005" t="s">
        <v>554</v>
      </c>
      <c r="Z8" s="2009" t="s">
        <v>338</v>
      </c>
      <c r="AA8" s="1987" t="s">
        <v>369</v>
      </c>
      <c r="AB8" s="2020" t="s">
        <v>319</v>
      </c>
      <c r="AC8" s="1987" t="s">
        <v>175</v>
      </c>
      <c r="AD8" s="2005" t="s">
        <v>610</v>
      </c>
      <c r="AE8" s="2005" t="s">
        <v>611</v>
      </c>
      <c r="AF8" s="2001" t="s">
        <v>182</v>
      </c>
      <c r="AG8" s="1999" t="s">
        <v>544</v>
      </c>
      <c r="AH8" s="1995" t="s">
        <v>566</v>
      </c>
      <c r="AI8" s="250"/>
      <c r="AJ8" s="250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9"/>
    </row>
    <row r="9" spans="1:52" ht="49.5" customHeight="1" x14ac:dyDescent="0.25">
      <c r="A9" s="2017"/>
      <c r="B9" s="2021"/>
      <c r="C9" s="2017"/>
      <c r="D9" s="2017"/>
      <c r="E9" s="2017"/>
      <c r="F9" s="2017"/>
      <c r="G9" s="2017"/>
      <c r="H9" s="2017"/>
      <c r="I9" s="150" t="s">
        <v>15</v>
      </c>
      <c r="J9" s="611" t="s">
        <v>16</v>
      </c>
      <c r="K9" s="150" t="s">
        <v>15</v>
      </c>
      <c r="L9" s="160" t="s">
        <v>16</v>
      </c>
      <c r="M9" s="150" t="s">
        <v>15</v>
      </c>
      <c r="N9" s="611" t="s">
        <v>16</v>
      </c>
      <c r="O9" s="1988"/>
      <c r="P9" s="2009"/>
      <c r="Q9" s="1988"/>
      <c r="R9" s="2004"/>
      <c r="S9" s="2002"/>
      <c r="T9" s="2004"/>
      <c r="U9" s="2004"/>
      <c r="V9" s="2195"/>
      <c r="W9" s="2004"/>
      <c r="X9" s="1988"/>
      <c r="Y9" s="2099"/>
      <c r="Z9" s="2009"/>
      <c r="AA9" s="2002"/>
      <c r="AB9" s="2002"/>
      <c r="AC9" s="1988"/>
      <c r="AD9" s="2006"/>
      <c r="AE9" s="2006"/>
      <c r="AF9" s="2002"/>
      <c r="AG9" s="2000"/>
      <c r="AH9" s="1996"/>
      <c r="AI9" s="250"/>
      <c r="AJ9" s="250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9"/>
    </row>
    <row r="10" spans="1:52" s="53" customFormat="1" x14ac:dyDescent="0.25">
      <c r="A10" s="16">
        <v>2</v>
      </c>
      <c r="B10" s="587">
        <v>42491</v>
      </c>
      <c r="C10" s="424" t="s">
        <v>58</v>
      </c>
      <c r="D10" s="675">
        <v>1976</v>
      </c>
      <c r="E10" s="675">
        <v>3</v>
      </c>
      <c r="F10" s="675">
        <v>24</v>
      </c>
      <c r="G10" s="675">
        <v>97</v>
      </c>
      <c r="H10" s="676">
        <v>1461.2</v>
      </c>
      <c r="I10" s="676">
        <v>3334.29</v>
      </c>
      <c r="J10" s="676">
        <v>1787.59</v>
      </c>
      <c r="K10" s="521">
        <v>50004.12</v>
      </c>
      <c r="L10" s="521">
        <v>42614.51</v>
      </c>
      <c r="M10" s="521">
        <f>I10+K10</f>
        <v>53338.41</v>
      </c>
      <c r="N10" s="521">
        <f>J10+L10</f>
        <v>44402.1</v>
      </c>
      <c r="O10" s="521">
        <f>P10+Q10+R10+S10+T10+U10+V10+W10+X10+Y10+Z10+AA10+AB10</f>
        <v>51640.153060687953</v>
      </c>
      <c r="P10" s="524"/>
      <c r="Q10" s="521"/>
      <c r="R10" s="522"/>
      <c r="S10" s="522"/>
      <c r="T10" s="522">
        <f>8908.72/17476.13*H10</f>
        <v>744.86866737658738</v>
      </c>
      <c r="U10" s="522">
        <v>2921.52</v>
      </c>
      <c r="V10" s="522">
        <f>182373.34/580429.66*K10</f>
        <v>15711.496166754814</v>
      </c>
      <c r="W10" s="522"/>
      <c r="X10" s="522">
        <f>202404.45/16358.47*H10</f>
        <v>18079.52591776615</v>
      </c>
      <c r="Y10" s="522">
        <f>X10*0.202</f>
        <v>3652.0642353887624</v>
      </c>
      <c r="Z10" s="522">
        <f>21006.68/580429.66*K10</f>
        <v>1809.7292745543018</v>
      </c>
      <c r="AA10" s="522">
        <f>104303.61/17476.13*H10</f>
        <v>8720.9487988473411</v>
      </c>
      <c r="AB10" s="522"/>
      <c r="AC10" s="522">
        <f>M10-O10</f>
        <v>1698.2569393120502</v>
      </c>
      <c r="AD10" s="522">
        <f>L10/K10*100</f>
        <v>85.221997707388908</v>
      </c>
      <c r="AE10" s="522">
        <f>J10/I10*100</f>
        <v>53.612313266092627</v>
      </c>
      <c r="AF10" s="522">
        <f>O10/H10/4</f>
        <v>8.8352301294634472</v>
      </c>
      <c r="AG10" s="523">
        <v>8.56</v>
      </c>
      <c r="AH10" s="467">
        <f>M10-N10</f>
        <v>8936.3100000000049</v>
      </c>
      <c r="AI10" s="250"/>
      <c r="AJ10" s="250"/>
      <c r="AK10" s="35"/>
      <c r="AL10" s="66"/>
      <c r="AM10" s="66"/>
      <c r="AN10" s="66"/>
      <c r="AO10" s="35"/>
      <c r="AP10" s="35"/>
      <c r="AQ10" s="67"/>
      <c r="AR10" s="67"/>
      <c r="AS10" s="67"/>
      <c r="AT10" s="68"/>
      <c r="AU10" s="67"/>
      <c r="AV10" s="68"/>
      <c r="AW10" s="67"/>
      <c r="AX10" s="130"/>
      <c r="AY10" s="35"/>
      <c r="AZ10" s="30"/>
    </row>
    <row r="11" spans="1:52" s="53" customFormat="1" x14ac:dyDescent="0.25">
      <c r="A11" s="16">
        <v>3</v>
      </c>
      <c r="B11" s="588"/>
      <c r="C11" s="424" t="s">
        <v>59</v>
      </c>
      <c r="D11" s="675">
        <v>1977</v>
      </c>
      <c r="E11" s="675">
        <v>3</v>
      </c>
      <c r="F11" s="675">
        <v>24</v>
      </c>
      <c r="G11" s="675">
        <v>81</v>
      </c>
      <c r="H11" s="676">
        <v>1456.7</v>
      </c>
      <c r="I11" s="676">
        <v>3334.32</v>
      </c>
      <c r="J11" s="676">
        <v>2101.25</v>
      </c>
      <c r="K11" s="521">
        <v>49877.39</v>
      </c>
      <c r="L11" s="521">
        <v>47955.81</v>
      </c>
      <c r="M11" s="521">
        <f t="shared" ref="M11:M40" si="0">I11+K11</f>
        <v>53211.71</v>
      </c>
      <c r="N11" s="521">
        <f t="shared" ref="N11:N40" si="1">J11+L11</f>
        <v>50057.06</v>
      </c>
      <c r="O11" s="521">
        <f t="shared" ref="O11:O40" si="2">P11+Q11+R11+S11+T11+U11+V11+W11+X11+Y11+Z11+AA11+AB11</f>
        <v>53985.269996108735</v>
      </c>
      <c r="P11" s="524"/>
      <c r="Q11" s="521"/>
      <c r="R11" s="522"/>
      <c r="S11" s="522">
        <v>1760.4</v>
      </c>
      <c r="T11" s="522">
        <f t="shared" ref="T11:T40" si="3">8908.72/17476.13*H11</f>
        <v>742.57472472452423</v>
      </c>
      <c r="U11" s="522">
        <v>3646.72</v>
      </c>
      <c r="V11" s="522">
        <f t="shared" ref="V11:V40" si="4">182373.34/580429.66*K11</f>
        <v>15671.677089662509</v>
      </c>
      <c r="W11" s="522"/>
      <c r="X11" s="522">
        <f t="shared" ref="X11:X19" si="5">202404.45/16358.47*H11</f>
        <v>18023.847114980803</v>
      </c>
      <c r="Y11" s="522">
        <f t="shared" ref="Y11:Y40" si="6">X11*0.202</f>
        <v>3640.8171172261223</v>
      </c>
      <c r="Z11" s="522">
        <f t="shared" ref="Z11:Z40" si="7">21006.68/580429.66*K11</f>
        <v>1805.1427126677158</v>
      </c>
      <c r="AA11" s="522">
        <f t="shared" ref="AA11:AA40" si="8">104303.61/17476.13*H11</f>
        <v>8694.0912368470599</v>
      </c>
      <c r="AB11" s="522"/>
      <c r="AC11" s="522">
        <f t="shared" ref="AC11:AC40" si="9">M11-O11</f>
        <v>-773.5599961087355</v>
      </c>
      <c r="AD11" s="522">
        <f t="shared" ref="AD11:AD41" si="10">L11/K11*100</f>
        <v>96.147392636222534</v>
      </c>
      <c r="AE11" s="522">
        <f t="shared" ref="AE11:AE41" si="11">J11/I11*100</f>
        <v>63.018846421459237</v>
      </c>
      <c r="AF11" s="522">
        <f t="shared" ref="AF11:AF40" si="12">O11/H11/4</f>
        <v>9.2649945074670033</v>
      </c>
      <c r="AG11" s="523">
        <v>8.56</v>
      </c>
      <c r="AH11" s="467">
        <f t="shared" ref="AH11:AH41" si="13">M11-N11</f>
        <v>3154.6500000000015</v>
      </c>
      <c r="AI11" s="250"/>
      <c r="AJ11" s="250"/>
      <c r="AK11" s="35"/>
      <c r="AL11" s="66"/>
      <c r="AM11" s="66"/>
      <c r="AN11" s="66"/>
      <c r="AO11" s="35"/>
      <c r="AP11" s="35"/>
      <c r="AQ11" s="67"/>
      <c r="AR11" s="67"/>
      <c r="AS11" s="67"/>
      <c r="AT11" s="68"/>
      <c r="AU11" s="67"/>
      <c r="AV11" s="68"/>
      <c r="AW11" s="67"/>
      <c r="AX11" s="130"/>
      <c r="AY11" s="35"/>
      <c r="AZ11" s="30"/>
    </row>
    <row r="12" spans="1:52" s="53" customFormat="1" x14ac:dyDescent="0.25">
      <c r="A12" s="16">
        <v>4</v>
      </c>
      <c r="B12" s="588"/>
      <c r="C12" s="424" t="s">
        <v>60</v>
      </c>
      <c r="D12" s="675">
        <v>1972</v>
      </c>
      <c r="E12" s="675">
        <v>2</v>
      </c>
      <c r="F12" s="675">
        <v>18</v>
      </c>
      <c r="G12" s="675">
        <v>57</v>
      </c>
      <c r="H12" s="676">
        <v>776.8</v>
      </c>
      <c r="I12" s="676">
        <v>910.05</v>
      </c>
      <c r="J12" s="676">
        <v>525.16</v>
      </c>
      <c r="K12" s="521">
        <v>21532.84</v>
      </c>
      <c r="L12" s="521">
        <v>18818.72</v>
      </c>
      <c r="M12" s="521">
        <f t="shared" si="0"/>
        <v>22442.89</v>
      </c>
      <c r="N12" s="521">
        <f t="shared" si="1"/>
        <v>19343.88</v>
      </c>
      <c r="O12" s="521">
        <f t="shared" si="2"/>
        <v>25342.231884066929</v>
      </c>
      <c r="P12" s="524"/>
      <c r="Q12" s="521"/>
      <c r="R12" s="522"/>
      <c r="S12" s="522"/>
      <c r="T12" s="522">
        <f t="shared" si="3"/>
        <v>395.98547824947508</v>
      </c>
      <c r="U12" s="522">
        <v>1212.1199999999999</v>
      </c>
      <c r="V12" s="522">
        <f t="shared" si="4"/>
        <v>6765.7051682810279</v>
      </c>
      <c r="W12" s="522"/>
      <c r="X12" s="522">
        <f t="shared" si="5"/>
        <v>9611.3986674792941</v>
      </c>
      <c r="Y12" s="522">
        <f t="shared" si="6"/>
        <v>1941.5025308308175</v>
      </c>
      <c r="Z12" s="522">
        <f t="shared" si="7"/>
        <v>779.30800326640792</v>
      </c>
      <c r="AA12" s="522">
        <f t="shared" si="8"/>
        <v>4636.2120359599057</v>
      </c>
      <c r="AB12" s="522"/>
      <c r="AC12" s="522">
        <f t="shared" si="9"/>
        <v>-2899.3418840669292</v>
      </c>
      <c r="AD12" s="522">
        <f t="shared" si="10"/>
        <v>87.395438780950414</v>
      </c>
      <c r="AE12" s="522">
        <f t="shared" si="11"/>
        <v>57.706719411021368</v>
      </c>
      <c r="AF12" s="522">
        <f t="shared" si="12"/>
        <v>8.1559706115045483</v>
      </c>
      <c r="AG12" s="523">
        <v>6.93</v>
      </c>
      <c r="AH12" s="467">
        <f t="shared" si="13"/>
        <v>3099.0099999999984</v>
      </c>
      <c r="AI12" s="250"/>
      <c r="AJ12" s="250"/>
      <c r="AK12" s="35"/>
      <c r="AL12" s="66"/>
      <c r="AM12" s="66"/>
      <c r="AN12" s="66"/>
      <c r="AO12" s="35"/>
      <c r="AP12" s="35"/>
      <c r="AQ12" s="67"/>
      <c r="AR12" s="67"/>
      <c r="AS12" s="67"/>
      <c r="AT12" s="68"/>
      <c r="AU12" s="67"/>
      <c r="AV12" s="68"/>
      <c r="AW12" s="67"/>
      <c r="AX12" s="130"/>
      <c r="AY12" s="35"/>
      <c r="AZ12" s="30"/>
    </row>
    <row r="13" spans="1:52" s="53" customFormat="1" x14ac:dyDescent="0.25">
      <c r="A13" s="16">
        <v>5</v>
      </c>
      <c r="B13" s="588"/>
      <c r="C13" s="424" t="s">
        <v>61</v>
      </c>
      <c r="D13" s="675">
        <v>1973</v>
      </c>
      <c r="E13" s="675">
        <v>2</v>
      </c>
      <c r="F13" s="675">
        <v>18</v>
      </c>
      <c r="G13" s="675">
        <v>49</v>
      </c>
      <c r="H13" s="676">
        <v>773.51</v>
      </c>
      <c r="I13" s="676">
        <v>909.96</v>
      </c>
      <c r="J13" s="676">
        <v>546.78</v>
      </c>
      <c r="K13" s="521">
        <v>21126</v>
      </c>
      <c r="L13" s="521">
        <v>22129.58</v>
      </c>
      <c r="M13" s="521">
        <f t="shared" si="0"/>
        <v>22035.96</v>
      </c>
      <c r="N13" s="521">
        <f t="shared" si="1"/>
        <v>22676.36</v>
      </c>
      <c r="O13" s="521">
        <f t="shared" si="2"/>
        <v>25129.433650041487</v>
      </c>
      <c r="P13" s="524"/>
      <c r="Q13" s="521"/>
      <c r="R13" s="522"/>
      <c r="S13" s="522"/>
      <c r="T13" s="522">
        <f t="shared" si="3"/>
        <v>394.30835128830006</v>
      </c>
      <c r="U13" s="522">
        <v>1212.1199999999999</v>
      </c>
      <c r="V13" s="522">
        <f t="shared" si="4"/>
        <v>6637.8743995267223</v>
      </c>
      <c r="W13" s="522"/>
      <c r="X13" s="522">
        <f t="shared" si="5"/>
        <v>9570.6912761095628</v>
      </c>
      <c r="Y13" s="522">
        <f t="shared" si="6"/>
        <v>1933.2796377741317</v>
      </c>
      <c r="Z13" s="522">
        <f t="shared" si="7"/>
        <v>764.58381137862602</v>
      </c>
      <c r="AA13" s="522">
        <f t="shared" si="8"/>
        <v>4616.5761739641439</v>
      </c>
      <c r="AB13" s="522"/>
      <c r="AC13" s="522">
        <f t="shared" si="9"/>
        <v>-3093.4736500414874</v>
      </c>
      <c r="AD13" s="522">
        <f t="shared" si="10"/>
        <v>104.75044968285525</v>
      </c>
      <c r="AE13" s="522">
        <f t="shared" si="11"/>
        <v>60.088355532111294</v>
      </c>
      <c r="AF13" s="522">
        <f t="shared" si="12"/>
        <v>8.121883896149205</v>
      </c>
      <c r="AG13" s="523">
        <v>6.82</v>
      </c>
      <c r="AH13" s="467">
        <f t="shared" si="13"/>
        <v>-640.40000000000146</v>
      </c>
      <c r="AI13" s="250"/>
      <c r="AJ13" s="250"/>
      <c r="AK13" s="35"/>
      <c r="AL13" s="66"/>
      <c r="AM13" s="66"/>
      <c r="AN13" s="66"/>
      <c r="AO13" s="35"/>
      <c r="AP13" s="35"/>
      <c r="AQ13" s="67"/>
      <c r="AR13" s="67"/>
      <c r="AS13" s="67"/>
      <c r="AT13" s="68"/>
      <c r="AU13" s="67"/>
      <c r="AV13" s="68"/>
      <c r="AW13" s="67"/>
      <c r="AX13" s="130"/>
      <c r="AY13" s="35"/>
      <c r="AZ13" s="30"/>
    </row>
    <row r="14" spans="1:52" s="53" customFormat="1" x14ac:dyDescent="0.25">
      <c r="A14" s="16">
        <v>6</v>
      </c>
      <c r="B14" s="588"/>
      <c r="C14" s="424" t="s">
        <v>62</v>
      </c>
      <c r="D14" s="675">
        <v>1980</v>
      </c>
      <c r="E14" s="675">
        <v>3</v>
      </c>
      <c r="F14" s="675">
        <v>36</v>
      </c>
      <c r="G14" s="675">
        <v>93</v>
      </c>
      <c r="H14" s="676">
        <v>1799.9</v>
      </c>
      <c r="I14" s="676">
        <v>3134.76</v>
      </c>
      <c r="J14" s="676">
        <v>1781.79</v>
      </c>
      <c r="K14" s="521">
        <v>63429.8</v>
      </c>
      <c r="L14" s="521">
        <v>56940.33</v>
      </c>
      <c r="M14" s="521">
        <f t="shared" si="0"/>
        <v>66564.56</v>
      </c>
      <c r="N14" s="521">
        <f t="shared" si="1"/>
        <v>58722.12</v>
      </c>
      <c r="O14" s="521">
        <f t="shared" si="2"/>
        <v>64119.780312903022</v>
      </c>
      <c r="P14" s="524"/>
      <c r="Q14" s="521"/>
      <c r="R14" s="522"/>
      <c r="S14" s="522"/>
      <c r="T14" s="522">
        <f t="shared" si="3"/>
        <v>917.52608432187219</v>
      </c>
      <c r="U14" s="522">
        <v>3465.42</v>
      </c>
      <c r="V14" s="522">
        <f t="shared" si="4"/>
        <v>19929.898967485569</v>
      </c>
      <c r="W14" s="522"/>
      <c r="X14" s="522">
        <f t="shared" si="5"/>
        <v>22270.283807409865</v>
      </c>
      <c r="Y14" s="522">
        <f t="shared" si="6"/>
        <v>4498.5973290967931</v>
      </c>
      <c r="Z14" s="522">
        <f t="shared" si="7"/>
        <v>2295.626159186972</v>
      </c>
      <c r="AA14" s="522">
        <f t="shared" si="8"/>
        <v>10742.42796540195</v>
      </c>
      <c r="AB14" s="522"/>
      <c r="AC14" s="522">
        <f t="shared" si="9"/>
        <v>2444.779687096976</v>
      </c>
      <c r="AD14" s="522">
        <f t="shared" si="10"/>
        <v>89.769051770618859</v>
      </c>
      <c r="AE14" s="522">
        <f t="shared" si="11"/>
        <v>56.839758067603249</v>
      </c>
      <c r="AF14" s="522">
        <f t="shared" si="12"/>
        <v>8.9060198223377718</v>
      </c>
      <c r="AG14" s="523">
        <v>8.82</v>
      </c>
      <c r="AH14" s="467">
        <f t="shared" si="13"/>
        <v>7842.4399999999951</v>
      </c>
      <c r="AI14" s="250"/>
      <c r="AJ14" s="250"/>
      <c r="AK14" s="35"/>
      <c r="AL14" s="66"/>
      <c r="AM14" s="66"/>
      <c r="AN14" s="66"/>
      <c r="AO14" s="35"/>
      <c r="AP14" s="35"/>
      <c r="AQ14" s="67"/>
      <c r="AR14" s="67"/>
      <c r="AS14" s="67"/>
      <c r="AT14" s="68"/>
      <c r="AU14" s="67"/>
      <c r="AV14" s="68"/>
      <c r="AW14" s="67"/>
      <c r="AX14" s="130"/>
      <c r="AY14" s="35"/>
      <c r="AZ14" s="30"/>
    </row>
    <row r="15" spans="1:52" s="53" customFormat="1" x14ac:dyDescent="0.25">
      <c r="A15" s="16">
        <v>7</v>
      </c>
      <c r="B15" s="588"/>
      <c r="C15" s="424" t="s">
        <v>63</v>
      </c>
      <c r="D15" s="675">
        <v>1982</v>
      </c>
      <c r="E15" s="675">
        <v>3</v>
      </c>
      <c r="F15" s="675">
        <v>24</v>
      </c>
      <c r="G15" s="675">
        <v>84</v>
      </c>
      <c r="H15" s="676">
        <v>1454.2</v>
      </c>
      <c r="I15" s="676">
        <v>3315.66</v>
      </c>
      <c r="J15" s="676">
        <v>1720.29</v>
      </c>
      <c r="K15" s="521">
        <v>51129.64</v>
      </c>
      <c r="L15" s="521">
        <v>42646.720000000001</v>
      </c>
      <c r="M15" s="521">
        <f t="shared" si="0"/>
        <v>54445.3</v>
      </c>
      <c r="N15" s="521">
        <f t="shared" si="1"/>
        <v>44367.01</v>
      </c>
      <c r="O15" s="521">
        <f t="shared" si="2"/>
        <v>51020.016584016703</v>
      </c>
      <c r="P15" s="524"/>
      <c r="Q15" s="521"/>
      <c r="R15" s="522"/>
      <c r="S15" s="522"/>
      <c r="T15" s="522">
        <f t="shared" si="3"/>
        <v>741.30031214004464</v>
      </c>
      <c r="U15" s="522">
        <v>2056.46</v>
      </c>
      <c r="V15" s="522">
        <f t="shared" si="4"/>
        <v>16065.139089890064</v>
      </c>
      <c r="W15" s="522"/>
      <c r="X15" s="522">
        <f t="shared" si="5"/>
        <v>17992.914446766721</v>
      </c>
      <c r="Y15" s="522">
        <f t="shared" si="6"/>
        <v>3634.5687182468778</v>
      </c>
      <c r="Z15" s="522">
        <f t="shared" si="7"/>
        <v>1850.463647903865</v>
      </c>
      <c r="AA15" s="522">
        <f t="shared" si="8"/>
        <v>8679.1703690691247</v>
      </c>
      <c r="AB15" s="522"/>
      <c r="AC15" s="522">
        <f t="shared" si="9"/>
        <v>3425.2834159833001</v>
      </c>
      <c r="AD15" s="522">
        <f t="shared" si="10"/>
        <v>83.408997207881768</v>
      </c>
      <c r="AE15" s="522">
        <f t="shared" si="11"/>
        <v>51.883787843144361</v>
      </c>
      <c r="AF15" s="522">
        <f t="shared" si="12"/>
        <v>8.7711484981461805</v>
      </c>
      <c r="AG15" s="523">
        <v>8.7899999999999991</v>
      </c>
      <c r="AH15" s="467">
        <f t="shared" si="13"/>
        <v>10078.290000000001</v>
      </c>
      <c r="AI15" s="250"/>
      <c r="AJ15" s="250"/>
      <c r="AK15" s="35"/>
      <c r="AL15" s="66"/>
      <c r="AM15" s="66"/>
      <c r="AN15" s="66"/>
      <c r="AO15" s="35"/>
      <c r="AP15" s="35"/>
      <c r="AQ15" s="67"/>
      <c r="AR15" s="67"/>
      <c r="AS15" s="67"/>
      <c r="AT15" s="68"/>
      <c r="AU15" s="67"/>
      <c r="AV15" s="68"/>
      <c r="AW15" s="67"/>
      <c r="AX15" s="130"/>
      <c r="AY15" s="35"/>
      <c r="AZ15" s="30"/>
    </row>
    <row r="16" spans="1:52" s="53" customFormat="1" x14ac:dyDescent="0.25">
      <c r="A16" s="16">
        <v>8</v>
      </c>
      <c r="B16" s="588"/>
      <c r="C16" s="424" t="s">
        <v>64</v>
      </c>
      <c r="D16" s="675">
        <v>1982</v>
      </c>
      <c r="E16" s="675">
        <v>3</v>
      </c>
      <c r="F16" s="675">
        <v>24</v>
      </c>
      <c r="G16" s="675">
        <v>95</v>
      </c>
      <c r="H16" s="676">
        <v>1458.3</v>
      </c>
      <c r="I16" s="676">
        <v>3317.4</v>
      </c>
      <c r="J16" s="676">
        <v>2100.9</v>
      </c>
      <c r="K16" s="521">
        <v>51252.68</v>
      </c>
      <c r="L16" s="521">
        <v>49355.34</v>
      </c>
      <c r="M16" s="521">
        <f t="shared" si="0"/>
        <v>54570.080000000002</v>
      </c>
      <c r="N16" s="521">
        <f t="shared" si="1"/>
        <v>51456.24</v>
      </c>
      <c r="O16" s="521">
        <f t="shared" si="2"/>
        <v>51835.466473089327</v>
      </c>
      <c r="P16" s="524">
        <v>565.66</v>
      </c>
      <c r="Q16" s="521"/>
      <c r="R16" s="522"/>
      <c r="S16" s="522"/>
      <c r="T16" s="522">
        <f t="shared" si="3"/>
        <v>743.39034877859103</v>
      </c>
      <c r="U16" s="522">
        <v>2175.6</v>
      </c>
      <c r="V16" s="522">
        <f t="shared" si="4"/>
        <v>16103.798754100884</v>
      </c>
      <c r="W16" s="522"/>
      <c r="X16" s="522">
        <f t="shared" si="5"/>
        <v>18043.644022637814</v>
      </c>
      <c r="Y16" s="522">
        <f t="shared" si="6"/>
        <v>3644.8160925728389</v>
      </c>
      <c r="Z16" s="522">
        <f t="shared" si="7"/>
        <v>1854.9166627742629</v>
      </c>
      <c r="AA16" s="522">
        <f t="shared" si="8"/>
        <v>8703.640592224936</v>
      </c>
      <c r="AB16" s="522"/>
      <c r="AC16" s="522">
        <f t="shared" si="9"/>
        <v>2734.6135269106744</v>
      </c>
      <c r="AD16" s="522">
        <f t="shared" si="10"/>
        <v>96.298066754753108</v>
      </c>
      <c r="AE16" s="522">
        <f t="shared" si="11"/>
        <v>63.329716042684026</v>
      </c>
      <c r="AF16" s="522">
        <f t="shared" si="12"/>
        <v>8.8862830818571847</v>
      </c>
      <c r="AG16" s="523">
        <v>8.7899999999999991</v>
      </c>
      <c r="AH16" s="467">
        <f t="shared" si="13"/>
        <v>3113.8400000000038</v>
      </c>
      <c r="AI16" s="250"/>
      <c r="AJ16" s="250"/>
      <c r="AK16" s="35"/>
      <c r="AL16" s="66"/>
      <c r="AM16" s="66"/>
      <c r="AN16" s="66"/>
      <c r="AO16" s="35"/>
      <c r="AP16" s="35"/>
      <c r="AQ16" s="67"/>
      <c r="AR16" s="67"/>
      <c r="AS16" s="67"/>
      <c r="AT16" s="68"/>
      <c r="AU16" s="67"/>
      <c r="AV16" s="68"/>
      <c r="AW16" s="67"/>
      <c r="AX16" s="130"/>
      <c r="AY16" s="35"/>
      <c r="AZ16" s="30"/>
    </row>
    <row r="17" spans="1:52" s="53" customFormat="1" x14ac:dyDescent="0.25">
      <c r="A17" s="16">
        <v>9</v>
      </c>
      <c r="B17" s="588"/>
      <c r="C17" s="424" t="s">
        <v>65</v>
      </c>
      <c r="D17" s="675">
        <v>1983</v>
      </c>
      <c r="E17" s="675">
        <v>3</v>
      </c>
      <c r="F17" s="675">
        <v>24</v>
      </c>
      <c r="G17" s="675">
        <v>83</v>
      </c>
      <c r="H17" s="676">
        <v>1446.6</v>
      </c>
      <c r="I17" s="676">
        <v>3313.74</v>
      </c>
      <c r="J17" s="676">
        <v>1742.61</v>
      </c>
      <c r="K17" s="521">
        <v>50858.84</v>
      </c>
      <c r="L17" s="521">
        <v>43922.54</v>
      </c>
      <c r="M17" s="521">
        <f t="shared" si="0"/>
        <v>54172.579999999994</v>
      </c>
      <c r="N17" s="521">
        <f t="shared" si="1"/>
        <v>45665.15</v>
      </c>
      <c r="O17" s="521">
        <f t="shared" si="2"/>
        <v>52573.795349157299</v>
      </c>
      <c r="P17" s="524">
        <v>663.56</v>
      </c>
      <c r="Q17" s="521"/>
      <c r="R17" s="522"/>
      <c r="S17" s="522"/>
      <c r="T17" s="522">
        <f t="shared" si="3"/>
        <v>737.42609788322693</v>
      </c>
      <c r="U17" s="522">
        <v>3203.83</v>
      </c>
      <c r="V17" s="522">
        <f t="shared" si="4"/>
        <v>15980.052637774574</v>
      </c>
      <c r="W17" s="522"/>
      <c r="X17" s="522">
        <f t="shared" si="5"/>
        <v>17898.879135395913</v>
      </c>
      <c r="Y17" s="522">
        <f t="shared" si="6"/>
        <v>3615.5735853499746</v>
      </c>
      <c r="Z17" s="522">
        <f t="shared" si="7"/>
        <v>1840.6629617294195</v>
      </c>
      <c r="AA17" s="522">
        <f t="shared" si="8"/>
        <v>8633.8109310242016</v>
      </c>
      <c r="AB17" s="522"/>
      <c r="AC17" s="522">
        <f t="shared" si="9"/>
        <v>1598.7846508426956</v>
      </c>
      <c r="AD17" s="522">
        <f t="shared" si="10"/>
        <v>86.361662987201441</v>
      </c>
      <c r="AE17" s="522">
        <f t="shared" si="11"/>
        <v>52.587408788860927</v>
      </c>
      <c r="AF17" s="522">
        <f t="shared" si="12"/>
        <v>9.0857519959140927</v>
      </c>
      <c r="AG17" s="523">
        <v>8.7899999999999991</v>
      </c>
      <c r="AH17" s="467">
        <f t="shared" si="13"/>
        <v>8507.429999999993</v>
      </c>
      <c r="AI17" s="250"/>
      <c r="AJ17" s="250"/>
      <c r="AK17" s="35"/>
      <c r="AL17" s="66"/>
      <c r="AM17" s="66"/>
      <c r="AN17" s="66"/>
      <c r="AO17" s="35"/>
      <c r="AP17" s="35"/>
      <c r="AQ17" s="67"/>
      <c r="AR17" s="67"/>
      <c r="AS17" s="67"/>
      <c r="AT17" s="68"/>
      <c r="AU17" s="67"/>
      <c r="AV17" s="68"/>
      <c r="AW17" s="67"/>
      <c r="AX17" s="130"/>
      <c r="AY17" s="35"/>
      <c r="AZ17" s="30"/>
    </row>
    <row r="18" spans="1:52" s="53" customFormat="1" x14ac:dyDescent="0.25">
      <c r="A18" s="16">
        <f t="shared" ref="A18:A39" si="14">A17+1</f>
        <v>10</v>
      </c>
      <c r="B18" s="588"/>
      <c r="C18" s="424" t="s">
        <v>66</v>
      </c>
      <c r="D18" s="675">
        <v>1984</v>
      </c>
      <c r="E18" s="675">
        <v>3</v>
      </c>
      <c r="F18" s="675">
        <v>24</v>
      </c>
      <c r="G18" s="675">
        <v>68</v>
      </c>
      <c r="H18" s="676">
        <v>1448</v>
      </c>
      <c r="I18" s="676">
        <v>3287.64</v>
      </c>
      <c r="J18" s="676">
        <v>2068.5500000000002</v>
      </c>
      <c r="K18" s="521">
        <v>50911.68</v>
      </c>
      <c r="L18" s="521">
        <v>51846.49</v>
      </c>
      <c r="M18" s="521">
        <f t="shared" si="0"/>
        <v>54199.32</v>
      </c>
      <c r="N18" s="521">
        <f t="shared" si="1"/>
        <v>53915.040000000001</v>
      </c>
      <c r="O18" s="521">
        <f t="shared" si="2"/>
        <v>51085.811009206693</v>
      </c>
      <c r="P18" s="524"/>
      <c r="Q18" s="521"/>
      <c r="R18" s="522"/>
      <c r="S18" s="522"/>
      <c r="T18" s="522">
        <f t="shared" si="3"/>
        <v>738.13976893053552</v>
      </c>
      <c r="U18" s="522">
        <v>2331</v>
      </c>
      <c r="V18" s="522">
        <f t="shared" si="4"/>
        <v>15996.655178874214</v>
      </c>
      <c r="W18" s="522"/>
      <c r="X18" s="522">
        <f t="shared" si="5"/>
        <v>17916.2014295958</v>
      </c>
      <c r="Y18" s="522">
        <f t="shared" si="6"/>
        <v>3619.0726887783517</v>
      </c>
      <c r="Z18" s="522">
        <f t="shared" si="7"/>
        <v>1842.5753260479487</v>
      </c>
      <c r="AA18" s="522">
        <f t="shared" si="8"/>
        <v>8642.1666169798464</v>
      </c>
      <c r="AB18" s="522"/>
      <c r="AC18" s="522">
        <f t="shared" si="9"/>
        <v>3113.508990793307</v>
      </c>
      <c r="AD18" s="522">
        <f t="shared" si="10"/>
        <v>101.83614054770929</v>
      </c>
      <c r="AE18" s="522">
        <f t="shared" si="11"/>
        <v>62.918993563772197</v>
      </c>
      <c r="AF18" s="522">
        <f t="shared" si="12"/>
        <v>8.8200640554569567</v>
      </c>
      <c r="AG18" s="523">
        <v>8.7899999999999991</v>
      </c>
      <c r="AH18" s="467">
        <f t="shared" si="13"/>
        <v>284.27999999999884</v>
      </c>
      <c r="AI18" s="250"/>
      <c r="AJ18" s="250"/>
      <c r="AK18" s="35"/>
      <c r="AL18" s="66"/>
      <c r="AM18" s="66"/>
      <c r="AN18" s="66"/>
      <c r="AO18" s="35"/>
      <c r="AP18" s="35"/>
      <c r="AQ18" s="67"/>
      <c r="AR18" s="67"/>
      <c r="AS18" s="67"/>
      <c r="AT18" s="68"/>
      <c r="AU18" s="67"/>
      <c r="AV18" s="68"/>
      <c r="AW18" s="67"/>
      <c r="AX18" s="130"/>
      <c r="AY18" s="35"/>
      <c r="AZ18" s="30"/>
    </row>
    <row r="19" spans="1:52" s="53" customFormat="1" x14ac:dyDescent="0.25">
      <c r="A19" s="16">
        <f t="shared" si="14"/>
        <v>11</v>
      </c>
      <c r="B19" s="588"/>
      <c r="C19" s="424" t="s">
        <v>67</v>
      </c>
      <c r="D19" s="675">
        <v>1987</v>
      </c>
      <c r="E19" s="675">
        <v>3</v>
      </c>
      <c r="F19" s="675">
        <v>27</v>
      </c>
      <c r="G19" s="675">
        <v>82</v>
      </c>
      <c r="H19" s="676">
        <v>1459.2</v>
      </c>
      <c r="I19" s="676">
        <v>3287.6</v>
      </c>
      <c r="J19" s="676">
        <v>1891.15</v>
      </c>
      <c r="K19" s="521">
        <v>51342.46</v>
      </c>
      <c r="L19" s="521">
        <v>47232.01</v>
      </c>
      <c r="M19" s="521">
        <f t="shared" si="0"/>
        <v>54630.06</v>
      </c>
      <c r="N19" s="521">
        <f t="shared" si="1"/>
        <v>49123.16</v>
      </c>
      <c r="O19" s="521">
        <f t="shared" si="2"/>
        <v>54780.660478429738</v>
      </c>
      <c r="P19" s="524">
        <v>347</v>
      </c>
      <c r="Q19" s="521"/>
      <c r="R19" s="522"/>
      <c r="S19" s="522"/>
      <c r="T19" s="522">
        <f t="shared" si="3"/>
        <v>743.84913730900371</v>
      </c>
      <c r="U19" s="522">
        <v>5288.78</v>
      </c>
      <c r="V19" s="522">
        <f t="shared" si="4"/>
        <v>16132.00799217669</v>
      </c>
      <c r="W19" s="522"/>
      <c r="X19" s="522">
        <f t="shared" si="5"/>
        <v>18054.779783194885</v>
      </c>
      <c r="Y19" s="522">
        <f t="shared" si="6"/>
        <v>3647.0655162053667</v>
      </c>
      <c r="Z19" s="522">
        <f t="shared" si="7"/>
        <v>1858.1659449188039</v>
      </c>
      <c r="AA19" s="522">
        <f t="shared" si="8"/>
        <v>8709.0121046249933</v>
      </c>
      <c r="AB19" s="522"/>
      <c r="AC19" s="522">
        <f t="shared" si="9"/>
        <v>-150.60047842974018</v>
      </c>
      <c r="AD19" s="522">
        <f t="shared" si="10"/>
        <v>91.994053265075351</v>
      </c>
      <c r="AE19" s="522">
        <f t="shared" si="11"/>
        <v>57.523725514052806</v>
      </c>
      <c r="AF19" s="522">
        <f t="shared" si="12"/>
        <v>9.3853927628888663</v>
      </c>
      <c r="AG19" s="523">
        <v>8.7899999999999991</v>
      </c>
      <c r="AH19" s="467">
        <f t="shared" si="13"/>
        <v>5506.8999999999942</v>
      </c>
      <c r="AI19" s="250"/>
      <c r="AJ19" s="250"/>
      <c r="AK19" s="35"/>
      <c r="AL19" s="66"/>
      <c r="AM19" s="66"/>
      <c r="AN19" s="66"/>
      <c r="AO19" s="35"/>
      <c r="AP19" s="35"/>
      <c r="AQ19" s="67"/>
      <c r="AR19" s="67"/>
      <c r="AS19" s="67"/>
      <c r="AT19" s="68"/>
      <c r="AU19" s="67"/>
      <c r="AV19" s="68"/>
      <c r="AW19" s="67"/>
      <c r="AX19" s="130"/>
      <c r="AY19" s="35"/>
      <c r="AZ19" s="30"/>
    </row>
    <row r="20" spans="1:52" s="53" customFormat="1" x14ac:dyDescent="0.25">
      <c r="A20" s="16">
        <f t="shared" si="14"/>
        <v>12</v>
      </c>
      <c r="B20" s="587">
        <v>42491</v>
      </c>
      <c r="C20" s="424" t="s">
        <v>68</v>
      </c>
      <c r="D20" s="675">
        <v>1952</v>
      </c>
      <c r="E20" s="675">
        <v>1</v>
      </c>
      <c r="F20" s="675">
        <v>2</v>
      </c>
      <c r="G20" s="675">
        <v>5</v>
      </c>
      <c r="H20" s="676">
        <v>58.6</v>
      </c>
      <c r="I20" s="676">
        <v>0</v>
      </c>
      <c r="J20" s="676">
        <v>0</v>
      </c>
      <c r="K20" s="521">
        <v>1073.56</v>
      </c>
      <c r="L20" s="521">
        <v>490.06</v>
      </c>
      <c r="M20" s="521">
        <f t="shared" si="0"/>
        <v>1073.56</v>
      </c>
      <c r="N20" s="521">
        <f t="shared" si="1"/>
        <v>490.06</v>
      </c>
      <c r="O20" s="521">
        <f t="shared" si="2"/>
        <v>755.78811092151591</v>
      </c>
      <c r="P20" s="524"/>
      <c r="Q20" s="521"/>
      <c r="R20" s="522"/>
      <c r="S20" s="522"/>
      <c r="T20" s="522">
        <f t="shared" si="3"/>
        <v>29.872230980199848</v>
      </c>
      <c r="U20" s="525"/>
      <c r="V20" s="522">
        <f t="shared" si="4"/>
        <v>337.31688158458337</v>
      </c>
      <c r="W20" s="522"/>
      <c r="X20" s="522"/>
      <c r="Y20" s="522">
        <f t="shared" si="6"/>
        <v>0</v>
      </c>
      <c r="Z20" s="522">
        <f t="shared" si="7"/>
        <v>38.853857641940628</v>
      </c>
      <c r="AA20" s="522">
        <f t="shared" si="8"/>
        <v>349.74514071479211</v>
      </c>
      <c r="AB20" s="522"/>
      <c r="AC20" s="522">
        <f t="shared" si="9"/>
        <v>317.77188907848404</v>
      </c>
      <c r="AD20" s="522">
        <f t="shared" si="10"/>
        <v>45.648123998658669</v>
      </c>
      <c r="AE20" s="522">
        <v>0</v>
      </c>
      <c r="AF20" s="522">
        <f t="shared" si="12"/>
        <v>3.2243520090508357</v>
      </c>
      <c r="AG20" s="523">
        <v>4.58</v>
      </c>
      <c r="AH20" s="467">
        <f t="shared" si="13"/>
        <v>583.5</v>
      </c>
      <c r="AI20" s="250"/>
      <c r="AJ20" s="250"/>
      <c r="AK20" s="35"/>
      <c r="AL20" s="66"/>
      <c r="AM20" s="66"/>
      <c r="AN20" s="66"/>
      <c r="AO20" s="35"/>
      <c r="AP20" s="35"/>
      <c r="AQ20" s="67"/>
      <c r="AR20" s="67"/>
      <c r="AS20" s="67"/>
      <c r="AT20" s="68"/>
      <c r="AU20" s="67"/>
      <c r="AV20" s="30"/>
      <c r="AW20" s="67"/>
      <c r="AX20" s="130"/>
      <c r="AY20" s="35"/>
      <c r="AZ20" s="30"/>
    </row>
    <row r="21" spans="1:52" s="53" customFormat="1" x14ac:dyDescent="0.25">
      <c r="A21" s="16">
        <f t="shared" si="14"/>
        <v>13</v>
      </c>
      <c r="B21" s="586">
        <v>42461</v>
      </c>
      <c r="C21" s="424" t="s">
        <v>69</v>
      </c>
      <c r="D21" s="675">
        <v>1940</v>
      </c>
      <c r="E21" s="675">
        <v>1</v>
      </c>
      <c r="F21" s="675">
        <v>1</v>
      </c>
      <c r="G21" s="675">
        <v>8</v>
      </c>
      <c r="H21" s="676">
        <v>29.9</v>
      </c>
      <c r="I21" s="676">
        <v>0</v>
      </c>
      <c r="J21" s="676">
        <v>0</v>
      </c>
      <c r="K21" s="521">
        <v>547.76</v>
      </c>
      <c r="L21" s="521">
        <v>911.29</v>
      </c>
      <c r="M21" s="521">
        <f t="shared" si="0"/>
        <v>547.76</v>
      </c>
      <c r="N21" s="521">
        <f t="shared" si="1"/>
        <v>911.29</v>
      </c>
      <c r="O21" s="521">
        <f t="shared" si="2"/>
        <v>385.62826683349624</v>
      </c>
      <c r="P21" s="524"/>
      <c r="Q21" s="521"/>
      <c r="R21" s="522"/>
      <c r="S21" s="522"/>
      <c r="T21" s="522">
        <f t="shared" si="3"/>
        <v>15.241974510375007</v>
      </c>
      <c r="U21" s="525"/>
      <c r="V21" s="522">
        <f t="shared" si="4"/>
        <v>172.10840107378385</v>
      </c>
      <c r="W21" s="522"/>
      <c r="X21" s="522"/>
      <c r="Y21" s="522">
        <f t="shared" si="6"/>
        <v>0</v>
      </c>
      <c r="Z21" s="522">
        <f t="shared" si="7"/>
        <v>19.824312625236967</v>
      </c>
      <c r="AA21" s="522">
        <f t="shared" si="8"/>
        <v>178.4535786241004</v>
      </c>
      <c r="AB21" s="522"/>
      <c r="AC21" s="522">
        <f t="shared" si="9"/>
        <v>162.13173316650375</v>
      </c>
      <c r="AD21" s="522">
        <f t="shared" si="10"/>
        <v>166.36665693004235</v>
      </c>
      <c r="AE21" s="522">
        <v>0</v>
      </c>
      <c r="AF21" s="522">
        <f t="shared" si="12"/>
        <v>3.2243166123202029</v>
      </c>
      <c r="AG21" s="523">
        <v>4.58</v>
      </c>
      <c r="AH21" s="467">
        <f t="shared" si="13"/>
        <v>-363.53</v>
      </c>
      <c r="AI21" s="250"/>
      <c r="AJ21" s="250"/>
      <c r="AK21" s="35"/>
      <c r="AL21" s="66"/>
      <c r="AM21" s="66"/>
      <c r="AN21" s="66"/>
      <c r="AO21" s="35"/>
      <c r="AP21" s="35"/>
      <c r="AQ21" s="67"/>
      <c r="AR21" s="67"/>
      <c r="AS21" s="67"/>
      <c r="AT21" s="68"/>
      <c r="AU21" s="67"/>
      <c r="AV21" s="68"/>
      <c r="AW21" s="67"/>
      <c r="AX21" s="130"/>
      <c r="AY21" s="35"/>
      <c r="AZ21" s="30"/>
    </row>
    <row r="22" spans="1:52" s="53" customFormat="1" x14ac:dyDescent="0.25">
      <c r="A22" s="16">
        <f t="shared" si="14"/>
        <v>14</v>
      </c>
      <c r="B22" s="586">
        <v>42461</v>
      </c>
      <c r="C22" s="424" t="s">
        <v>70</v>
      </c>
      <c r="D22" s="675">
        <v>1943</v>
      </c>
      <c r="E22" s="675">
        <v>1</v>
      </c>
      <c r="F22" s="675">
        <v>1</v>
      </c>
      <c r="G22" s="675">
        <v>3</v>
      </c>
      <c r="H22" s="676">
        <v>44.6</v>
      </c>
      <c r="I22" s="676">
        <v>0</v>
      </c>
      <c r="J22" s="676">
        <v>0</v>
      </c>
      <c r="K22" s="521">
        <v>817.08</v>
      </c>
      <c r="L22" s="521">
        <v>1021.35</v>
      </c>
      <c r="M22" s="521">
        <f t="shared" si="0"/>
        <v>817.08</v>
      </c>
      <c r="N22" s="521">
        <f t="shared" si="1"/>
        <v>1021.35</v>
      </c>
      <c r="O22" s="521">
        <f t="shared" si="2"/>
        <v>575.22506811281346</v>
      </c>
      <c r="P22" s="524"/>
      <c r="Q22" s="521"/>
      <c r="R22" s="522"/>
      <c r="S22" s="522"/>
      <c r="T22" s="522">
        <f t="shared" si="3"/>
        <v>22.735520507114561</v>
      </c>
      <c r="U22" s="525"/>
      <c r="V22" s="522">
        <f t="shared" si="4"/>
        <v>256.72983122054791</v>
      </c>
      <c r="W22" s="522"/>
      <c r="X22" s="522"/>
      <c r="Y22" s="522">
        <f t="shared" si="6"/>
        <v>0</v>
      </c>
      <c r="Z22" s="522">
        <f t="shared" si="7"/>
        <v>29.571435226793891</v>
      </c>
      <c r="AA22" s="522">
        <f t="shared" si="8"/>
        <v>266.18828115835714</v>
      </c>
      <c r="AB22" s="522"/>
      <c r="AC22" s="522">
        <f t="shared" si="9"/>
        <v>241.85493188718658</v>
      </c>
      <c r="AD22" s="522">
        <f t="shared" si="10"/>
        <v>125</v>
      </c>
      <c r="AE22" s="522">
        <v>0</v>
      </c>
      <c r="AF22" s="522">
        <f t="shared" si="12"/>
        <v>3.2243557629642008</v>
      </c>
      <c r="AG22" s="523">
        <v>4.58</v>
      </c>
      <c r="AH22" s="467">
        <f t="shared" si="13"/>
        <v>-204.26999999999998</v>
      </c>
      <c r="AI22" s="250"/>
      <c r="AJ22" s="250"/>
      <c r="AK22" s="35"/>
      <c r="AL22" s="66"/>
      <c r="AM22" s="66"/>
      <c r="AN22" s="66"/>
      <c r="AO22" s="35"/>
      <c r="AP22" s="35"/>
      <c r="AQ22" s="67"/>
      <c r="AR22" s="67"/>
      <c r="AS22" s="67"/>
      <c r="AT22" s="68"/>
      <c r="AU22" s="67"/>
      <c r="AV22" s="68"/>
      <c r="AW22" s="67"/>
      <c r="AX22" s="130"/>
      <c r="AY22" s="35"/>
      <c r="AZ22" s="30"/>
    </row>
    <row r="23" spans="1:52" s="53" customFormat="1" x14ac:dyDescent="0.25">
      <c r="A23" s="16">
        <f t="shared" si="14"/>
        <v>15</v>
      </c>
      <c r="B23" s="586">
        <v>42461</v>
      </c>
      <c r="C23" s="424" t="s">
        <v>71</v>
      </c>
      <c r="D23" s="675">
        <v>1962</v>
      </c>
      <c r="E23" s="675">
        <v>1</v>
      </c>
      <c r="F23" s="675">
        <v>2</v>
      </c>
      <c r="G23" s="675">
        <v>7</v>
      </c>
      <c r="H23" s="676">
        <v>85.8</v>
      </c>
      <c r="I23" s="676">
        <v>0</v>
      </c>
      <c r="J23" s="676">
        <v>0</v>
      </c>
      <c r="K23" s="521">
        <v>2340.64</v>
      </c>
      <c r="L23" s="521">
        <v>2052.09</v>
      </c>
      <c r="M23" s="521">
        <f t="shared" si="0"/>
        <v>2340.64</v>
      </c>
      <c r="N23" s="521">
        <f t="shared" si="1"/>
        <v>2052.09</v>
      </c>
      <c r="O23" s="521">
        <f t="shared" si="2"/>
        <v>1375.9720640135165</v>
      </c>
      <c r="P23" s="524"/>
      <c r="Q23" s="521"/>
      <c r="R23" s="522"/>
      <c r="S23" s="522"/>
      <c r="T23" s="522">
        <f t="shared" si="3"/>
        <v>43.737839899336976</v>
      </c>
      <c r="U23" s="525"/>
      <c r="V23" s="522">
        <f t="shared" si="4"/>
        <v>735.43852762038375</v>
      </c>
      <c r="W23" s="522"/>
      <c r="X23" s="522"/>
      <c r="Y23" s="522">
        <f t="shared" si="6"/>
        <v>0</v>
      </c>
      <c r="Z23" s="522">
        <f t="shared" si="7"/>
        <v>84.711514355072751</v>
      </c>
      <c r="AA23" s="522">
        <f t="shared" si="8"/>
        <v>512.08418213872289</v>
      </c>
      <c r="AB23" s="522"/>
      <c r="AC23" s="522">
        <f t="shared" si="9"/>
        <v>964.66793598648337</v>
      </c>
      <c r="AD23" s="522">
        <f t="shared" si="10"/>
        <v>87.672175131587949</v>
      </c>
      <c r="AE23" s="522">
        <v>0</v>
      </c>
      <c r="AF23" s="522">
        <f t="shared" si="12"/>
        <v>4.0092426107619943</v>
      </c>
      <c r="AG23" s="523">
        <v>6.82</v>
      </c>
      <c r="AH23" s="467">
        <f t="shared" si="13"/>
        <v>288.54999999999973</v>
      </c>
      <c r="AI23" s="250"/>
      <c r="AJ23" s="250"/>
      <c r="AK23" s="35"/>
      <c r="AL23" s="66"/>
      <c r="AM23" s="66"/>
      <c r="AN23" s="66"/>
      <c r="AO23" s="35"/>
      <c r="AP23" s="35"/>
      <c r="AQ23" s="67"/>
      <c r="AR23" s="67"/>
      <c r="AS23" s="67"/>
      <c r="AT23" s="68"/>
      <c r="AU23" s="67"/>
      <c r="AV23" s="68"/>
      <c r="AW23" s="67"/>
      <c r="AX23" s="130"/>
      <c r="AY23" s="35"/>
      <c r="AZ23" s="30"/>
    </row>
    <row r="24" spans="1:52" s="53" customFormat="1" x14ac:dyDescent="0.25">
      <c r="A24" s="16">
        <f t="shared" si="14"/>
        <v>16</v>
      </c>
      <c r="B24" s="588"/>
      <c r="C24" s="424" t="s">
        <v>72</v>
      </c>
      <c r="D24" s="675">
        <v>1968</v>
      </c>
      <c r="E24" s="675">
        <v>2</v>
      </c>
      <c r="F24" s="675">
        <v>16</v>
      </c>
      <c r="G24" s="675">
        <v>36</v>
      </c>
      <c r="H24" s="676">
        <v>722.8</v>
      </c>
      <c r="I24" s="676">
        <v>1111.3800000000001</v>
      </c>
      <c r="J24" s="676">
        <v>573.22</v>
      </c>
      <c r="K24" s="521">
        <v>23817.599999999999</v>
      </c>
      <c r="L24" s="521">
        <v>19797.669999999998</v>
      </c>
      <c r="M24" s="521">
        <f t="shared" si="0"/>
        <v>24928.98</v>
      </c>
      <c r="N24" s="521">
        <f t="shared" si="1"/>
        <v>20370.89</v>
      </c>
      <c r="O24" s="521">
        <f t="shared" si="2"/>
        <v>25259.232710686108</v>
      </c>
      <c r="P24" s="524"/>
      <c r="Q24" s="521"/>
      <c r="R24" s="522"/>
      <c r="S24" s="522"/>
      <c r="T24" s="522">
        <f t="shared" si="3"/>
        <v>368.45816642471755</v>
      </c>
      <c r="U24" s="522">
        <v>1481.48</v>
      </c>
      <c r="V24" s="522">
        <f t="shared" si="4"/>
        <v>7483.5859745416865</v>
      </c>
      <c r="W24" s="522"/>
      <c r="X24" s="522">
        <f t="shared" ref="X24:X26" si="15">202404.45/16358.47*H24</f>
        <v>8943.2530340551402</v>
      </c>
      <c r="Y24" s="522">
        <f t="shared" si="6"/>
        <v>1806.5371128791385</v>
      </c>
      <c r="Z24" s="522">
        <f t="shared" si="7"/>
        <v>861.99713082891037</v>
      </c>
      <c r="AA24" s="522">
        <f t="shared" si="8"/>
        <v>4313.9212919565134</v>
      </c>
      <c r="AB24" s="522"/>
      <c r="AC24" s="522">
        <f t="shared" si="9"/>
        <v>-330.25271068610891</v>
      </c>
      <c r="AD24" s="522">
        <f t="shared" si="10"/>
        <v>83.122019011151423</v>
      </c>
      <c r="AE24" s="522">
        <f t="shared" si="11"/>
        <v>51.577318288974062</v>
      </c>
      <c r="AF24" s="522">
        <f t="shared" si="12"/>
        <v>8.7365912806744976</v>
      </c>
      <c r="AG24" s="523">
        <v>8.27</v>
      </c>
      <c r="AH24" s="467">
        <f t="shared" si="13"/>
        <v>4558.09</v>
      </c>
      <c r="AI24" s="250"/>
      <c r="AJ24" s="250"/>
      <c r="AK24" s="35"/>
      <c r="AL24" s="66"/>
      <c r="AM24" s="66"/>
      <c r="AN24" s="66"/>
      <c r="AO24" s="35"/>
      <c r="AP24" s="35"/>
      <c r="AQ24" s="67"/>
      <c r="AR24" s="67"/>
      <c r="AS24" s="67"/>
      <c r="AT24" s="68"/>
      <c r="AU24" s="67"/>
      <c r="AV24" s="68"/>
      <c r="AW24" s="67"/>
      <c r="AX24" s="130"/>
      <c r="AY24" s="35"/>
      <c r="AZ24" s="30"/>
    </row>
    <row r="25" spans="1:52" s="53" customFormat="1" x14ac:dyDescent="0.25">
      <c r="A25" s="16">
        <f t="shared" si="14"/>
        <v>17</v>
      </c>
      <c r="B25" s="588"/>
      <c r="C25" s="424" t="s">
        <v>73</v>
      </c>
      <c r="D25" s="675">
        <v>1971</v>
      </c>
      <c r="E25" s="675">
        <v>2</v>
      </c>
      <c r="F25" s="675">
        <v>16</v>
      </c>
      <c r="G25" s="675">
        <v>47</v>
      </c>
      <c r="H25" s="676">
        <v>727.4</v>
      </c>
      <c r="I25" s="676">
        <v>1111.3499999999999</v>
      </c>
      <c r="J25" s="676">
        <v>480.29</v>
      </c>
      <c r="K25" s="521">
        <v>24059.08</v>
      </c>
      <c r="L25" s="521">
        <v>18476.759999999998</v>
      </c>
      <c r="M25" s="521">
        <f t="shared" si="0"/>
        <v>25170.43</v>
      </c>
      <c r="N25" s="521">
        <f t="shared" si="1"/>
        <v>18957.05</v>
      </c>
      <c r="O25" s="521">
        <f t="shared" si="2"/>
        <v>25442.058728424465</v>
      </c>
      <c r="P25" s="524"/>
      <c r="Q25" s="521"/>
      <c r="R25" s="522"/>
      <c r="S25" s="522"/>
      <c r="T25" s="522">
        <f t="shared" si="3"/>
        <v>370.80308558015986</v>
      </c>
      <c r="U25" s="522">
        <v>1481.48</v>
      </c>
      <c r="V25" s="522">
        <f t="shared" si="4"/>
        <v>7559.4599644118807</v>
      </c>
      <c r="W25" s="522"/>
      <c r="X25" s="522">
        <f t="shared" si="15"/>
        <v>9000.16914356905</v>
      </c>
      <c r="Y25" s="522">
        <f t="shared" si="6"/>
        <v>1818.0341670009482</v>
      </c>
      <c r="Z25" s="522">
        <f t="shared" si="7"/>
        <v>870.7366791945127</v>
      </c>
      <c r="AA25" s="522">
        <f t="shared" si="8"/>
        <v>4341.3756886679139</v>
      </c>
      <c r="AB25" s="522"/>
      <c r="AC25" s="522">
        <f t="shared" si="9"/>
        <v>-271.6287284244645</v>
      </c>
      <c r="AD25" s="522">
        <f t="shared" si="10"/>
        <v>76.797450276569165</v>
      </c>
      <c r="AE25" s="522">
        <f t="shared" si="11"/>
        <v>43.216808386196973</v>
      </c>
      <c r="AF25" s="522">
        <f t="shared" si="12"/>
        <v>8.744177456840962</v>
      </c>
      <c r="AG25" s="523">
        <v>8.27</v>
      </c>
      <c r="AH25" s="467">
        <f t="shared" si="13"/>
        <v>6213.380000000001</v>
      </c>
      <c r="AI25" s="250"/>
      <c r="AJ25" s="250"/>
      <c r="AK25" s="35"/>
      <c r="AL25" s="66"/>
      <c r="AM25" s="66"/>
      <c r="AN25" s="66"/>
      <c r="AO25" s="35"/>
      <c r="AP25" s="35"/>
      <c r="AQ25" s="67"/>
      <c r="AR25" s="67"/>
      <c r="AS25" s="67"/>
      <c r="AT25" s="68"/>
      <c r="AU25" s="67"/>
      <c r="AV25" s="68"/>
      <c r="AW25" s="67"/>
      <c r="AX25" s="130"/>
      <c r="AY25" s="35"/>
      <c r="AZ25" s="30"/>
    </row>
    <row r="26" spans="1:52" s="53" customFormat="1" x14ac:dyDescent="0.25">
      <c r="A26" s="16">
        <f t="shared" si="14"/>
        <v>18</v>
      </c>
      <c r="B26" s="588"/>
      <c r="C26" s="424" t="s">
        <v>74</v>
      </c>
      <c r="D26" s="675">
        <v>1960</v>
      </c>
      <c r="E26" s="675">
        <v>2</v>
      </c>
      <c r="F26" s="675">
        <v>16</v>
      </c>
      <c r="G26" s="675">
        <v>44</v>
      </c>
      <c r="H26" s="676">
        <v>724.7</v>
      </c>
      <c r="I26" s="676">
        <v>1092.81</v>
      </c>
      <c r="J26" s="676">
        <v>590.61</v>
      </c>
      <c r="K26" s="521">
        <v>23973.119999999999</v>
      </c>
      <c r="L26" s="521">
        <v>21831.55</v>
      </c>
      <c r="M26" s="521">
        <f t="shared" si="0"/>
        <v>25065.93</v>
      </c>
      <c r="N26" s="521">
        <f t="shared" si="1"/>
        <v>22422.16</v>
      </c>
      <c r="O26" s="521">
        <f t="shared" si="2"/>
        <v>25333.572264174301</v>
      </c>
      <c r="P26" s="524"/>
      <c r="Q26" s="521"/>
      <c r="R26" s="522"/>
      <c r="S26" s="522"/>
      <c r="T26" s="522">
        <f t="shared" si="3"/>
        <v>369.426719988922</v>
      </c>
      <c r="U26" s="522">
        <v>1460.76</v>
      </c>
      <c r="V26" s="522">
        <f t="shared" si="4"/>
        <v>7532.4509857418379</v>
      </c>
      <c r="W26" s="522"/>
      <c r="X26" s="522">
        <f t="shared" si="15"/>
        <v>8966.7618618978431</v>
      </c>
      <c r="Y26" s="522">
        <f t="shared" si="6"/>
        <v>1811.2858961033644</v>
      </c>
      <c r="Z26" s="522">
        <f t="shared" si="7"/>
        <v>867.6256489745889</v>
      </c>
      <c r="AA26" s="522">
        <f t="shared" si="8"/>
        <v>4325.2611514677446</v>
      </c>
      <c r="AB26" s="522"/>
      <c r="AC26" s="522">
        <f t="shared" si="9"/>
        <v>-267.64226417430109</v>
      </c>
      <c r="AD26" s="522">
        <f t="shared" si="10"/>
        <v>91.066786467510269</v>
      </c>
      <c r="AE26" s="522">
        <f t="shared" si="11"/>
        <v>54.04507645427843</v>
      </c>
      <c r="AF26" s="522">
        <f t="shared" si="12"/>
        <v>8.7393308486871462</v>
      </c>
      <c r="AG26" s="523">
        <v>8.27</v>
      </c>
      <c r="AH26" s="467">
        <f t="shared" si="13"/>
        <v>2643.7700000000004</v>
      </c>
      <c r="AI26" s="250"/>
      <c r="AJ26" s="250"/>
      <c r="AK26" s="35"/>
      <c r="AL26" s="66"/>
      <c r="AM26" s="66"/>
      <c r="AN26" s="66"/>
      <c r="AO26" s="35"/>
      <c r="AP26" s="35"/>
      <c r="AQ26" s="67"/>
      <c r="AR26" s="67"/>
      <c r="AS26" s="67"/>
      <c r="AT26" s="68"/>
      <c r="AU26" s="67"/>
      <c r="AV26" s="68"/>
      <c r="AW26" s="67"/>
      <c r="AX26" s="130"/>
      <c r="AY26" s="35"/>
      <c r="AZ26" s="30"/>
    </row>
    <row r="27" spans="1:52" s="53" customFormat="1" x14ac:dyDescent="0.25">
      <c r="A27" s="16">
        <f t="shared" si="14"/>
        <v>19</v>
      </c>
      <c r="B27" s="587">
        <v>42491</v>
      </c>
      <c r="C27" s="424" t="s">
        <v>75</v>
      </c>
      <c r="D27" s="675">
        <v>1961</v>
      </c>
      <c r="E27" s="675">
        <v>1</v>
      </c>
      <c r="F27" s="675">
        <v>1</v>
      </c>
      <c r="G27" s="675">
        <v>1</v>
      </c>
      <c r="H27" s="770">
        <v>44</v>
      </c>
      <c r="I27" s="770">
        <v>0</v>
      </c>
      <c r="J27" s="770">
        <v>0</v>
      </c>
      <c r="K27" s="521">
        <v>1200.32</v>
      </c>
      <c r="L27" s="521">
        <v>0</v>
      </c>
      <c r="M27" s="521">
        <f t="shared" si="0"/>
        <v>1200.32</v>
      </c>
      <c r="N27" s="521">
        <f t="shared" si="1"/>
        <v>0</v>
      </c>
      <c r="O27" s="521">
        <f t="shared" si="2"/>
        <v>705.62382445299318</v>
      </c>
      <c r="P27" s="524"/>
      <c r="Q27" s="521"/>
      <c r="R27" s="522"/>
      <c r="S27" s="522"/>
      <c r="T27" s="522">
        <f t="shared" si="3"/>
        <v>22.429661486839475</v>
      </c>
      <c r="U27" s="522"/>
      <c r="V27" s="522">
        <f t="shared" si="4"/>
        <v>377.14538479787541</v>
      </c>
      <c r="W27" s="522"/>
      <c r="X27" s="522"/>
      <c r="Y27" s="522">
        <f t="shared" si="6"/>
        <v>0</v>
      </c>
      <c r="Z27" s="522">
        <f t="shared" si="7"/>
        <v>43.441505276625591</v>
      </c>
      <c r="AA27" s="522">
        <f t="shared" si="8"/>
        <v>262.60727289165277</v>
      </c>
      <c r="AB27" s="522"/>
      <c r="AC27" s="522">
        <f t="shared" si="9"/>
        <v>494.69617554700676</v>
      </c>
      <c r="AD27" s="522">
        <f t="shared" si="10"/>
        <v>0</v>
      </c>
      <c r="AE27" s="522">
        <v>0</v>
      </c>
      <c r="AF27" s="522">
        <f t="shared" si="12"/>
        <v>4.0092262753010974</v>
      </c>
      <c r="AG27" s="523">
        <v>6.82</v>
      </c>
      <c r="AH27" s="467">
        <f t="shared" si="13"/>
        <v>1200.32</v>
      </c>
      <c r="AI27" s="250"/>
      <c r="AJ27" s="250"/>
      <c r="AK27" s="35"/>
      <c r="AL27" s="66"/>
      <c r="AM27" s="66"/>
      <c r="AN27" s="66"/>
      <c r="AO27" s="35"/>
      <c r="AP27" s="35"/>
      <c r="AQ27" s="67"/>
      <c r="AR27" s="67"/>
      <c r="AS27" s="67"/>
      <c r="AT27" s="68"/>
      <c r="AU27" s="67"/>
      <c r="AV27" s="30"/>
      <c r="AW27" s="67"/>
      <c r="AX27" s="130"/>
      <c r="AY27" s="35"/>
      <c r="AZ27" s="30"/>
    </row>
    <row r="28" spans="1:52" s="53" customFormat="1" x14ac:dyDescent="0.25">
      <c r="A28" s="16">
        <f t="shared" si="14"/>
        <v>20</v>
      </c>
      <c r="B28" s="586">
        <v>42461</v>
      </c>
      <c r="C28" s="424" t="s">
        <v>76</v>
      </c>
      <c r="D28" s="675">
        <v>1964</v>
      </c>
      <c r="E28" s="675">
        <v>1</v>
      </c>
      <c r="F28" s="675">
        <v>2</v>
      </c>
      <c r="G28" s="675">
        <v>3</v>
      </c>
      <c r="H28" s="770">
        <v>85</v>
      </c>
      <c r="I28" s="770">
        <v>0</v>
      </c>
      <c r="J28" s="770">
        <v>0</v>
      </c>
      <c r="K28" s="521">
        <v>748</v>
      </c>
      <c r="L28" s="521">
        <v>845.73</v>
      </c>
      <c r="M28" s="521">
        <f t="shared" si="0"/>
        <v>748</v>
      </c>
      <c r="N28" s="521">
        <f t="shared" si="1"/>
        <v>845.73</v>
      </c>
      <c r="O28" s="521">
        <f t="shared" si="2"/>
        <v>812.73546821895377</v>
      </c>
      <c r="P28" s="524"/>
      <c r="Q28" s="521"/>
      <c r="R28" s="522"/>
      <c r="S28" s="522"/>
      <c r="T28" s="522">
        <f t="shared" si="3"/>
        <v>43.330027872303532</v>
      </c>
      <c r="U28" s="522"/>
      <c r="V28" s="522">
        <f t="shared" si="4"/>
        <v>235.02461662624199</v>
      </c>
      <c r="W28" s="522"/>
      <c r="X28" s="522"/>
      <c r="Y28" s="522">
        <f t="shared" si="6"/>
        <v>0</v>
      </c>
      <c r="Z28" s="522">
        <f t="shared" si="7"/>
        <v>27.071319270624457</v>
      </c>
      <c r="AA28" s="522">
        <f t="shared" si="8"/>
        <v>507.30950444978373</v>
      </c>
      <c r="AB28" s="522"/>
      <c r="AC28" s="522">
        <f t="shared" si="9"/>
        <v>-64.73546821895377</v>
      </c>
      <c r="AD28" s="522">
        <f t="shared" si="10"/>
        <v>113.06550802139037</v>
      </c>
      <c r="AE28" s="522">
        <v>0</v>
      </c>
      <c r="AF28" s="522">
        <f t="shared" si="12"/>
        <v>2.3903984359380992</v>
      </c>
      <c r="AG28" s="523">
        <v>2.2000000000000002</v>
      </c>
      <c r="AH28" s="467">
        <f t="shared" si="13"/>
        <v>-97.730000000000018</v>
      </c>
      <c r="AI28" s="250"/>
      <c r="AJ28" s="250"/>
      <c r="AK28" s="35"/>
      <c r="AL28" s="66"/>
      <c r="AM28" s="66"/>
      <c r="AN28" s="66"/>
      <c r="AO28" s="35"/>
      <c r="AP28" s="35"/>
      <c r="AQ28" s="67"/>
      <c r="AR28" s="67"/>
      <c r="AS28" s="67"/>
      <c r="AT28" s="68"/>
      <c r="AU28" s="67"/>
      <c r="AV28" s="30"/>
      <c r="AW28" s="67"/>
      <c r="AX28" s="130"/>
      <c r="AY28" s="35"/>
      <c r="AZ28" s="30"/>
    </row>
    <row r="29" spans="1:52" s="53" customFormat="1" x14ac:dyDescent="0.25">
      <c r="A29" s="16">
        <f t="shared" si="14"/>
        <v>21</v>
      </c>
      <c r="B29" s="587">
        <v>42491</v>
      </c>
      <c r="C29" s="424" t="s">
        <v>77</v>
      </c>
      <c r="D29" s="675">
        <v>1962</v>
      </c>
      <c r="E29" s="675">
        <v>1</v>
      </c>
      <c r="F29" s="675">
        <v>2</v>
      </c>
      <c r="G29" s="675">
        <v>6</v>
      </c>
      <c r="H29" s="770">
        <v>88</v>
      </c>
      <c r="I29" s="770">
        <v>0</v>
      </c>
      <c r="J29" s="770">
        <v>0</v>
      </c>
      <c r="K29" s="521">
        <v>2400.64</v>
      </c>
      <c r="L29" s="521">
        <v>1200.32</v>
      </c>
      <c r="M29" s="521">
        <f t="shared" si="0"/>
        <v>2400.64</v>
      </c>
      <c r="N29" s="521">
        <f t="shared" si="1"/>
        <v>1200.32</v>
      </c>
      <c r="O29" s="521">
        <f t="shared" si="2"/>
        <v>1411.2476489059864</v>
      </c>
      <c r="P29" s="524"/>
      <c r="Q29" s="521"/>
      <c r="R29" s="522"/>
      <c r="S29" s="522"/>
      <c r="T29" s="522">
        <f t="shared" si="3"/>
        <v>44.85932297367895</v>
      </c>
      <c r="U29" s="522"/>
      <c r="V29" s="522">
        <f t="shared" si="4"/>
        <v>754.29076959575082</v>
      </c>
      <c r="W29" s="522"/>
      <c r="X29" s="522"/>
      <c r="Y29" s="522">
        <f t="shared" si="6"/>
        <v>0</v>
      </c>
      <c r="Z29" s="522">
        <f t="shared" si="7"/>
        <v>86.883010553251182</v>
      </c>
      <c r="AA29" s="522">
        <f t="shared" si="8"/>
        <v>525.21454578330554</v>
      </c>
      <c r="AB29" s="522"/>
      <c r="AC29" s="522">
        <f t="shared" si="9"/>
        <v>989.39235109401352</v>
      </c>
      <c r="AD29" s="522">
        <f t="shared" si="10"/>
        <v>50</v>
      </c>
      <c r="AE29" s="522">
        <v>0</v>
      </c>
      <c r="AF29" s="522">
        <f t="shared" si="12"/>
        <v>4.0092262753010974</v>
      </c>
      <c r="AG29" s="523">
        <v>6.82</v>
      </c>
      <c r="AH29" s="467">
        <f t="shared" si="13"/>
        <v>1200.32</v>
      </c>
      <c r="AI29" s="250"/>
      <c r="AJ29" s="250"/>
      <c r="AK29" s="35"/>
      <c r="AL29" s="66"/>
      <c r="AM29" s="66"/>
      <c r="AN29" s="66"/>
      <c r="AO29" s="35"/>
      <c r="AP29" s="35"/>
      <c r="AQ29" s="67"/>
      <c r="AR29" s="67"/>
      <c r="AS29" s="67"/>
      <c r="AT29" s="68"/>
      <c r="AU29" s="67"/>
      <c r="AV29" s="68"/>
      <c r="AW29" s="67"/>
      <c r="AX29" s="130"/>
      <c r="AY29" s="35"/>
      <c r="AZ29" s="30"/>
    </row>
    <row r="30" spans="1:52" s="53" customFormat="1" x14ac:dyDescent="0.25">
      <c r="A30" s="16">
        <f t="shared" si="14"/>
        <v>22</v>
      </c>
      <c r="B30" s="586">
        <v>42461</v>
      </c>
      <c r="C30" s="424" t="s">
        <v>78</v>
      </c>
      <c r="D30" s="675">
        <v>1964</v>
      </c>
      <c r="E30" s="675">
        <v>1</v>
      </c>
      <c r="F30" s="675">
        <v>4</v>
      </c>
      <c r="G30" s="675">
        <v>6</v>
      </c>
      <c r="H30" s="770">
        <v>102.7</v>
      </c>
      <c r="I30" s="770">
        <v>0</v>
      </c>
      <c r="J30" s="770">
        <v>0</v>
      </c>
      <c r="K30" s="521">
        <v>2801.64</v>
      </c>
      <c r="L30" s="521">
        <v>3446.82</v>
      </c>
      <c r="M30" s="521">
        <f t="shared" si="0"/>
        <v>2801.64</v>
      </c>
      <c r="N30" s="521">
        <f t="shared" si="1"/>
        <v>3446.82</v>
      </c>
      <c r="O30" s="521">
        <f t="shared" si="2"/>
        <v>1646.9845475635113</v>
      </c>
      <c r="P30" s="524"/>
      <c r="Q30" s="521"/>
      <c r="R30" s="522"/>
      <c r="S30" s="522"/>
      <c r="T30" s="522">
        <f t="shared" si="3"/>
        <v>52.352868970418506</v>
      </c>
      <c r="U30" s="522"/>
      <c r="V30" s="522">
        <f t="shared" si="4"/>
        <v>880.28658679778687</v>
      </c>
      <c r="W30" s="522"/>
      <c r="X30" s="522"/>
      <c r="Y30" s="522">
        <f t="shared" si="6"/>
        <v>0</v>
      </c>
      <c r="Z30" s="522">
        <f t="shared" si="7"/>
        <v>101.39584347774371</v>
      </c>
      <c r="AA30" s="522">
        <f t="shared" si="8"/>
        <v>612.94924831756225</v>
      </c>
      <c r="AB30" s="522"/>
      <c r="AC30" s="522">
        <f t="shared" si="9"/>
        <v>1154.6554524364885</v>
      </c>
      <c r="AD30" s="522">
        <f t="shared" si="10"/>
        <v>123.02865464513644</v>
      </c>
      <c r="AE30" s="522">
        <v>0</v>
      </c>
      <c r="AF30" s="522">
        <f t="shared" si="12"/>
        <v>4.0092126279540201</v>
      </c>
      <c r="AG30" s="523">
        <v>6.82</v>
      </c>
      <c r="AH30" s="467">
        <f t="shared" si="13"/>
        <v>-645.18000000000029</v>
      </c>
      <c r="AI30" s="250"/>
      <c r="AJ30" s="250"/>
      <c r="AK30" s="35"/>
      <c r="AL30" s="66"/>
      <c r="AM30" s="66"/>
      <c r="AN30" s="66"/>
      <c r="AO30" s="35"/>
      <c r="AP30" s="35"/>
      <c r="AQ30" s="67"/>
      <c r="AR30" s="67"/>
      <c r="AS30" s="67"/>
      <c r="AT30" s="68"/>
      <c r="AU30" s="67"/>
      <c r="AV30" s="68"/>
      <c r="AW30" s="67"/>
      <c r="AX30" s="130"/>
      <c r="AY30" s="35"/>
      <c r="AZ30" s="30"/>
    </row>
    <row r="31" spans="1:52" s="53" customFormat="1" x14ac:dyDescent="0.25">
      <c r="A31" s="16">
        <v>23</v>
      </c>
      <c r="B31" s="587">
        <v>42491</v>
      </c>
      <c r="C31" s="424" t="s">
        <v>79</v>
      </c>
      <c r="D31" s="675">
        <v>1961</v>
      </c>
      <c r="E31" s="675">
        <v>1</v>
      </c>
      <c r="F31" s="675">
        <v>2</v>
      </c>
      <c r="G31" s="675">
        <v>4</v>
      </c>
      <c r="H31" s="770">
        <v>44</v>
      </c>
      <c r="I31" s="770">
        <v>0</v>
      </c>
      <c r="J31" s="770">
        <v>0</v>
      </c>
      <c r="K31" s="521">
        <v>900.24</v>
      </c>
      <c r="L31" s="521">
        <v>900.24</v>
      </c>
      <c r="M31" s="521">
        <f t="shared" si="0"/>
        <v>900.24</v>
      </c>
      <c r="N31" s="521">
        <f t="shared" si="1"/>
        <v>900.24</v>
      </c>
      <c r="O31" s="521">
        <f t="shared" si="2"/>
        <v>600.47710193436797</v>
      </c>
      <c r="P31" s="524"/>
      <c r="Q31" s="521"/>
      <c r="R31" s="522"/>
      <c r="S31" s="522"/>
      <c r="T31" s="522">
        <f t="shared" si="3"/>
        <v>22.429661486839475</v>
      </c>
      <c r="U31" s="522"/>
      <c r="V31" s="522">
        <f t="shared" si="4"/>
        <v>282.85903859840653</v>
      </c>
      <c r="W31" s="522"/>
      <c r="X31" s="522"/>
      <c r="Y31" s="522">
        <f t="shared" si="6"/>
        <v>0</v>
      </c>
      <c r="Z31" s="522">
        <f t="shared" si="7"/>
        <v>32.581128957469197</v>
      </c>
      <c r="AA31" s="522">
        <f t="shared" si="8"/>
        <v>262.60727289165277</v>
      </c>
      <c r="AB31" s="522"/>
      <c r="AC31" s="522">
        <f t="shared" si="9"/>
        <v>299.76289806563204</v>
      </c>
      <c r="AD31" s="522">
        <f t="shared" si="10"/>
        <v>100</v>
      </c>
      <c r="AE31" s="522">
        <v>0</v>
      </c>
      <c r="AF31" s="522">
        <f t="shared" si="12"/>
        <v>3.4118017155361815</v>
      </c>
      <c r="AG31" s="523">
        <v>6.82</v>
      </c>
      <c r="AH31" s="467">
        <f t="shared" si="13"/>
        <v>0</v>
      </c>
      <c r="AI31" s="250"/>
      <c r="AJ31" s="250"/>
      <c r="AK31" s="35"/>
      <c r="AL31" s="66"/>
      <c r="AM31" s="66"/>
      <c r="AN31" s="66"/>
      <c r="AO31" s="35"/>
      <c r="AP31" s="35"/>
      <c r="AQ31" s="67"/>
      <c r="AR31" s="67"/>
      <c r="AS31" s="67"/>
      <c r="AT31" s="68"/>
      <c r="AU31" s="67"/>
      <c r="AV31" s="67"/>
      <c r="AW31" s="67"/>
      <c r="AX31" s="130"/>
      <c r="AY31" s="35"/>
      <c r="AZ31" s="30"/>
    </row>
    <row r="32" spans="1:52" s="53" customFormat="1" x14ac:dyDescent="0.25">
      <c r="A32" s="16">
        <v>24</v>
      </c>
      <c r="B32" s="586">
        <v>42461</v>
      </c>
      <c r="C32" s="424" t="s">
        <v>80</v>
      </c>
      <c r="D32" s="675">
        <v>1961</v>
      </c>
      <c r="E32" s="675">
        <v>1</v>
      </c>
      <c r="F32" s="675">
        <v>2</v>
      </c>
      <c r="G32" s="675">
        <v>4</v>
      </c>
      <c r="H32" s="770">
        <v>108.1</v>
      </c>
      <c r="I32" s="770">
        <v>0</v>
      </c>
      <c r="J32" s="770">
        <v>0</v>
      </c>
      <c r="K32" s="521">
        <v>2948.96</v>
      </c>
      <c r="L32" s="521">
        <v>900.24</v>
      </c>
      <c r="M32" s="521">
        <f t="shared" si="0"/>
        <v>2948.96</v>
      </c>
      <c r="N32" s="521">
        <f t="shared" si="1"/>
        <v>900.24</v>
      </c>
      <c r="O32" s="521">
        <f t="shared" si="2"/>
        <v>1733.5866382751049</v>
      </c>
      <c r="P32" s="524"/>
      <c r="Q32" s="521"/>
      <c r="R32" s="522"/>
      <c r="S32" s="522"/>
      <c r="T32" s="522">
        <f t="shared" si="3"/>
        <v>55.105600152894255</v>
      </c>
      <c r="U32" s="522"/>
      <c r="V32" s="522">
        <f t="shared" si="4"/>
        <v>926.57512492797139</v>
      </c>
      <c r="W32" s="522"/>
      <c r="X32" s="522"/>
      <c r="Y32" s="522">
        <f t="shared" si="6"/>
        <v>0</v>
      </c>
      <c r="Z32" s="522">
        <f t="shared" si="7"/>
        <v>106.72759047633782</v>
      </c>
      <c r="AA32" s="522">
        <f t="shared" si="8"/>
        <v>645.17832271790144</v>
      </c>
      <c r="AB32" s="522"/>
      <c r="AC32" s="522">
        <f t="shared" si="9"/>
        <v>1215.3733617248952</v>
      </c>
      <c r="AD32" s="522">
        <f t="shared" si="10"/>
        <v>30.527372361781779</v>
      </c>
      <c r="AE32" s="522">
        <v>0</v>
      </c>
      <c r="AF32" s="522">
        <f t="shared" si="12"/>
        <v>4.0092197924956174</v>
      </c>
      <c r="AG32" s="523">
        <v>6.82</v>
      </c>
      <c r="AH32" s="467">
        <f t="shared" si="13"/>
        <v>2048.7200000000003</v>
      </c>
      <c r="AI32" s="250"/>
      <c r="AJ32" s="250"/>
      <c r="AK32" s="35"/>
      <c r="AL32" s="66"/>
      <c r="AM32" s="66"/>
      <c r="AN32" s="66"/>
      <c r="AO32" s="35"/>
      <c r="AP32" s="35"/>
      <c r="AQ32" s="67"/>
      <c r="AR32" s="67"/>
      <c r="AS32" s="67"/>
      <c r="AT32" s="68"/>
      <c r="AU32" s="67"/>
      <c r="AV32" s="67"/>
      <c r="AW32" s="67"/>
      <c r="AX32" s="130"/>
      <c r="AY32" s="35"/>
      <c r="AZ32" s="30"/>
    </row>
    <row r="33" spans="1:52" s="53" customFormat="1" x14ac:dyDescent="0.25">
      <c r="A33" s="16">
        <v>25</v>
      </c>
      <c r="B33" s="588"/>
      <c r="C33" s="424" t="s">
        <v>81</v>
      </c>
      <c r="D33" s="675">
        <v>1961</v>
      </c>
      <c r="E33" s="675">
        <v>1</v>
      </c>
      <c r="F33" s="675">
        <v>2</v>
      </c>
      <c r="G33" s="675">
        <v>13</v>
      </c>
      <c r="H33" s="770">
        <v>102.4</v>
      </c>
      <c r="I33" s="770">
        <v>0</v>
      </c>
      <c r="J33" s="770">
        <v>0</v>
      </c>
      <c r="K33" s="521">
        <v>2793.48</v>
      </c>
      <c r="L33" s="521">
        <v>2375.92</v>
      </c>
      <c r="M33" s="521">
        <f t="shared" si="0"/>
        <v>2793.48</v>
      </c>
      <c r="N33" s="521">
        <f t="shared" si="1"/>
        <v>2375.92</v>
      </c>
      <c r="O33" s="521">
        <f t="shared" si="2"/>
        <v>1642.1818855284196</v>
      </c>
      <c r="P33" s="524"/>
      <c r="Q33" s="521"/>
      <c r="R33" s="522"/>
      <c r="S33" s="522"/>
      <c r="T33" s="522">
        <f t="shared" si="3"/>
        <v>52.199939460280966</v>
      </c>
      <c r="U33" s="522"/>
      <c r="V33" s="522">
        <f t="shared" si="4"/>
        <v>877.72268188913711</v>
      </c>
      <c r="W33" s="522"/>
      <c r="X33" s="522"/>
      <c r="Y33" s="522">
        <f t="shared" si="6"/>
        <v>0</v>
      </c>
      <c r="Z33" s="522">
        <f t="shared" si="7"/>
        <v>101.10051999479145</v>
      </c>
      <c r="AA33" s="522">
        <f t="shared" si="8"/>
        <v>611.15874418421015</v>
      </c>
      <c r="AB33" s="522"/>
      <c r="AC33" s="522">
        <f t="shared" si="9"/>
        <v>1151.2981144715804</v>
      </c>
      <c r="AD33" s="522">
        <f t="shared" si="10"/>
        <v>85.052336154187614</v>
      </c>
      <c r="AE33" s="522">
        <v>0</v>
      </c>
      <c r="AF33" s="522">
        <f t="shared" si="12"/>
        <v>4.0092331189658674</v>
      </c>
      <c r="AG33" s="523">
        <v>6.82</v>
      </c>
      <c r="AH33" s="467">
        <f t="shared" si="13"/>
        <v>417.55999999999995</v>
      </c>
      <c r="AI33" s="250"/>
      <c r="AJ33" s="250"/>
      <c r="AK33" s="35"/>
      <c r="AL33" s="66"/>
      <c r="AM33" s="66"/>
      <c r="AN33" s="66"/>
      <c r="AO33" s="35"/>
      <c r="AP33" s="35"/>
      <c r="AQ33" s="67"/>
      <c r="AR33" s="67"/>
      <c r="AS33" s="67"/>
      <c r="AT33" s="68"/>
      <c r="AU33" s="67"/>
      <c r="AV33" s="67"/>
      <c r="AW33" s="67"/>
      <c r="AX33" s="130"/>
      <c r="AY33" s="35"/>
      <c r="AZ33" s="30"/>
    </row>
    <row r="34" spans="1:52" s="53" customFormat="1" x14ac:dyDescent="0.25">
      <c r="A34" s="16">
        <v>26</v>
      </c>
      <c r="B34" s="586">
        <v>42461</v>
      </c>
      <c r="C34" s="424" t="s">
        <v>82</v>
      </c>
      <c r="D34" s="675">
        <v>1962</v>
      </c>
      <c r="E34" s="675">
        <v>1</v>
      </c>
      <c r="F34" s="675">
        <v>2</v>
      </c>
      <c r="G34" s="675">
        <v>6</v>
      </c>
      <c r="H34" s="770">
        <v>85.7</v>
      </c>
      <c r="I34" s="770">
        <v>0</v>
      </c>
      <c r="J34" s="770">
        <v>0</v>
      </c>
      <c r="K34" s="521">
        <v>2337.88</v>
      </c>
      <c r="L34" s="521">
        <v>2337.88</v>
      </c>
      <c r="M34" s="521">
        <f t="shared" si="0"/>
        <v>2337.88</v>
      </c>
      <c r="N34" s="521">
        <f t="shared" si="1"/>
        <v>2337.88</v>
      </c>
      <c r="O34" s="521">
        <f t="shared" si="2"/>
        <v>1374.357160843037</v>
      </c>
      <c r="P34" s="524"/>
      <c r="Q34" s="521"/>
      <c r="R34" s="522"/>
      <c r="S34" s="522"/>
      <c r="T34" s="522">
        <f t="shared" si="3"/>
        <v>43.686863395957801</v>
      </c>
      <c r="U34" s="522"/>
      <c r="V34" s="522">
        <f t="shared" si="4"/>
        <v>734.571324489517</v>
      </c>
      <c r="W34" s="522"/>
      <c r="X34" s="522"/>
      <c r="Y34" s="522">
        <f t="shared" si="6"/>
        <v>0</v>
      </c>
      <c r="Z34" s="522">
        <f t="shared" si="7"/>
        <v>84.611625529956555</v>
      </c>
      <c r="AA34" s="522">
        <f t="shared" si="8"/>
        <v>511.48734742760553</v>
      </c>
      <c r="AB34" s="522"/>
      <c r="AC34" s="522">
        <f t="shared" si="9"/>
        <v>963.52283915696307</v>
      </c>
      <c r="AD34" s="522">
        <f t="shared" si="10"/>
        <v>100</v>
      </c>
      <c r="AE34" s="522">
        <v>0</v>
      </c>
      <c r="AF34" s="522">
        <f t="shared" si="12"/>
        <v>4.0092099207789875</v>
      </c>
      <c r="AG34" s="523">
        <v>6.82</v>
      </c>
      <c r="AH34" s="467">
        <f t="shared" si="13"/>
        <v>0</v>
      </c>
      <c r="AI34" s="250"/>
      <c r="AJ34" s="250"/>
      <c r="AK34" s="35"/>
      <c r="AL34" s="66"/>
      <c r="AM34" s="66"/>
      <c r="AN34" s="66"/>
      <c r="AO34" s="35"/>
      <c r="AP34" s="35"/>
      <c r="AQ34" s="67"/>
      <c r="AR34" s="67"/>
      <c r="AS34" s="67"/>
      <c r="AT34" s="68"/>
      <c r="AU34" s="67"/>
      <c r="AV34" s="67"/>
      <c r="AW34" s="67"/>
      <c r="AX34" s="130"/>
      <c r="AY34" s="35"/>
      <c r="AZ34" s="30"/>
    </row>
    <row r="35" spans="1:52" s="53" customFormat="1" x14ac:dyDescent="0.25">
      <c r="A35" s="16">
        <v>27</v>
      </c>
      <c r="B35" s="587">
        <v>42491</v>
      </c>
      <c r="C35" s="424" t="s">
        <v>83</v>
      </c>
      <c r="D35" s="675">
        <v>1940</v>
      </c>
      <c r="E35" s="675">
        <v>1</v>
      </c>
      <c r="F35" s="675">
        <v>1</v>
      </c>
      <c r="G35" s="675">
        <v>4</v>
      </c>
      <c r="H35" s="770">
        <v>53.56</v>
      </c>
      <c r="I35" s="770">
        <v>0</v>
      </c>
      <c r="J35" s="770">
        <v>0</v>
      </c>
      <c r="K35" s="521">
        <v>471.32</v>
      </c>
      <c r="L35" s="521">
        <v>-6.86</v>
      </c>
      <c r="M35" s="521">
        <f t="shared" si="0"/>
        <v>471.32</v>
      </c>
      <c r="N35" s="521">
        <f t="shared" si="1"/>
        <v>-6.86</v>
      </c>
      <c r="O35" s="521">
        <f t="shared" si="2"/>
        <v>512.11615775028849</v>
      </c>
      <c r="P35" s="524"/>
      <c r="Q35" s="521"/>
      <c r="R35" s="522"/>
      <c r="S35" s="522"/>
      <c r="T35" s="522">
        <f t="shared" si="3"/>
        <v>27.303015209889146</v>
      </c>
      <c r="U35" s="522"/>
      <c r="V35" s="522">
        <f t="shared" si="4"/>
        <v>148.09064479716628</v>
      </c>
      <c r="W35" s="522"/>
      <c r="X35" s="522"/>
      <c r="Y35" s="522">
        <f t="shared" si="6"/>
        <v>0</v>
      </c>
      <c r="Z35" s="522">
        <f t="shared" si="7"/>
        <v>17.057826468757643</v>
      </c>
      <c r="AA35" s="522">
        <f t="shared" si="8"/>
        <v>319.6646712744755</v>
      </c>
      <c r="AB35" s="522"/>
      <c r="AC35" s="522">
        <f t="shared" si="9"/>
        <v>-40.796157750288501</v>
      </c>
      <c r="AD35" s="522">
        <f t="shared" si="10"/>
        <v>-1.4554867181532716</v>
      </c>
      <c r="AE35" s="522">
        <v>0</v>
      </c>
      <c r="AF35" s="522">
        <f t="shared" si="12"/>
        <v>2.3903853517097109</v>
      </c>
      <c r="AG35" s="523">
        <v>2.2000000000000002</v>
      </c>
      <c r="AH35" s="467">
        <f t="shared" si="13"/>
        <v>478.18</v>
      </c>
      <c r="AI35" s="250"/>
      <c r="AJ35" s="250"/>
      <c r="AK35" s="35"/>
      <c r="AL35" s="66"/>
      <c r="AM35" s="66"/>
      <c r="AN35" s="66"/>
      <c r="AO35" s="35"/>
      <c r="AP35" s="35"/>
      <c r="AQ35" s="67"/>
      <c r="AR35" s="67"/>
      <c r="AS35" s="67"/>
      <c r="AT35" s="68"/>
      <c r="AU35" s="67"/>
      <c r="AV35" s="67"/>
      <c r="AW35" s="67"/>
      <c r="AX35" s="130"/>
      <c r="AY35" s="35"/>
      <c r="AZ35" s="30"/>
    </row>
    <row r="36" spans="1:52" s="53" customFormat="1" x14ac:dyDescent="0.25">
      <c r="A36" s="16">
        <f t="shared" si="14"/>
        <v>28</v>
      </c>
      <c r="B36" s="587">
        <v>42491</v>
      </c>
      <c r="C36" s="424" t="s">
        <v>84</v>
      </c>
      <c r="D36" s="675">
        <v>1963</v>
      </c>
      <c r="E36" s="675">
        <v>1</v>
      </c>
      <c r="F36" s="675">
        <v>2</v>
      </c>
      <c r="G36" s="675">
        <v>8</v>
      </c>
      <c r="H36" s="770">
        <v>88</v>
      </c>
      <c r="I36" s="770">
        <v>0</v>
      </c>
      <c r="J36" s="770">
        <v>0</v>
      </c>
      <c r="K36" s="521">
        <v>2400.64</v>
      </c>
      <c r="L36" s="521">
        <v>2400.64</v>
      </c>
      <c r="M36" s="521">
        <f t="shared" si="0"/>
        <v>2400.64</v>
      </c>
      <c r="N36" s="521">
        <f t="shared" si="1"/>
        <v>2400.64</v>
      </c>
      <c r="O36" s="521">
        <f t="shared" si="2"/>
        <v>1411.2476489059864</v>
      </c>
      <c r="P36" s="524"/>
      <c r="Q36" s="521"/>
      <c r="R36" s="522"/>
      <c r="S36" s="522"/>
      <c r="T36" s="522">
        <f t="shared" si="3"/>
        <v>44.85932297367895</v>
      </c>
      <c r="U36" s="522"/>
      <c r="V36" s="522">
        <f t="shared" si="4"/>
        <v>754.29076959575082</v>
      </c>
      <c r="W36" s="522"/>
      <c r="X36" s="522"/>
      <c r="Y36" s="522">
        <f t="shared" si="6"/>
        <v>0</v>
      </c>
      <c r="Z36" s="522">
        <f t="shared" si="7"/>
        <v>86.883010553251182</v>
      </c>
      <c r="AA36" s="522">
        <f t="shared" si="8"/>
        <v>525.21454578330554</v>
      </c>
      <c r="AB36" s="522"/>
      <c r="AC36" s="522">
        <f t="shared" si="9"/>
        <v>989.39235109401352</v>
      </c>
      <c r="AD36" s="522">
        <f t="shared" si="10"/>
        <v>100</v>
      </c>
      <c r="AE36" s="522">
        <v>0</v>
      </c>
      <c r="AF36" s="522">
        <f t="shared" si="12"/>
        <v>4.0092262753010974</v>
      </c>
      <c r="AG36" s="523">
        <v>6.82</v>
      </c>
      <c r="AH36" s="467">
        <f t="shared" si="13"/>
        <v>0</v>
      </c>
      <c r="AI36" s="250"/>
      <c r="AJ36" s="250"/>
      <c r="AK36" s="35"/>
      <c r="AL36" s="66"/>
      <c r="AM36" s="66"/>
      <c r="AN36" s="66"/>
      <c r="AO36" s="35"/>
      <c r="AP36" s="35"/>
      <c r="AQ36" s="67"/>
      <c r="AR36" s="67"/>
      <c r="AS36" s="67"/>
      <c r="AT36" s="68"/>
      <c r="AU36" s="67"/>
      <c r="AV36" s="67"/>
      <c r="AW36" s="67"/>
      <c r="AX36" s="130"/>
      <c r="AY36" s="35"/>
      <c r="AZ36" s="30"/>
    </row>
    <row r="37" spans="1:52" s="53" customFormat="1" ht="13.5" customHeight="1" x14ac:dyDescent="0.25">
      <c r="A37" s="16">
        <f t="shared" si="14"/>
        <v>29</v>
      </c>
      <c r="B37" s="587">
        <v>42491</v>
      </c>
      <c r="C37" s="424" t="s">
        <v>85</v>
      </c>
      <c r="D37" s="675">
        <v>1962</v>
      </c>
      <c r="E37" s="675">
        <v>1</v>
      </c>
      <c r="F37" s="675">
        <v>1</v>
      </c>
      <c r="G37" s="675">
        <v>2</v>
      </c>
      <c r="H37" s="770">
        <v>44</v>
      </c>
      <c r="I37" s="770">
        <v>0</v>
      </c>
      <c r="J37" s="770">
        <v>0</v>
      </c>
      <c r="K37" s="521">
        <v>1200.32</v>
      </c>
      <c r="L37" s="521">
        <v>371.97</v>
      </c>
      <c r="M37" s="521">
        <f t="shared" si="0"/>
        <v>1200.32</v>
      </c>
      <c r="N37" s="521">
        <f t="shared" si="1"/>
        <v>371.97</v>
      </c>
      <c r="O37" s="521">
        <f t="shared" si="2"/>
        <v>705.62382445299318</v>
      </c>
      <c r="P37" s="524"/>
      <c r="Q37" s="521"/>
      <c r="R37" s="522"/>
      <c r="S37" s="522"/>
      <c r="T37" s="522">
        <f t="shared" si="3"/>
        <v>22.429661486839475</v>
      </c>
      <c r="U37" s="522"/>
      <c r="V37" s="522">
        <f t="shared" si="4"/>
        <v>377.14538479787541</v>
      </c>
      <c r="W37" s="522"/>
      <c r="X37" s="522"/>
      <c r="Y37" s="522">
        <f t="shared" si="6"/>
        <v>0</v>
      </c>
      <c r="Z37" s="522">
        <f t="shared" si="7"/>
        <v>43.441505276625591</v>
      </c>
      <c r="AA37" s="522">
        <f t="shared" si="8"/>
        <v>262.60727289165277</v>
      </c>
      <c r="AB37" s="522"/>
      <c r="AC37" s="522">
        <f t="shared" si="9"/>
        <v>494.69617554700676</v>
      </c>
      <c r="AD37" s="522">
        <f t="shared" si="10"/>
        <v>30.98923620367902</v>
      </c>
      <c r="AE37" s="522">
        <v>0</v>
      </c>
      <c r="AF37" s="522">
        <f t="shared" si="12"/>
        <v>4.0092262753010974</v>
      </c>
      <c r="AG37" s="523">
        <v>6.82</v>
      </c>
      <c r="AH37" s="467">
        <f t="shared" si="13"/>
        <v>828.34999999999991</v>
      </c>
      <c r="AI37" s="250"/>
      <c r="AJ37" s="250"/>
      <c r="AK37" s="35"/>
      <c r="AL37" s="66"/>
      <c r="AM37" s="66"/>
      <c r="AN37" s="66"/>
      <c r="AO37" s="35"/>
      <c r="AP37" s="35"/>
      <c r="AQ37" s="67"/>
      <c r="AR37" s="67"/>
      <c r="AS37" s="67"/>
      <c r="AT37" s="68"/>
      <c r="AU37" s="67"/>
      <c r="AV37" s="67"/>
      <c r="AW37" s="67"/>
      <c r="AX37" s="130"/>
      <c r="AY37" s="35"/>
      <c r="AZ37" s="30"/>
    </row>
    <row r="38" spans="1:52" s="53" customFormat="1" x14ac:dyDescent="0.25">
      <c r="A38" s="16">
        <f t="shared" si="14"/>
        <v>30</v>
      </c>
      <c r="B38" s="587">
        <v>42491</v>
      </c>
      <c r="C38" s="424" t="s">
        <v>86</v>
      </c>
      <c r="D38" s="675">
        <v>1943</v>
      </c>
      <c r="E38" s="675">
        <v>1</v>
      </c>
      <c r="F38" s="675">
        <v>2</v>
      </c>
      <c r="G38" s="675">
        <v>4</v>
      </c>
      <c r="H38" s="770">
        <v>31.3</v>
      </c>
      <c r="I38" s="770">
        <v>0</v>
      </c>
      <c r="J38" s="770">
        <v>0</v>
      </c>
      <c r="K38" s="521">
        <v>275.44</v>
      </c>
      <c r="L38" s="521">
        <v>239.58</v>
      </c>
      <c r="M38" s="521">
        <f t="shared" si="0"/>
        <v>275.44</v>
      </c>
      <c r="N38" s="521">
        <f t="shared" si="1"/>
        <v>239.58</v>
      </c>
      <c r="O38" s="521">
        <f t="shared" si="2"/>
        <v>299.27788417945004</v>
      </c>
      <c r="P38" s="524"/>
      <c r="Q38" s="521"/>
      <c r="R38" s="522"/>
      <c r="S38" s="522"/>
      <c r="T38" s="522">
        <f t="shared" si="3"/>
        <v>15.955645557683537</v>
      </c>
      <c r="U38" s="522"/>
      <c r="V38" s="522">
        <f t="shared" si="4"/>
        <v>86.544358828251461</v>
      </c>
      <c r="W38" s="522"/>
      <c r="X38" s="522"/>
      <c r="Y38" s="522">
        <f t="shared" si="6"/>
        <v>0</v>
      </c>
      <c r="Z38" s="522">
        <f t="shared" si="7"/>
        <v>9.9686152137711233</v>
      </c>
      <c r="AA38" s="522">
        <f t="shared" si="8"/>
        <v>186.80926457974391</v>
      </c>
      <c r="AB38" s="522"/>
      <c r="AC38" s="522">
        <f t="shared" si="9"/>
        <v>-23.837884179450043</v>
      </c>
      <c r="AD38" s="522">
        <f t="shared" si="10"/>
        <v>86.980830670926522</v>
      </c>
      <c r="AE38" s="522">
        <v>0</v>
      </c>
      <c r="AF38" s="522">
        <f t="shared" si="12"/>
        <v>2.3903984359380992</v>
      </c>
      <c r="AG38" s="523">
        <v>2.2000000000000002</v>
      </c>
      <c r="AH38" s="467">
        <f t="shared" si="13"/>
        <v>35.859999999999985</v>
      </c>
      <c r="AI38" s="250"/>
      <c r="AJ38" s="250"/>
      <c r="AK38" s="35"/>
      <c r="AL38" s="66"/>
      <c r="AM38" s="66"/>
      <c r="AN38" s="66"/>
      <c r="AO38" s="35"/>
      <c r="AP38" s="35"/>
      <c r="AQ38" s="67"/>
      <c r="AR38" s="67"/>
      <c r="AS38" s="67"/>
      <c r="AT38" s="68"/>
      <c r="AU38" s="67"/>
      <c r="AV38" s="67"/>
      <c r="AW38" s="67"/>
      <c r="AX38" s="130"/>
      <c r="AY38" s="35"/>
      <c r="AZ38" s="30"/>
    </row>
    <row r="39" spans="1:52" s="53" customFormat="1" x14ac:dyDescent="0.25">
      <c r="A39" s="16">
        <f t="shared" si="14"/>
        <v>31</v>
      </c>
      <c r="B39" s="586">
        <v>42461</v>
      </c>
      <c r="C39" s="424" t="s">
        <v>87</v>
      </c>
      <c r="D39" s="675">
        <v>1943</v>
      </c>
      <c r="E39" s="675">
        <v>1</v>
      </c>
      <c r="F39" s="675">
        <v>1</v>
      </c>
      <c r="G39" s="675">
        <v>1</v>
      </c>
      <c r="H39" s="770">
        <v>22</v>
      </c>
      <c r="I39" s="770">
        <v>0</v>
      </c>
      <c r="J39" s="770">
        <v>0</v>
      </c>
      <c r="K39" s="521">
        <v>403.04</v>
      </c>
      <c r="L39" s="521">
        <v>1108.3599999999999</v>
      </c>
      <c r="M39" s="521">
        <f t="shared" si="0"/>
        <v>403.04</v>
      </c>
      <c r="N39" s="521">
        <f t="shared" si="1"/>
        <v>1108.3599999999999</v>
      </c>
      <c r="O39" s="521">
        <f t="shared" si="2"/>
        <v>283.74192441367529</v>
      </c>
      <c r="P39" s="524"/>
      <c r="Q39" s="521"/>
      <c r="R39" s="522"/>
      <c r="S39" s="522"/>
      <c r="T39" s="522">
        <f t="shared" si="3"/>
        <v>11.214830743419737</v>
      </c>
      <c r="U39" s="522"/>
      <c r="V39" s="522">
        <f t="shared" si="4"/>
        <v>126.63679342919863</v>
      </c>
      <c r="W39" s="522"/>
      <c r="X39" s="522"/>
      <c r="Y39" s="522">
        <f t="shared" si="6"/>
        <v>0</v>
      </c>
      <c r="Z39" s="522">
        <f t="shared" si="7"/>
        <v>14.58666379523059</v>
      </c>
      <c r="AA39" s="522">
        <f t="shared" si="8"/>
        <v>131.30363644582638</v>
      </c>
      <c r="AB39" s="522"/>
      <c r="AC39" s="522">
        <f t="shared" si="9"/>
        <v>119.29807558632473</v>
      </c>
      <c r="AD39" s="522">
        <f t="shared" si="10"/>
        <v>274.99999999999994</v>
      </c>
      <c r="AE39" s="522">
        <v>0</v>
      </c>
      <c r="AF39" s="522">
        <f t="shared" si="12"/>
        <v>3.2243400501554009</v>
      </c>
      <c r="AG39" s="523">
        <v>4.58</v>
      </c>
      <c r="AH39" s="467">
        <f t="shared" si="13"/>
        <v>-705.31999999999994</v>
      </c>
      <c r="AI39" s="250"/>
      <c r="AJ39" s="250"/>
      <c r="AK39" s="35"/>
      <c r="AL39" s="66"/>
      <c r="AM39" s="66"/>
      <c r="AN39" s="66"/>
      <c r="AO39" s="35"/>
      <c r="AP39" s="35"/>
      <c r="AQ39" s="67"/>
      <c r="AR39" s="67"/>
      <c r="AS39" s="67"/>
      <c r="AT39" s="68"/>
      <c r="AU39" s="67"/>
      <c r="AV39" s="67"/>
      <c r="AW39" s="67"/>
      <c r="AX39" s="130"/>
      <c r="AY39" s="35"/>
      <c r="AZ39" s="30"/>
    </row>
    <row r="40" spans="1:52" s="53" customFormat="1" x14ac:dyDescent="0.25">
      <c r="A40" s="257">
        <v>32</v>
      </c>
      <c r="B40" s="589"/>
      <c r="C40" s="526" t="s">
        <v>88</v>
      </c>
      <c r="D40" s="813">
        <v>1969</v>
      </c>
      <c r="E40" s="813">
        <v>2</v>
      </c>
      <c r="F40" s="813">
        <v>16</v>
      </c>
      <c r="G40" s="813">
        <v>34</v>
      </c>
      <c r="H40" s="689">
        <v>649.16</v>
      </c>
      <c r="I40" s="689">
        <v>1137.5</v>
      </c>
      <c r="J40" s="689">
        <v>779.96</v>
      </c>
      <c r="K40" s="527">
        <v>21453.45</v>
      </c>
      <c r="L40" s="527">
        <v>21724.06</v>
      </c>
      <c r="M40" s="521">
        <f t="shared" si="0"/>
        <v>22590.95</v>
      </c>
      <c r="N40" s="521">
        <f t="shared" si="1"/>
        <v>22504.02</v>
      </c>
      <c r="O40" s="521">
        <f t="shared" si="2"/>
        <v>22889.67117370111</v>
      </c>
      <c r="P40" s="528"/>
      <c r="Q40" s="521"/>
      <c r="R40" s="522"/>
      <c r="S40" s="529"/>
      <c r="T40" s="522">
        <f t="shared" si="3"/>
        <v>330.91906933628894</v>
      </c>
      <c r="U40" s="529">
        <v>1512.56</v>
      </c>
      <c r="V40" s="522">
        <f t="shared" si="4"/>
        <v>6740.7605101072886</v>
      </c>
      <c r="W40" s="522"/>
      <c r="X40" s="522">
        <f t="shared" ref="X40" si="16">202404.45/16358.47*H40</f>
        <v>8032.1003591411663</v>
      </c>
      <c r="Y40" s="522">
        <f t="shared" si="6"/>
        <v>1622.4842725465157</v>
      </c>
      <c r="Z40" s="522">
        <f t="shared" si="7"/>
        <v>776.43475188018476</v>
      </c>
      <c r="AA40" s="522">
        <f t="shared" si="8"/>
        <v>3874.4122106896662</v>
      </c>
      <c r="AB40" s="522"/>
      <c r="AC40" s="522">
        <f t="shared" si="9"/>
        <v>-298.72117370110936</v>
      </c>
      <c r="AD40" s="522">
        <f t="shared" si="10"/>
        <v>101.26138220193025</v>
      </c>
      <c r="AE40" s="522">
        <f t="shared" si="11"/>
        <v>68.567912087912092</v>
      </c>
      <c r="AF40" s="522">
        <f t="shared" si="12"/>
        <v>8.8151115186167939</v>
      </c>
      <c r="AG40" s="530">
        <v>8.27</v>
      </c>
      <c r="AH40" s="467">
        <f t="shared" si="13"/>
        <v>86.930000000000291</v>
      </c>
      <c r="AI40" s="250"/>
      <c r="AJ40" s="250"/>
      <c r="AK40" s="35"/>
      <c r="AL40" s="66"/>
      <c r="AM40" s="66"/>
      <c r="AN40" s="66"/>
      <c r="AO40" s="35"/>
      <c r="AP40" s="35"/>
      <c r="AQ40" s="67"/>
      <c r="AR40" s="67"/>
      <c r="AS40" s="67"/>
      <c r="AT40" s="68"/>
      <c r="AU40" s="67"/>
      <c r="AV40" s="68"/>
      <c r="AW40" s="67"/>
      <c r="AX40" s="130"/>
      <c r="AY40" s="35"/>
      <c r="AZ40" s="30"/>
    </row>
    <row r="41" spans="1:52" s="34" customFormat="1" x14ac:dyDescent="0.25">
      <c r="A41" s="386"/>
      <c r="B41" s="386"/>
      <c r="C41" s="531" t="s">
        <v>89</v>
      </c>
      <c r="D41" s="815"/>
      <c r="E41" s="387">
        <f t="shared" ref="E41:AC41" si="17">SUM(E10:E40)</f>
        <v>53</v>
      </c>
      <c r="F41" s="387">
        <f t="shared" si="17"/>
        <v>337</v>
      </c>
      <c r="G41" s="387">
        <f t="shared" si="17"/>
        <v>1035</v>
      </c>
      <c r="H41" s="387">
        <f t="shared" si="17"/>
        <v>17476.130000000005</v>
      </c>
      <c r="I41" s="387">
        <f>SUM(I10:I40)</f>
        <v>32598.46</v>
      </c>
      <c r="J41" s="387">
        <f>SUM(J10:J40)</f>
        <v>18690.150000000001</v>
      </c>
      <c r="K41" s="537">
        <f t="shared" si="17"/>
        <v>580429.65999999992</v>
      </c>
      <c r="L41" s="537">
        <f t="shared" si="17"/>
        <v>525887.72</v>
      </c>
      <c r="M41" s="537">
        <f t="shared" si="17"/>
        <v>613028.11999999988</v>
      </c>
      <c r="N41" s="537">
        <f t="shared" si="17"/>
        <v>544577.86999999988</v>
      </c>
      <c r="O41" s="537">
        <f t="shared" si="17"/>
        <v>596668.96889999986</v>
      </c>
      <c r="P41" s="535">
        <f t="shared" si="17"/>
        <v>1576.2199999999998</v>
      </c>
      <c r="Q41" s="537">
        <f t="shared" si="17"/>
        <v>0</v>
      </c>
      <c r="R41" s="537">
        <f t="shared" si="17"/>
        <v>0</v>
      </c>
      <c r="S41" s="537">
        <f t="shared" si="17"/>
        <v>1760.4</v>
      </c>
      <c r="T41" s="537">
        <f t="shared" si="17"/>
        <v>8908.720000000003</v>
      </c>
      <c r="U41" s="537">
        <f t="shared" si="17"/>
        <v>33449.85</v>
      </c>
      <c r="V41" s="537">
        <f t="shared" si="17"/>
        <v>182373.34000000003</v>
      </c>
      <c r="W41" s="537">
        <f t="shared" si="17"/>
        <v>0</v>
      </c>
      <c r="X41" s="537">
        <f t="shared" si="17"/>
        <v>202404.44999999998</v>
      </c>
      <c r="Y41" s="537">
        <f t="shared" si="17"/>
        <v>40885.69890000001</v>
      </c>
      <c r="Z41" s="537">
        <f t="shared" si="17"/>
        <v>21006.680000000008</v>
      </c>
      <c r="AA41" s="537">
        <f t="shared" si="17"/>
        <v>104303.61</v>
      </c>
      <c r="AB41" s="537">
        <f t="shared" si="17"/>
        <v>0</v>
      </c>
      <c r="AC41" s="535">
        <f t="shared" si="17"/>
        <v>16359.151100000014</v>
      </c>
      <c r="AD41" s="539">
        <f t="shared" si="10"/>
        <v>90.603178342057859</v>
      </c>
      <c r="AE41" s="539">
        <f t="shared" si="11"/>
        <v>57.3344569037924</v>
      </c>
      <c r="AF41" s="597">
        <f>O41/H41/4</f>
        <v>8.535484814143631</v>
      </c>
      <c r="AG41" s="387"/>
      <c r="AH41" s="1027">
        <f t="shared" si="13"/>
        <v>68450.25</v>
      </c>
      <c r="AI41" s="250" t="s">
        <v>180</v>
      </c>
      <c r="AJ41" s="250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127"/>
      <c r="AY41" s="83"/>
      <c r="AZ41" s="86"/>
    </row>
    <row r="42" spans="1:52" x14ac:dyDescent="0.25">
      <c r="C42" s="816"/>
      <c r="D42" s="816"/>
      <c r="E42" s="816"/>
      <c r="F42" s="816"/>
      <c r="G42" s="816"/>
      <c r="H42" s="817"/>
      <c r="I42" s="817"/>
      <c r="J42" s="817"/>
      <c r="K42" s="816" t="s">
        <v>180</v>
      </c>
      <c r="L42" s="816"/>
      <c r="M42" s="816"/>
      <c r="N42" s="816"/>
      <c r="O42" s="816"/>
      <c r="P42" s="818"/>
      <c r="Q42" s="819"/>
      <c r="R42" s="816"/>
      <c r="S42" s="816"/>
      <c r="T42" s="816"/>
      <c r="U42" s="816"/>
      <c r="V42" s="816"/>
      <c r="W42" s="816"/>
      <c r="X42" s="820">
        <f>X41+Y41</f>
        <v>243290.1489</v>
      </c>
      <c r="Y42" s="816"/>
      <c r="Z42" s="816"/>
      <c r="AA42" s="816"/>
      <c r="AB42" s="816"/>
      <c r="AC42" s="816"/>
      <c r="AD42" s="816"/>
      <c r="AE42" s="816"/>
      <c r="AF42" s="532"/>
      <c r="AG42" s="533"/>
      <c r="AH42" s="9"/>
      <c r="AI42" s="9"/>
      <c r="AJ42" s="9"/>
      <c r="AK42" s="9"/>
      <c r="AL42" s="9"/>
      <c r="AM42" s="9"/>
      <c r="AN42" s="9"/>
      <c r="AO42" s="9"/>
      <c r="AP42" s="86"/>
      <c r="AQ42" s="9"/>
      <c r="AR42" s="9"/>
      <c r="AS42" s="9"/>
      <c r="AT42" s="9"/>
      <c r="AU42" s="9"/>
      <c r="AV42" s="9"/>
      <c r="AW42" s="9"/>
      <c r="AX42" s="128"/>
      <c r="AY42" s="9"/>
      <c r="AZ42" s="9"/>
    </row>
    <row r="43" spans="1:52" x14ac:dyDescent="0.25">
      <c r="C43" s="821" t="s">
        <v>579</v>
      </c>
      <c r="D43" s="816"/>
      <c r="E43" s="816"/>
      <c r="F43" s="816"/>
      <c r="G43" s="816"/>
      <c r="H43" s="816"/>
      <c r="I43" s="816"/>
      <c r="J43" s="816"/>
      <c r="K43" s="816"/>
      <c r="L43" s="816"/>
      <c r="M43" s="816"/>
      <c r="N43" s="816"/>
      <c r="O43" s="816"/>
      <c r="P43" s="822"/>
      <c r="Q43" s="823"/>
      <c r="R43" s="823"/>
      <c r="S43" s="816"/>
      <c r="T43" s="816"/>
      <c r="U43" s="816"/>
      <c r="V43" s="816"/>
      <c r="W43" s="816"/>
      <c r="X43" s="816"/>
      <c r="Y43" s="816"/>
      <c r="Z43" s="816"/>
      <c r="AA43" s="816"/>
      <c r="AB43" s="816"/>
      <c r="AC43" s="816"/>
      <c r="AD43" s="816"/>
      <c r="AE43" s="816"/>
      <c r="AF43" s="532"/>
      <c r="AG43" s="532"/>
      <c r="AH43" s="9"/>
      <c r="AI43" s="9"/>
      <c r="AJ43" s="9"/>
      <c r="AK43" s="9"/>
      <c r="AL43" s="9"/>
      <c r="AM43" s="9"/>
      <c r="AN43" s="9"/>
      <c r="AO43" s="9"/>
      <c r="AP43" s="86"/>
      <c r="AQ43" s="9"/>
      <c r="AR43" s="9"/>
      <c r="AS43" s="9"/>
      <c r="AT43" s="9"/>
      <c r="AU43" s="9"/>
      <c r="AV43" s="9"/>
      <c r="AW43" s="9"/>
      <c r="AX43" s="128"/>
      <c r="AY43" s="9"/>
      <c r="AZ43" s="9"/>
    </row>
    <row r="44" spans="1:52" x14ac:dyDescent="0.25">
      <c r="C44" s="816"/>
      <c r="D44" s="816"/>
      <c r="E44" s="816"/>
      <c r="F44" s="816"/>
      <c r="G44" s="816"/>
      <c r="H44" s="816"/>
      <c r="I44" s="816"/>
      <c r="J44" s="816"/>
      <c r="K44" s="816"/>
      <c r="L44" s="816"/>
      <c r="M44" s="816"/>
      <c r="N44" s="816"/>
      <c r="O44" s="816"/>
      <c r="P44" s="816"/>
      <c r="Q44" s="816"/>
      <c r="R44" s="816"/>
      <c r="S44" s="816"/>
      <c r="T44" s="816"/>
      <c r="U44" s="816"/>
      <c r="V44" s="816"/>
      <c r="W44" s="816"/>
      <c r="X44" s="816"/>
      <c r="Y44" s="816"/>
      <c r="Z44" s="816"/>
      <c r="AA44" s="816"/>
      <c r="AB44" s="816"/>
      <c r="AC44" s="816"/>
      <c r="AD44" s="816"/>
      <c r="AE44" s="816"/>
      <c r="AF44" s="532"/>
      <c r="AG44" s="532"/>
      <c r="AH44" s="9"/>
      <c r="AI44" s="9"/>
      <c r="AJ44" s="9"/>
      <c r="AK44" s="9"/>
      <c r="AL44" s="9"/>
      <c r="AM44" s="9"/>
      <c r="AN44" s="9"/>
      <c r="AO44" s="9"/>
      <c r="AP44" s="86"/>
      <c r="AQ44" s="9"/>
      <c r="AR44" s="9"/>
      <c r="AS44" s="9"/>
      <c r="AT44" s="9"/>
      <c r="AU44" s="9"/>
      <c r="AV44" s="9"/>
      <c r="AW44" s="9"/>
      <c r="AX44" s="128"/>
      <c r="AY44" s="9"/>
      <c r="AZ44" s="9"/>
    </row>
    <row r="45" spans="1:52" ht="18" x14ac:dyDescent="0.25">
      <c r="A45" s="9"/>
      <c r="B45" s="9"/>
      <c r="C45" s="824"/>
      <c r="D45" s="824"/>
      <c r="E45" s="824"/>
      <c r="F45" s="824"/>
      <c r="G45" s="824"/>
      <c r="H45" s="824"/>
      <c r="I45" s="824"/>
      <c r="J45" s="824"/>
      <c r="K45" s="824"/>
      <c r="L45" s="824"/>
      <c r="M45" s="824"/>
      <c r="N45" s="824"/>
      <c r="O45" s="824"/>
      <c r="P45" s="824"/>
      <c r="Q45" s="824"/>
      <c r="R45" s="816"/>
      <c r="S45" s="816"/>
      <c r="T45" s="816"/>
      <c r="U45" s="816"/>
      <c r="V45" s="816"/>
      <c r="W45" s="816"/>
      <c r="X45" s="816"/>
      <c r="Y45" s="816"/>
      <c r="Z45" s="816"/>
      <c r="AA45" s="816"/>
      <c r="AB45" s="816"/>
      <c r="AC45" s="816"/>
      <c r="AD45" s="816"/>
      <c r="AE45" s="816"/>
      <c r="AF45" s="532"/>
      <c r="AG45" s="532"/>
      <c r="AH45" s="9"/>
      <c r="AI45" s="9"/>
      <c r="AJ45" s="9"/>
      <c r="AK45" s="9"/>
      <c r="AL45" s="9"/>
      <c r="AM45" s="9"/>
      <c r="AN45" s="9"/>
      <c r="AO45" s="9"/>
      <c r="AP45" s="86"/>
      <c r="AQ45" s="9"/>
      <c r="AR45" s="9"/>
      <c r="AS45" s="9"/>
      <c r="AT45" s="9"/>
      <c r="AU45" s="9"/>
      <c r="AV45" s="9"/>
      <c r="AW45" s="9"/>
      <c r="AX45" s="128"/>
      <c r="AY45" s="9"/>
      <c r="AZ45" s="9"/>
    </row>
    <row r="46" spans="1:52" ht="18.75" x14ac:dyDescent="0.3">
      <c r="C46" s="2205" t="s">
        <v>575</v>
      </c>
      <c r="D46" s="2206"/>
      <c r="E46" s="2206"/>
      <c r="F46" s="2206"/>
      <c r="G46" s="2206"/>
      <c r="H46" s="2206"/>
      <c r="I46" s="2206"/>
      <c r="J46" s="2206"/>
      <c r="K46" s="2206"/>
      <c r="L46" s="2206"/>
      <c r="M46" s="2206"/>
      <c r="N46" s="2206"/>
      <c r="O46" s="2206"/>
      <c r="P46" s="2206"/>
      <c r="Q46" s="2206"/>
      <c r="R46" s="816"/>
      <c r="S46" s="816"/>
      <c r="T46" s="816"/>
      <c r="U46" s="816"/>
      <c r="V46" s="816"/>
      <c r="W46" s="816"/>
      <c r="X46" s="816"/>
      <c r="Y46" s="816"/>
      <c r="Z46" s="816"/>
      <c r="AA46" s="816"/>
      <c r="AB46" s="816"/>
      <c r="AC46" s="816"/>
      <c r="AD46" s="816"/>
      <c r="AE46" s="816"/>
      <c r="AF46" s="532"/>
      <c r="AG46" s="532"/>
    </row>
    <row r="47" spans="1:52" ht="21.75" customHeight="1" x14ac:dyDescent="0.25">
      <c r="C47" s="825" t="s">
        <v>53</v>
      </c>
      <c r="D47" s="825"/>
      <c r="E47" s="825"/>
      <c r="F47" s="825"/>
      <c r="G47" s="825"/>
      <c r="H47" s="825"/>
      <c r="I47" s="825"/>
      <c r="J47" s="825"/>
      <c r="K47" s="825"/>
      <c r="L47" s="825"/>
      <c r="M47" s="825"/>
      <c r="N47" s="825"/>
      <c r="O47" s="825"/>
      <c r="P47" s="825"/>
      <c r="Q47" s="825"/>
      <c r="R47" s="816"/>
      <c r="S47" s="816"/>
      <c r="T47" s="816"/>
      <c r="U47" s="816"/>
      <c r="V47" s="816"/>
      <c r="W47" s="816"/>
      <c r="X47" s="816"/>
      <c r="Y47" s="816"/>
      <c r="Z47" s="816"/>
      <c r="AA47" s="816"/>
      <c r="AB47" s="816"/>
      <c r="AC47" s="816"/>
      <c r="AD47" s="816"/>
      <c r="AE47" s="816"/>
      <c r="AF47" s="532"/>
      <c r="AG47" s="532"/>
      <c r="AH47" s="2193"/>
      <c r="AI47" s="2193"/>
      <c r="AJ47" s="2193"/>
      <c r="AK47" s="2193"/>
      <c r="AL47" s="267"/>
      <c r="AM47" s="125"/>
      <c r="AN47" s="125"/>
      <c r="AO47" s="267"/>
      <c r="AP47" s="78"/>
      <c r="AQ47" s="125"/>
      <c r="AR47" s="268"/>
      <c r="AS47" s="268"/>
      <c r="AT47" s="2192"/>
      <c r="AU47" s="2192"/>
      <c r="AV47" s="2192"/>
      <c r="AW47" s="2192"/>
      <c r="AX47" s="265"/>
      <c r="AY47" s="266"/>
    </row>
    <row r="48" spans="1:52" s="53" customFormat="1" ht="18" x14ac:dyDescent="0.25">
      <c r="A48"/>
      <c r="B48"/>
      <c r="C48" s="825"/>
      <c r="D48" s="825"/>
      <c r="E48" s="825"/>
      <c r="F48" s="825"/>
      <c r="G48" s="825"/>
      <c r="H48" s="825"/>
      <c r="I48" s="825"/>
      <c r="J48" s="825"/>
      <c r="K48" s="825"/>
      <c r="L48" s="825"/>
      <c r="M48" s="825"/>
      <c r="N48" s="825"/>
      <c r="O48" s="825"/>
      <c r="P48" s="825"/>
      <c r="Q48" s="825"/>
      <c r="R48" s="816"/>
      <c r="S48" s="816"/>
      <c r="T48" s="816"/>
      <c r="U48" s="816"/>
      <c r="V48" s="816"/>
      <c r="W48" s="816"/>
      <c r="X48" s="816"/>
      <c r="Y48" s="816"/>
      <c r="Z48" s="816"/>
      <c r="AA48" s="816"/>
      <c r="AB48" s="816"/>
      <c r="AC48" s="816"/>
      <c r="AD48" s="816"/>
      <c r="AE48" s="816"/>
      <c r="AF48" s="534"/>
      <c r="AG48" s="534"/>
      <c r="AH48" s="66"/>
      <c r="AI48" s="66"/>
      <c r="AJ48" s="66"/>
      <c r="AK48" s="66"/>
      <c r="AL48" s="66"/>
      <c r="AM48" s="66"/>
      <c r="AN48" s="66"/>
      <c r="AO48" s="30"/>
      <c r="AP48" s="35"/>
      <c r="AQ48" s="30"/>
      <c r="AR48" s="67"/>
      <c r="AS48" s="67"/>
      <c r="AT48" s="68"/>
      <c r="AU48" s="67"/>
      <c r="AV48" s="68"/>
      <c r="AW48" s="67"/>
      <c r="AX48" s="126"/>
      <c r="AY48" s="35"/>
    </row>
    <row r="49" spans="1:51" s="53" customFormat="1" ht="27.75" customHeight="1" x14ac:dyDescent="0.25">
      <c r="A49" s="2017" t="s">
        <v>0</v>
      </c>
      <c r="B49" s="2020"/>
      <c r="C49" s="2197" t="s">
        <v>184</v>
      </c>
      <c r="D49" s="2197" t="s">
        <v>54</v>
      </c>
      <c r="E49" s="2197" t="s">
        <v>55</v>
      </c>
      <c r="F49" s="2197" t="s">
        <v>56</v>
      </c>
      <c r="G49" s="2197" t="s">
        <v>57</v>
      </c>
      <c r="H49" s="2197" t="s">
        <v>6</v>
      </c>
      <c r="I49" s="969"/>
      <c r="J49" s="969"/>
      <c r="K49" s="2198" t="s">
        <v>284</v>
      </c>
      <c r="L49" s="2199"/>
      <c r="M49" s="972"/>
      <c r="N49" s="972"/>
      <c r="O49" s="2186" t="s">
        <v>457</v>
      </c>
      <c r="P49" s="2197" t="s">
        <v>370</v>
      </c>
      <c r="Q49" s="2186" t="s">
        <v>460</v>
      </c>
      <c r="R49" s="2186" t="s">
        <v>459</v>
      </c>
      <c r="S49" s="2186" t="s">
        <v>314</v>
      </c>
      <c r="T49" s="2186"/>
      <c r="U49" s="2188" t="s">
        <v>375</v>
      </c>
      <c r="V49" s="2186" t="s">
        <v>175</v>
      </c>
      <c r="W49" s="2186" t="s">
        <v>183</v>
      </c>
      <c r="X49" s="2188" t="s">
        <v>182</v>
      </c>
      <c r="Y49" s="2190" t="s">
        <v>544</v>
      </c>
      <c r="Z49" s="2184" t="s">
        <v>566</v>
      </c>
      <c r="AA49" s="816"/>
      <c r="AB49" s="816"/>
      <c r="AC49" s="816"/>
      <c r="AD49" s="816"/>
      <c r="AE49" s="816"/>
      <c r="AF49" s="534"/>
      <c r="AG49" s="534"/>
      <c r="AH49" s="66"/>
      <c r="AI49" s="66"/>
      <c r="AJ49" s="66"/>
      <c r="AK49" s="35"/>
      <c r="AL49" s="66"/>
      <c r="AM49" s="66"/>
      <c r="AN49" s="66"/>
      <c r="AO49" s="30"/>
      <c r="AP49" s="35"/>
      <c r="AQ49" s="30"/>
      <c r="AR49" s="67"/>
      <c r="AS49" s="67"/>
      <c r="AT49" s="68"/>
      <c r="AU49" s="67"/>
      <c r="AV49" s="68"/>
      <c r="AW49" s="67"/>
      <c r="AX49" s="126"/>
      <c r="AY49" s="35"/>
    </row>
    <row r="50" spans="1:51" s="53" customFormat="1" ht="15" customHeight="1" x14ac:dyDescent="0.25">
      <c r="A50" s="2017"/>
      <c r="B50" s="2021"/>
      <c r="C50" s="2197"/>
      <c r="D50" s="2197"/>
      <c r="E50" s="2197"/>
      <c r="F50" s="2197"/>
      <c r="G50" s="2197"/>
      <c r="H50" s="2197"/>
      <c r="I50" s="970"/>
      <c r="J50" s="970"/>
      <c r="K50" s="826" t="s">
        <v>15</v>
      </c>
      <c r="L50" s="827" t="s">
        <v>16</v>
      </c>
      <c r="M50" s="973"/>
      <c r="N50" s="973"/>
      <c r="O50" s="2187"/>
      <c r="P50" s="2197"/>
      <c r="Q50" s="2187"/>
      <c r="R50" s="2187"/>
      <c r="S50" s="2187"/>
      <c r="T50" s="2187"/>
      <c r="U50" s="2189"/>
      <c r="V50" s="2187"/>
      <c r="W50" s="2187"/>
      <c r="X50" s="2189"/>
      <c r="Y50" s="2191"/>
      <c r="Z50" s="2185"/>
      <c r="AA50" s="816"/>
      <c r="AB50" s="816"/>
      <c r="AC50" s="816"/>
      <c r="AD50" s="816"/>
      <c r="AE50" s="816"/>
      <c r="AF50" s="534"/>
      <c r="AG50" s="534"/>
      <c r="AH50" s="66"/>
      <c r="AI50" s="66"/>
      <c r="AJ50" s="66"/>
      <c r="AK50" s="35"/>
      <c r="AL50" s="66"/>
      <c r="AM50" s="66"/>
      <c r="AN50" s="66"/>
      <c r="AO50" s="30"/>
      <c r="AP50" s="35"/>
      <c r="AQ50" s="30"/>
      <c r="AR50" s="67"/>
      <c r="AS50" s="67"/>
      <c r="AT50" s="68"/>
      <c r="AU50" s="67"/>
      <c r="AV50" s="68"/>
      <c r="AW50" s="67"/>
      <c r="AX50" s="126"/>
      <c r="AY50" s="35"/>
    </row>
    <row r="51" spans="1:51" s="53" customFormat="1" x14ac:dyDescent="0.25">
      <c r="A51" s="16">
        <v>1</v>
      </c>
      <c r="B51" s="574">
        <v>42491</v>
      </c>
      <c r="C51" s="424" t="s">
        <v>58</v>
      </c>
      <c r="D51" s="675">
        <v>1976</v>
      </c>
      <c r="E51" s="675">
        <v>3</v>
      </c>
      <c r="F51" s="675">
        <v>24</v>
      </c>
      <c r="G51" s="675">
        <v>97</v>
      </c>
      <c r="H51" s="676">
        <v>1461.2</v>
      </c>
      <c r="I51" s="951"/>
      <c r="J51" s="951"/>
      <c r="K51" s="541">
        <v>32128.959999999999</v>
      </c>
      <c r="L51" s="521">
        <v>27366.59</v>
      </c>
      <c r="M51" s="974"/>
      <c r="N51" s="974"/>
      <c r="O51" s="521">
        <f>P51+Q51+R51+S51+U51</f>
        <v>0</v>
      </c>
      <c r="P51" s="524"/>
      <c r="Q51" s="521"/>
      <c r="R51" s="522"/>
      <c r="S51" s="522"/>
      <c r="T51" s="522"/>
      <c r="U51" s="522"/>
      <c r="V51" s="522">
        <f>K51-O51</f>
        <v>32128.959999999999</v>
      </c>
      <c r="W51" s="522">
        <f>L51/K51*100</f>
        <v>85.177329113671902</v>
      </c>
      <c r="X51" s="522">
        <f>O51/H51/4</f>
        <v>0</v>
      </c>
      <c r="Y51" s="522">
        <v>5.5</v>
      </c>
      <c r="Z51" s="525">
        <f>K51-L51</f>
        <v>4762.369999999999</v>
      </c>
      <c r="AA51" s="816"/>
      <c r="AB51" s="816"/>
      <c r="AC51" s="816"/>
      <c r="AD51" s="816"/>
      <c r="AE51" s="816"/>
      <c r="AF51" s="534"/>
      <c r="AG51" s="534"/>
      <c r="AH51" s="66"/>
      <c r="AI51" s="66"/>
      <c r="AJ51" s="66"/>
      <c r="AK51" s="35"/>
      <c r="AL51" s="66"/>
      <c r="AM51" s="66"/>
      <c r="AN51" s="66"/>
      <c r="AO51" s="30"/>
      <c r="AP51" s="35"/>
      <c r="AQ51" s="30"/>
      <c r="AR51" s="67"/>
      <c r="AS51" s="67"/>
      <c r="AT51" s="68"/>
      <c r="AU51" s="67"/>
      <c r="AV51" s="68"/>
      <c r="AW51" s="67"/>
      <c r="AX51" s="126"/>
      <c r="AY51" s="35"/>
    </row>
    <row r="52" spans="1:51" s="53" customFormat="1" x14ac:dyDescent="0.25">
      <c r="A52" s="16">
        <v>2</v>
      </c>
      <c r="B52" s="16"/>
      <c r="C52" s="424" t="s">
        <v>59</v>
      </c>
      <c r="D52" s="675">
        <v>1977</v>
      </c>
      <c r="E52" s="675">
        <v>3</v>
      </c>
      <c r="F52" s="675">
        <v>24</v>
      </c>
      <c r="G52" s="675">
        <v>81</v>
      </c>
      <c r="H52" s="676">
        <v>1456.7</v>
      </c>
      <c r="I52" s="951"/>
      <c r="J52" s="951"/>
      <c r="K52" s="541">
        <v>32047.49</v>
      </c>
      <c r="L52" s="521">
        <v>30813.119999999999</v>
      </c>
      <c r="M52" s="974"/>
      <c r="N52" s="974"/>
      <c r="O52" s="521">
        <f t="shared" ref="O52:O64" si="18">P52+Q52+R52+S52+U52</f>
        <v>91171.5</v>
      </c>
      <c r="P52" s="524"/>
      <c r="Q52" s="521"/>
      <c r="R52" s="522"/>
      <c r="S52" s="522"/>
      <c r="T52" s="522"/>
      <c r="U52" s="522">
        <v>91171.5</v>
      </c>
      <c r="V52" s="522">
        <f t="shared" ref="V52:V64" si="19">K52-O52</f>
        <v>-59124.009999999995</v>
      </c>
      <c r="W52" s="522">
        <f t="shared" ref="W52:W65" si="20">L52/K52*100</f>
        <v>96.148309898840751</v>
      </c>
      <c r="X52" s="522">
        <f t="shared" ref="X52:X65" si="21">O52/H52/4</f>
        <v>15.646924555502162</v>
      </c>
      <c r="Y52" s="522">
        <v>5.5</v>
      </c>
      <c r="Z52" s="525">
        <f t="shared" ref="Z52:Z64" si="22">K52-L52</f>
        <v>1234.3700000000026</v>
      </c>
      <c r="AA52" s="816"/>
      <c r="AB52" s="816"/>
      <c r="AC52" s="816"/>
      <c r="AD52" s="816"/>
      <c r="AE52" s="816"/>
      <c r="AF52" s="534"/>
      <c r="AG52" s="534"/>
      <c r="AH52" s="66"/>
      <c r="AI52" s="66"/>
      <c r="AJ52" s="66"/>
      <c r="AK52" s="35"/>
      <c r="AL52" s="66"/>
      <c r="AM52" s="66"/>
      <c r="AN52" s="66"/>
      <c r="AO52" s="30"/>
      <c r="AP52" s="35"/>
      <c r="AQ52" s="30"/>
      <c r="AR52" s="67"/>
      <c r="AS52" s="67"/>
      <c r="AT52" s="68"/>
      <c r="AU52" s="67"/>
      <c r="AV52" s="68"/>
      <c r="AW52" s="67"/>
      <c r="AX52" s="126"/>
      <c r="AY52" s="35"/>
    </row>
    <row r="53" spans="1:51" s="124" customFormat="1" x14ac:dyDescent="0.25">
      <c r="A53" s="16">
        <v>3</v>
      </c>
      <c r="B53" s="16"/>
      <c r="C53" s="424" t="s">
        <v>60</v>
      </c>
      <c r="D53" s="675">
        <v>1972</v>
      </c>
      <c r="E53" s="675">
        <v>2</v>
      </c>
      <c r="F53" s="675">
        <v>18</v>
      </c>
      <c r="G53" s="675">
        <v>57</v>
      </c>
      <c r="H53" s="676">
        <v>776.8</v>
      </c>
      <c r="I53" s="951"/>
      <c r="J53" s="951"/>
      <c r="K53" s="541">
        <v>17089.64</v>
      </c>
      <c r="L53" s="521">
        <v>14937.86</v>
      </c>
      <c r="M53" s="974"/>
      <c r="N53" s="974"/>
      <c r="O53" s="521">
        <f t="shared" si="18"/>
        <v>0</v>
      </c>
      <c r="P53" s="524"/>
      <c r="Q53" s="521"/>
      <c r="R53" s="522"/>
      <c r="S53" s="522"/>
      <c r="T53" s="522"/>
      <c r="U53" s="522"/>
      <c r="V53" s="522">
        <f t="shared" si="19"/>
        <v>17089.64</v>
      </c>
      <c r="W53" s="522">
        <f t="shared" si="20"/>
        <v>87.40886291343763</v>
      </c>
      <c r="X53" s="522">
        <f t="shared" si="21"/>
        <v>0</v>
      </c>
      <c r="Y53" s="522">
        <v>5.5</v>
      </c>
      <c r="Z53" s="525">
        <f t="shared" si="22"/>
        <v>2151.7799999999988</v>
      </c>
      <c r="AA53" s="816"/>
      <c r="AB53" s="816"/>
      <c r="AC53" s="816"/>
      <c r="AD53" s="816"/>
      <c r="AE53" s="816"/>
      <c r="AF53" s="534"/>
      <c r="AG53" s="534"/>
      <c r="AH53" s="66"/>
      <c r="AI53" s="66"/>
      <c r="AJ53" s="66"/>
      <c r="AK53" s="35"/>
      <c r="AL53" s="66"/>
      <c r="AM53" s="66"/>
      <c r="AN53" s="66"/>
      <c r="AO53" s="30"/>
      <c r="AP53" s="35"/>
      <c r="AQ53" s="30"/>
      <c r="AR53" s="67"/>
      <c r="AS53" s="67"/>
      <c r="AT53" s="68"/>
      <c r="AU53" s="67"/>
      <c r="AV53" s="68"/>
      <c r="AW53" s="67"/>
      <c r="AX53" s="126"/>
      <c r="AY53" s="35"/>
    </row>
    <row r="54" spans="1:51" s="124" customFormat="1" x14ac:dyDescent="0.25">
      <c r="A54" s="16">
        <v>4</v>
      </c>
      <c r="B54" s="16"/>
      <c r="C54" s="424" t="s">
        <v>318</v>
      </c>
      <c r="D54" s="675">
        <v>1973</v>
      </c>
      <c r="E54" s="675">
        <v>2</v>
      </c>
      <c r="F54" s="675">
        <v>18</v>
      </c>
      <c r="G54" s="675">
        <v>49</v>
      </c>
      <c r="H54" s="676">
        <v>773.51</v>
      </c>
      <c r="I54" s="951"/>
      <c r="J54" s="951"/>
      <c r="K54" s="541">
        <v>17037.04</v>
      </c>
      <c r="L54" s="521">
        <v>17831.759999999998</v>
      </c>
      <c r="M54" s="974"/>
      <c r="N54" s="974"/>
      <c r="O54" s="521">
        <f t="shared" si="18"/>
        <v>0</v>
      </c>
      <c r="P54" s="524"/>
      <c r="Q54" s="521"/>
      <c r="R54" s="522"/>
      <c r="S54" s="522"/>
      <c r="T54" s="522"/>
      <c r="U54" s="522"/>
      <c r="V54" s="522">
        <f t="shared" si="19"/>
        <v>17037.04</v>
      </c>
      <c r="W54" s="522">
        <f t="shared" si="20"/>
        <v>104.66466005831998</v>
      </c>
      <c r="X54" s="522">
        <f t="shared" si="21"/>
        <v>0</v>
      </c>
      <c r="Y54" s="522">
        <v>5.5</v>
      </c>
      <c r="Z54" s="525">
        <f t="shared" si="22"/>
        <v>-794.71999999999753</v>
      </c>
      <c r="AA54" s="816"/>
      <c r="AB54" s="816"/>
      <c r="AC54" s="816"/>
      <c r="AD54" s="816"/>
      <c r="AE54" s="816"/>
      <c r="AF54" s="534"/>
      <c r="AG54" s="534"/>
      <c r="AH54" s="66"/>
      <c r="AI54" s="66"/>
      <c r="AJ54" s="66"/>
      <c r="AK54" s="35"/>
      <c r="AL54" s="66"/>
      <c r="AM54" s="66"/>
      <c r="AN54" s="66"/>
      <c r="AO54" s="30"/>
      <c r="AP54" s="35"/>
      <c r="AQ54" s="30"/>
      <c r="AR54" s="67"/>
      <c r="AS54" s="67"/>
      <c r="AT54" s="68"/>
      <c r="AU54" s="67"/>
      <c r="AV54" s="68"/>
      <c r="AW54" s="67"/>
      <c r="AX54" s="126"/>
      <c r="AY54" s="35"/>
    </row>
    <row r="55" spans="1:51" s="53" customFormat="1" x14ac:dyDescent="0.25">
      <c r="A55" s="16">
        <v>5</v>
      </c>
      <c r="B55" s="16"/>
      <c r="C55" s="424" t="s">
        <v>62</v>
      </c>
      <c r="D55" s="675">
        <v>1980</v>
      </c>
      <c r="E55" s="675">
        <v>3</v>
      </c>
      <c r="F55" s="675">
        <v>36</v>
      </c>
      <c r="G55" s="675">
        <v>93</v>
      </c>
      <c r="H55" s="676">
        <v>1799.9</v>
      </c>
      <c r="I55" s="951"/>
      <c r="J55" s="951"/>
      <c r="K55" s="541">
        <v>39553.800000000003</v>
      </c>
      <c r="L55" s="521">
        <v>35491.449999999997</v>
      </c>
      <c r="M55" s="974"/>
      <c r="N55" s="974"/>
      <c r="O55" s="521">
        <f t="shared" si="18"/>
        <v>0</v>
      </c>
      <c r="P55" s="524"/>
      <c r="Q55" s="521"/>
      <c r="R55" s="522"/>
      <c r="S55" s="522"/>
      <c r="T55" s="522"/>
      <c r="U55" s="522"/>
      <c r="V55" s="522">
        <f t="shared" si="19"/>
        <v>39553.800000000003</v>
      </c>
      <c r="W55" s="522">
        <f t="shared" si="20"/>
        <v>89.729558221966016</v>
      </c>
      <c r="X55" s="522">
        <f t="shared" si="21"/>
        <v>0</v>
      </c>
      <c r="Y55" s="522">
        <v>5.5</v>
      </c>
      <c r="Z55" s="525">
        <f t="shared" si="22"/>
        <v>4062.3500000000058</v>
      </c>
      <c r="AA55" s="816"/>
      <c r="AB55" s="816"/>
      <c r="AC55" s="816"/>
      <c r="AD55" s="816"/>
      <c r="AE55" s="816"/>
      <c r="AF55" s="534"/>
      <c r="AG55" s="534"/>
      <c r="AH55" s="66"/>
      <c r="AI55" s="66"/>
      <c r="AJ55" s="66"/>
      <c r="AK55" s="35"/>
      <c r="AL55" s="66"/>
      <c r="AM55" s="66"/>
      <c r="AN55" s="66"/>
      <c r="AO55" s="30"/>
      <c r="AP55" s="35"/>
      <c r="AQ55" s="30"/>
      <c r="AR55" s="67"/>
      <c r="AS55" s="67"/>
      <c r="AT55" s="68"/>
      <c r="AU55" s="67"/>
      <c r="AV55" s="68"/>
      <c r="AW55" s="67"/>
      <c r="AX55" s="126"/>
      <c r="AY55" s="35"/>
    </row>
    <row r="56" spans="1:51" s="53" customFormat="1" x14ac:dyDescent="0.25">
      <c r="A56" s="16">
        <v>6</v>
      </c>
      <c r="B56" s="16"/>
      <c r="C56" s="424" t="s">
        <v>63</v>
      </c>
      <c r="D56" s="675">
        <v>1982</v>
      </c>
      <c r="E56" s="675">
        <v>3</v>
      </c>
      <c r="F56" s="675">
        <v>24</v>
      </c>
      <c r="G56" s="675">
        <v>84</v>
      </c>
      <c r="H56" s="676">
        <v>1454.5</v>
      </c>
      <c r="I56" s="951"/>
      <c r="J56" s="951"/>
      <c r="K56" s="541">
        <v>31992.44</v>
      </c>
      <c r="L56" s="521">
        <v>26679.4</v>
      </c>
      <c r="M56" s="974"/>
      <c r="N56" s="974"/>
      <c r="O56" s="521">
        <f t="shared" si="18"/>
        <v>0</v>
      </c>
      <c r="P56" s="524"/>
      <c r="Q56" s="521"/>
      <c r="R56" s="522"/>
      <c r="S56" s="522"/>
      <c r="T56" s="522"/>
      <c r="U56" s="522"/>
      <c r="V56" s="522">
        <f t="shared" si="19"/>
        <v>31992.44</v>
      </c>
      <c r="W56" s="522">
        <f t="shared" si="20"/>
        <v>83.392826555273686</v>
      </c>
      <c r="X56" s="522">
        <f t="shared" si="21"/>
        <v>0</v>
      </c>
      <c r="Y56" s="522">
        <v>5.5</v>
      </c>
      <c r="Z56" s="525">
        <f t="shared" si="22"/>
        <v>5313.0399999999972</v>
      </c>
      <c r="AA56" s="816"/>
      <c r="AB56" s="816"/>
      <c r="AC56" s="816"/>
      <c r="AD56" s="816"/>
      <c r="AE56" s="816"/>
      <c r="AF56" s="534"/>
      <c r="AG56" s="534"/>
      <c r="AH56" s="66"/>
      <c r="AI56" s="66"/>
      <c r="AJ56" s="66"/>
      <c r="AK56" s="35"/>
      <c r="AL56" s="66"/>
      <c r="AM56" s="66"/>
      <c r="AN56" s="66"/>
      <c r="AO56" s="30"/>
      <c r="AP56" s="35"/>
      <c r="AQ56" s="30"/>
      <c r="AR56" s="67"/>
      <c r="AS56" s="67"/>
      <c r="AT56" s="68"/>
      <c r="AU56" s="67"/>
      <c r="AV56" s="68"/>
      <c r="AW56" s="67"/>
      <c r="AX56" s="126"/>
      <c r="AY56" s="35"/>
    </row>
    <row r="57" spans="1:51" s="53" customFormat="1" x14ac:dyDescent="0.25">
      <c r="A57" s="16">
        <v>7</v>
      </c>
      <c r="B57" s="16"/>
      <c r="C57" s="424" t="s">
        <v>64</v>
      </c>
      <c r="D57" s="675">
        <v>1982</v>
      </c>
      <c r="E57" s="675">
        <v>3</v>
      </c>
      <c r="F57" s="675">
        <v>24</v>
      </c>
      <c r="G57" s="675">
        <v>95</v>
      </c>
      <c r="H57" s="676">
        <v>1458.3</v>
      </c>
      <c r="I57" s="951"/>
      <c r="J57" s="951"/>
      <c r="K57" s="541">
        <v>32069.439999999999</v>
      </c>
      <c r="L57" s="521">
        <v>30881.26</v>
      </c>
      <c r="M57" s="974"/>
      <c r="N57" s="974"/>
      <c r="O57" s="521">
        <f t="shared" si="18"/>
        <v>0</v>
      </c>
      <c r="P57" s="524"/>
      <c r="Q57" s="521"/>
      <c r="R57" s="522"/>
      <c r="S57" s="522"/>
      <c r="T57" s="522"/>
      <c r="U57" s="522"/>
      <c r="V57" s="522">
        <f t="shared" si="19"/>
        <v>32069.439999999999</v>
      </c>
      <c r="W57" s="522">
        <f t="shared" si="20"/>
        <v>96.294977399044072</v>
      </c>
      <c r="X57" s="522">
        <f t="shared" si="21"/>
        <v>0</v>
      </c>
      <c r="Y57" s="522">
        <v>5.5</v>
      </c>
      <c r="Z57" s="525">
        <f t="shared" si="22"/>
        <v>1188.1800000000003</v>
      </c>
      <c r="AA57" s="816"/>
      <c r="AB57" s="816"/>
      <c r="AC57" s="816"/>
      <c r="AD57" s="816"/>
      <c r="AE57" s="816"/>
      <c r="AF57" s="534"/>
      <c r="AG57" s="534"/>
      <c r="AH57" s="66"/>
      <c r="AI57" s="66"/>
      <c r="AJ57" s="66"/>
      <c r="AK57" s="35"/>
      <c r="AL57" s="66"/>
      <c r="AM57" s="66"/>
      <c r="AN57" s="66"/>
      <c r="AO57" s="30"/>
      <c r="AP57" s="35"/>
      <c r="AQ57" s="30"/>
      <c r="AR57" s="67"/>
      <c r="AS57" s="67"/>
      <c r="AT57" s="68"/>
      <c r="AU57" s="67"/>
      <c r="AV57" s="68"/>
      <c r="AW57" s="67"/>
      <c r="AX57" s="126"/>
      <c r="AY57" s="35"/>
    </row>
    <row r="58" spans="1:51" s="53" customFormat="1" x14ac:dyDescent="0.25">
      <c r="A58" s="16">
        <v>8</v>
      </c>
      <c r="B58" s="16"/>
      <c r="C58" s="424" t="s">
        <v>65</v>
      </c>
      <c r="D58" s="675">
        <v>1983</v>
      </c>
      <c r="E58" s="675">
        <v>3</v>
      </c>
      <c r="F58" s="675">
        <v>24</v>
      </c>
      <c r="G58" s="675">
        <v>83</v>
      </c>
      <c r="H58" s="676">
        <v>1446.6</v>
      </c>
      <c r="I58" s="951"/>
      <c r="J58" s="951"/>
      <c r="K58" s="541">
        <v>31823</v>
      </c>
      <c r="L58" s="521">
        <v>27476.2</v>
      </c>
      <c r="M58" s="974"/>
      <c r="N58" s="974"/>
      <c r="O58" s="521">
        <f t="shared" si="18"/>
        <v>0</v>
      </c>
      <c r="P58" s="524"/>
      <c r="Q58" s="521"/>
      <c r="R58" s="522"/>
      <c r="S58" s="522"/>
      <c r="T58" s="522"/>
      <c r="U58" s="522"/>
      <c r="V58" s="522">
        <f t="shared" si="19"/>
        <v>31823</v>
      </c>
      <c r="W58" s="522">
        <f t="shared" si="20"/>
        <v>86.340696980171572</v>
      </c>
      <c r="X58" s="522">
        <f t="shared" si="21"/>
        <v>0</v>
      </c>
      <c r="Y58" s="522">
        <v>5.5</v>
      </c>
      <c r="Z58" s="525">
        <f t="shared" si="22"/>
        <v>4346.7999999999993</v>
      </c>
      <c r="AA58" s="816"/>
      <c r="AB58" s="816"/>
      <c r="AC58" s="816"/>
      <c r="AD58" s="816"/>
      <c r="AE58" s="816"/>
      <c r="AF58" s="534"/>
      <c r="AG58" s="534"/>
      <c r="AH58" s="66"/>
      <c r="AI58" s="66"/>
      <c r="AJ58" s="66"/>
      <c r="AK58" s="35"/>
      <c r="AL58" s="66"/>
      <c r="AM58" s="66"/>
      <c r="AN58" s="66"/>
      <c r="AO58" s="30"/>
      <c r="AP58" s="35"/>
      <c r="AQ58" s="30"/>
      <c r="AR58" s="67"/>
      <c r="AS58" s="67"/>
      <c r="AT58" s="68"/>
      <c r="AU58" s="67"/>
      <c r="AV58" s="30"/>
      <c r="AW58" s="67"/>
      <c r="AX58" s="126"/>
      <c r="AY58" s="35"/>
    </row>
    <row r="59" spans="1:51" s="53" customFormat="1" x14ac:dyDescent="0.25">
      <c r="A59" s="16">
        <v>9</v>
      </c>
      <c r="B59" s="16"/>
      <c r="C59" s="424" t="s">
        <v>66</v>
      </c>
      <c r="D59" s="675">
        <v>1984</v>
      </c>
      <c r="E59" s="675">
        <v>3</v>
      </c>
      <c r="F59" s="675">
        <v>24</v>
      </c>
      <c r="G59" s="675">
        <v>68</v>
      </c>
      <c r="H59" s="676">
        <v>1448</v>
      </c>
      <c r="I59" s="951"/>
      <c r="J59" s="951"/>
      <c r="K59" s="541">
        <v>31856</v>
      </c>
      <c r="L59" s="521">
        <v>32431.67</v>
      </c>
      <c r="M59" s="974"/>
      <c r="N59" s="974"/>
      <c r="O59" s="521">
        <f t="shared" si="18"/>
        <v>0</v>
      </c>
      <c r="P59" s="524"/>
      <c r="Q59" s="521"/>
      <c r="R59" s="522"/>
      <c r="S59" s="522"/>
      <c r="T59" s="522"/>
      <c r="U59" s="522"/>
      <c r="V59" s="522">
        <f t="shared" si="19"/>
        <v>31856</v>
      </c>
      <c r="W59" s="522">
        <f t="shared" si="20"/>
        <v>101.80710070316424</v>
      </c>
      <c r="X59" s="522">
        <f t="shared" si="21"/>
        <v>0</v>
      </c>
      <c r="Y59" s="522">
        <v>5.5</v>
      </c>
      <c r="Z59" s="525">
        <f t="shared" si="22"/>
        <v>-575.66999999999825</v>
      </c>
      <c r="AA59" s="816"/>
      <c r="AB59" s="816"/>
      <c r="AC59" s="816"/>
      <c r="AD59" s="816"/>
      <c r="AE59" s="816"/>
      <c r="AF59" s="534"/>
      <c r="AG59" s="534"/>
      <c r="AH59" s="66"/>
      <c r="AI59" s="66"/>
      <c r="AJ59" s="66"/>
      <c r="AK59" s="35"/>
      <c r="AL59" s="66"/>
      <c r="AM59" s="66"/>
      <c r="AN59" s="66"/>
      <c r="AO59" s="30"/>
      <c r="AP59" s="35"/>
      <c r="AQ59" s="30"/>
      <c r="AR59" s="67"/>
      <c r="AS59" s="67"/>
      <c r="AT59" s="68"/>
      <c r="AU59" s="67"/>
      <c r="AV59" s="68"/>
      <c r="AW59" s="67"/>
      <c r="AX59" s="126"/>
      <c r="AY59" s="35"/>
    </row>
    <row r="60" spans="1:51" s="53" customFormat="1" x14ac:dyDescent="0.25">
      <c r="A60" s="16">
        <v>10</v>
      </c>
      <c r="B60" s="16"/>
      <c r="C60" s="424" t="s">
        <v>67</v>
      </c>
      <c r="D60" s="675">
        <v>1987</v>
      </c>
      <c r="E60" s="675">
        <v>3</v>
      </c>
      <c r="F60" s="675">
        <v>27</v>
      </c>
      <c r="G60" s="675">
        <v>82</v>
      </c>
      <c r="H60" s="676">
        <v>1459.2</v>
      </c>
      <c r="I60" s="951"/>
      <c r="J60" s="951"/>
      <c r="K60" s="541">
        <v>32125.5</v>
      </c>
      <c r="L60" s="521">
        <v>29523.52</v>
      </c>
      <c r="M60" s="974"/>
      <c r="N60" s="974"/>
      <c r="O60" s="521">
        <f t="shared" si="18"/>
        <v>0</v>
      </c>
      <c r="P60" s="524"/>
      <c r="Q60" s="521"/>
      <c r="R60" s="522"/>
      <c r="S60" s="522"/>
      <c r="T60" s="522"/>
      <c r="U60" s="522"/>
      <c r="V60" s="522">
        <f t="shared" si="19"/>
        <v>32125.5</v>
      </c>
      <c r="W60" s="522">
        <f t="shared" si="20"/>
        <v>91.900577422919497</v>
      </c>
      <c r="X60" s="522">
        <f t="shared" si="21"/>
        <v>0</v>
      </c>
      <c r="Y60" s="522">
        <v>5.5</v>
      </c>
      <c r="Z60" s="525">
        <f t="shared" si="22"/>
        <v>2601.9799999999996</v>
      </c>
      <c r="AA60" s="816"/>
      <c r="AB60" s="816"/>
      <c r="AC60" s="816"/>
      <c r="AD60" s="816"/>
      <c r="AE60" s="816"/>
      <c r="AF60" s="534"/>
      <c r="AG60" s="534"/>
      <c r="AH60" s="66"/>
      <c r="AI60" s="66"/>
      <c r="AJ60" s="66"/>
      <c r="AK60" s="35"/>
      <c r="AL60" s="66"/>
      <c r="AM60" s="66"/>
      <c r="AN60" s="66"/>
      <c r="AO60" s="30"/>
      <c r="AP60" s="35"/>
      <c r="AQ60" s="30"/>
      <c r="AR60" s="67"/>
      <c r="AS60" s="67"/>
      <c r="AT60" s="68"/>
      <c r="AU60" s="67"/>
      <c r="AV60" s="68"/>
      <c r="AW60" s="67"/>
      <c r="AX60" s="126"/>
      <c r="AY60" s="35"/>
    </row>
    <row r="61" spans="1:51" s="53" customFormat="1" x14ac:dyDescent="0.25">
      <c r="A61" s="16">
        <v>11</v>
      </c>
      <c r="B61" s="16"/>
      <c r="C61" s="424" t="s">
        <v>72</v>
      </c>
      <c r="D61" s="675">
        <v>1968</v>
      </c>
      <c r="E61" s="675">
        <v>2</v>
      </c>
      <c r="F61" s="675">
        <v>16</v>
      </c>
      <c r="G61" s="675">
        <v>36</v>
      </c>
      <c r="H61" s="676">
        <v>722.8</v>
      </c>
      <c r="I61" s="951"/>
      <c r="J61" s="951"/>
      <c r="K61" s="541">
        <v>15840.04</v>
      </c>
      <c r="L61" s="521">
        <v>13166.25</v>
      </c>
      <c r="M61" s="974"/>
      <c r="N61" s="974"/>
      <c r="O61" s="521">
        <f t="shared" si="18"/>
        <v>0</v>
      </c>
      <c r="P61" s="524"/>
      <c r="Q61" s="521"/>
      <c r="R61" s="522"/>
      <c r="S61" s="522"/>
      <c r="T61" s="522"/>
      <c r="U61" s="522"/>
      <c r="V61" s="522">
        <f t="shared" si="19"/>
        <v>15840.04</v>
      </c>
      <c r="W61" s="522">
        <f t="shared" si="20"/>
        <v>83.120055252385725</v>
      </c>
      <c r="X61" s="522">
        <f t="shared" si="21"/>
        <v>0</v>
      </c>
      <c r="Y61" s="522">
        <v>5.5</v>
      </c>
      <c r="Z61" s="525">
        <f t="shared" si="22"/>
        <v>2673.7900000000009</v>
      </c>
      <c r="AA61" s="816"/>
      <c r="AB61" s="816"/>
      <c r="AC61" s="816"/>
      <c r="AD61" s="816"/>
      <c r="AE61" s="816"/>
      <c r="AF61" s="534"/>
      <c r="AG61" s="534"/>
      <c r="AH61" s="66"/>
      <c r="AI61" s="66"/>
      <c r="AJ61" s="66"/>
      <c r="AK61" s="35"/>
      <c r="AL61" s="66"/>
      <c r="AM61" s="66"/>
      <c r="AN61" s="66"/>
      <c r="AO61" s="30"/>
      <c r="AP61" s="35"/>
      <c r="AQ61" s="30"/>
      <c r="AR61" s="67"/>
      <c r="AS61" s="67"/>
      <c r="AT61" s="68"/>
      <c r="AU61" s="67"/>
      <c r="AV61" s="30"/>
      <c r="AW61" s="67"/>
      <c r="AX61" s="126"/>
      <c r="AY61" s="35"/>
    </row>
    <row r="62" spans="1:51" s="53" customFormat="1" x14ac:dyDescent="0.25">
      <c r="A62" s="16">
        <v>12</v>
      </c>
      <c r="B62" s="16"/>
      <c r="C62" s="424" t="s">
        <v>73</v>
      </c>
      <c r="D62" s="675">
        <v>1971</v>
      </c>
      <c r="E62" s="675">
        <v>2</v>
      </c>
      <c r="F62" s="675">
        <v>16</v>
      </c>
      <c r="G62" s="675">
        <v>47</v>
      </c>
      <c r="H62" s="676">
        <v>727.4</v>
      </c>
      <c r="I62" s="951"/>
      <c r="J62" s="951"/>
      <c r="K62" s="541">
        <v>16000.6</v>
      </c>
      <c r="L62" s="521">
        <v>12213.64</v>
      </c>
      <c r="M62" s="974"/>
      <c r="N62" s="974"/>
      <c r="O62" s="521">
        <f t="shared" si="18"/>
        <v>0</v>
      </c>
      <c r="P62" s="524"/>
      <c r="Q62" s="521"/>
      <c r="R62" s="522"/>
      <c r="S62" s="522"/>
      <c r="T62" s="522"/>
      <c r="U62" s="522"/>
      <c r="V62" s="522">
        <f t="shared" si="19"/>
        <v>16000.6</v>
      </c>
      <c r="W62" s="522">
        <f t="shared" si="20"/>
        <v>76.332387535467419</v>
      </c>
      <c r="X62" s="522">
        <f t="shared" si="21"/>
        <v>0</v>
      </c>
      <c r="Y62" s="522">
        <v>5.5</v>
      </c>
      <c r="Z62" s="525">
        <f t="shared" si="22"/>
        <v>3786.9600000000009</v>
      </c>
      <c r="AA62" s="816"/>
      <c r="AB62" s="816"/>
      <c r="AC62" s="816"/>
      <c r="AD62" s="816"/>
      <c r="AE62" s="816"/>
      <c r="AF62" s="534"/>
      <c r="AG62" s="534"/>
      <c r="AH62" s="66"/>
      <c r="AI62" s="66"/>
      <c r="AJ62" s="66"/>
      <c r="AK62" s="35"/>
      <c r="AL62" s="66"/>
      <c r="AM62" s="66"/>
      <c r="AN62" s="66"/>
      <c r="AO62" s="30"/>
      <c r="AP62" s="35"/>
      <c r="AQ62" s="30"/>
      <c r="AR62" s="67"/>
      <c r="AS62" s="67"/>
      <c r="AT62" s="68"/>
      <c r="AU62" s="67"/>
      <c r="AV62" s="30"/>
      <c r="AW62" s="67"/>
      <c r="AX62" s="126"/>
      <c r="AY62" s="35"/>
    </row>
    <row r="63" spans="1:51" s="124" customFormat="1" x14ac:dyDescent="0.25">
      <c r="A63" s="257">
        <v>13</v>
      </c>
      <c r="B63" s="257"/>
      <c r="C63" s="424" t="s">
        <v>74</v>
      </c>
      <c r="D63" s="675">
        <v>1960</v>
      </c>
      <c r="E63" s="675">
        <v>2</v>
      </c>
      <c r="F63" s="675">
        <v>16</v>
      </c>
      <c r="G63" s="675">
        <v>44</v>
      </c>
      <c r="H63" s="676">
        <v>724.7</v>
      </c>
      <c r="I63" s="971"/>
      <c r="J63" s="971"/>
      <c r="K63" s="542">
        <v>15943.4</v>
      </c>
      <c r="L63" s="527">
        <v>14391.31</v>
      </c>
      <c r="M63" s="975"/>
      <c r="N63" s="975"/>
      <c r="O63" s="521">
        <f t="shared" si="18"/>
        <v>0</v>
      </c>
      <c r="P63" s="528"/>
      <c r="Q63" s="527"/>
      <c r="R63" s="522"/>
      <c r="S63" s="522"/>
      <c r="T63" s="522"/>
      <c r="U63" s="522"/>
      <c r="V63" s="522">
        <f t="shared" si="19"/>
        <v>15943.4</v>
      </c>
      <c r="W63" s="522">
        <f t="shared" si="20"/>
        <v>90.26499993727812</v>
      </c>
      <c r="X63" s="522">
        <f t="shared" si="21"/>
        <v>0</v>
      </c>
      <c r="Y63" s="529">
        <v>5.5</v>
      </c>
      <c r="Z63" s="525">
        <f t="shared" si="22"/>
        <v>1552.0900000000001</v>
      </c>
      <c r="AA63" s="816"/>
      <c r="AB63" s="816"/>
      <c r="AC63" s="816"/>
      <c r="AD63" s="816"/>
      <c r="AE63" s="816"/>
      <c r="AF63" s="534"/>
      <c r="AG63" s="534"/>
      <c r="AH63" s="66"/>
      <c r="AI63" s="66"/>
      <c r="AJ63" s="66"/>
      <c r="AK63" s="35"/>
      <c r="AL63" s="66"/>
      <c r="AM63" s="66"/>
      <c r="AN63" s="66"/>
      <c r="AO63" s="30"/>
      <c r="AP63" s="35"/>
      <c r="AQ63" s="30"/>
      <c r="AR63" s="67"/>
      <c r="AS63" s="67"/>
      <c r="AT63" s="68"/>
      <c r="AU63" s="67"/>
      <c r="AV63" s="30"/>
      <c r="AW63" s="67"/>
      <c r="AX63" s="126"/>
      <c r="AY63" s="35"/>
    </row>
    <row r="64" spans="1:51" s="34" customFormat="1" x14ac:dyDescent="0.25">
      <c r="A64" s="257">
        <v>14</v>
      </c>
      <c r="B64" s="257"/>
      <c r="C64" s="526" t="s">
        <v>88</v>
      </c>
      <c r="D64" s="813">
        <v>1969</v>
      </c>
      <c r="E64" s="813">
        <v>2</v>
      </c>
      <c r="F64" s="813">
        <v>16</v>
      </c>
      <c r="G64" s="813">
        <v>34</v>
      </c>
      <c r="H64" s="689">
        <v>649.16</v>
      </c>
      <c r="I64" s="971"/>
      <c r="J64" s="971"/>
      <c r="K64" s="542">
        <v>14267.77</v>
      </c>
      <c r="L64" s="527">
        <v>14447.76</v>
      </c>
      <c r="M64" s="975"/>
      <c r="N64" s="975"/>
      <c r="O64" s="521">
        <f t="shared" si="18"/>
        <v>0</v>
      </c>
      <c r="P64" s="528"/>
      <c r="Q64" s="527"/>
      <c r="R64" s="529"/>
      <c r="S64" s="529"/>
      <c r="T64" s="529"/>
      <c r="U64" s="529"/>
      <c r="V64" s="522">
        <f t="shared" si="19"/>
        <v>14267.77</v>
      </c>
      <c r="W64" s="522">
        <f t="shared" si="20"/>
        <v>101.26151458847458</v>
      </c>
      <c r="X64" s="522">
        <f t="shared" si="21"/>
        <v>0</v>
      </c>
      <c r="Y64" s="529">
        <v>5.5</v>
      </c>
      <c r="Z64" s="525">
        <f t="shared" si="22"/>
        <v>-179.98999999999978</v>
      </c>
      <c r="AA64" s="816"/>
      <c r="AB64" s="816"/>
      <c r="AC64" s="816"/>
      <c r="AD64" s="816"/>
      <c r="AE64" s="816"/>
      <c r="AF64" s="534"/>
      <c r="AG64" s="534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127"/>
      <c r="AY64" s="83"/>
    </row>
    <row r="65" spans="1:51" x14ac:dyDescent="0.25">
      <c r="A65" s="386"/>
      <c r="B65" s="386"/>
      <c r="C65" s="531" t="s">
        <v>89</v>
      </c>
      <c r="D65" s="815"/>
      <c r="E65" s="387"/>
      <c r="F65" s="387">
        <f t="shared" ref="F65:P65" si="23">SUM(F51:F64)</f>
        <v>307</v>
      </c>
      <c r="G65" s="387">
        <f t="shared" si="23"/>
        <v>950</v>
      </c>
      <c r="H65" s="387">
        <f t="shared" si="23"/>
        <v>16358.77</v>
      </c>
      <c r="I65" s="955"/>
      <c r="J65" s="955"/>
      <c r="K65" s="537">
        <f t="shared" si="23"/>
        <v>359775.12</v>
      </c>
      <c r="L65" s="537">
        <f t="shared" si="23"/>
        <v>327651.79000000004</v>
      </c>
      <c r="M65" s="976"/>
      <c r="N65" s="976"/>
      <c r="O65" s="538">
        <f t="shared" si="23"/>
        <v>91171.5</v>
      </c>
      <c r="P65" s="535">
        <f t="shared" si="23"/>
        <v>0</v>
      </c>
      <c r="Q65" s="537">
        <f>SUM(Q52:Q64)</f>
        <v>0</v>
      </c>
      <c r="R65" s="539">
        <f>SUM(R52:R64)</f>
        <v>0</v>
      </c>
      <c r="S65" s="539">
        <f>SUM(S52:S64)</f>
        <v>0</v>
      </c>
      <c r="T65" s="539"/>
      <c r="U65" s="539">
        <f>SUM(U51:U64)</f>
        <v>91171.5</v>
      </c>
      <c r="V65" s="540">
        <f>SUM(V51:V64)</f>
        <v>268603.62</v>
      </c>
      <c r="W65" s="539">
        <f t="shared" si="20"/>
        <v>91.071275301082537</v>
      </c>
      <c r="X65" s="539">
        <f t="shared" si="21"/>
        <v>1.3933122722551878</v>
      </c>
      <c r="Y65" s="535"/>
      <c r="Z65" s="654">
        <f>SUM(Z51:Z64)</f>
        <v>32123.330000000009</v>
      </c>
      <c r="AA65" s="816" t="s">
        <v>180</v>
      </c>
      <c r="AB65" s="816"/>
      <c r="AC65" s="816"/>
      <c r="AD65" s="816"/>
      <c r="AE65" s="816"/>
      <c r="AF65" s="534"/>
      <c r="AG65" s="534"/>
      <c r="AH65" s="9"/>
      <c r="AI65" s="9"/>
      <c r="AJ65" s="9"/>
      <c r="AK65" s="9"/>
      <c r="AL65" s="9"/>
      <c r="AM65" s="9"/>
      <c r="AN65" s="9"/>
      <c r="AO65" s="9"/>
      <c r="AP65" s="86"/>
      <c r="AQ65" s="9"/>
      <c r="AR65" s="9"/>
      <c r="AS65" s="9"/>
      <c r="AT65" s="9"/>
      <c r="AU65" s="9"/>
      <c r="AV65" s="9"/>
      <c r="AW65" s="9"/>
      <c r="AX65" s="128"/>
      <c r="AY65" s="9"/>
    </row>
    <row r="66" spans="1:51" x14ac:dyDescent="0.25">
      <c r="C66" s="816"/>
      <c r="D66" s="816"/>
      <c r="E66" s="816"/>
      <c r="F66" s="816"/>
      <c r="G66" s="816"/>
      <c r="H66" s="816"/>
      <c r="I66" s="816"/>
      <c r="J66" s="816"/>
      <c r="K66" s="816" t="s">
        <v>180</v>
      </c>
      <c r="L66" s="816"/>
      <c r="M66" s="816"/>
      <c r="N66" s="816"/>
      <c r="O66" s="816"/>
      <c r="P66" s="816"/>
      <c r="Q66" s="819"/>
      <c r="R66" s="816"/>
      <c r="S66" s="816"/>
      <c r="T66" s="816"/>
      <c r="U66" s="816"/>
      <c r="V66" s="816"/>
      <c r="W66" s="816"/>
      <c r="X66" s="816"/>
      <c r="Y66" s="816"/>
      <c r="Z66" s="816"/>
      <c r="AA66" s="816"/>
      <c r="AB66" s="816"/>
      <c r="AC66" s="816"/>
      <c r="AD66" s="816"/>
      <c r="AE66" s="816"/>
      <c r="AF66" s="534"/>
      <c r="AG66" s="534"/>
      <c r="AH66" s="9"/>
      <c r="AI66" s="9"/>
      <c r="AJ66" s="9"/>
      <c r="AK66" s="9"/>
      <c r="AL66" s="9"/>
      <c r="AM66" s="9"/>
      <c r="AN66" s="9"/>
      <c r="AO66" s="9"/>
      <c r="AP66" s="86"/>
      <c r="AQ66" s="9"/>
      <c r="AR66" s="9"/>
      <c r="AS66" s="9"/>
      <c r="AT66" s="9"/>
      <c r="AU66" s="9"/>
      <c r="AV66" s="9"/>
      <c r="AW66" s="9"/>
      <c r="AX66" s="128"/>
      <c r="AY66" s="9"/>
    </row>
    <row r="67" spans="1:51" x14ac:dyDescent="0.25">
      <c r="C67" s="828" t="s">
        <v>432</v>
      </c>
      <c r="D67" s="816"/>
      <c r="E67" s="816"/>
      <c r="F67" s="816"/>
      <c r="G67" s="816"/>
      <c r="H67" s="816"/>
      <c r="I67" s="816"/>
      <c r="J67" s="816"/>
      <c r="K67" s="816"/>
      <c r="L67" s="816"/>
      <c r="M67" s="816"/>
      <c r="N67" s="816"/>
      <c r="O67" s="816"/>
      <c r="P67" s="816"/>
      <c r="Q67" s="816"/>
      <c r="R67" s="816"/>
      <c r="S67" s="816"/>
      <c r="T67" s="816"/>
      <c r="U67" s="816"/>
      <c r="V67" s="816"/>
      <c r="W67" s="816"/>
      <c r="X67" s="816"/>
      <c r="Y67" s="816"/>
      <c r="Z67" s="816"/>
      <c r="AA67" s="816"/>
      <c r="AB67" s="816"/>
      <c r="AC67" s="816"/>
      <c r="AD67" s="816"/>
      <c r="AE67" s="816"/>
      <c r="AF67" s="534"/>
      <c r="AG67" s="534"/>
      <c r="AH67" s="9"/>
      <c r="AI67" s="9"/>
      <c r="AJ67" s="9"/>
      <c r="AK67" s="9"/>
      <c r="AL67" s="9"/>
      <c r="AM67" s="9"/>
      <c r="AN67" s="9"/>
      <c r="AO67" s="9"/>
      <c r="AP67" s="86"/>
      <c r="AQ67" s="9"/>
      <c r="AR67" s="9"/>
      <c r="AS67" s="9"/>
      <c r="AT67" s="9"/>
      <c r="AU67" s="9"/>
      <c r="AV67" s="9"/>
      <c r="AW67" s="9"/>
      <c r="AX67" s="128"/>
      <c r="AY67" s="9"/>
    </row>
    <row r="68" spans="1:51" x14ac:dyDescent="0.25">
      <c r="C68" s="816"/>
      <c r="D68" s="816"/>
      <c r="E68" s="816"/>
      <c r="F68" s="816"/>
      <c r="G68" s="816"/>
      <c r="H68" s="816"/>
      <c r="I68" s="816"/>
      <c r="J68" s="816"/>
      <c r="K68" s="816"/>
      <c r="L68" s="816"/>
      <c r="M68" s="816"/>
      <c r="N68" s="816"/>
      <c r="O68" s="816"/>
      <c r="P68" s="816"/>
      <c r="Q68" s="816"/>
      <c r="R68" s="829"/>
      <c r="S68" s="816"/>
      <c r="T68" s="816"/>
      <c r="U68" s="816"/>
      <c r="V68" s="816"/>
      <c r="W68" s="816"/>
      <c r="X68" s="816"/>
      <c r="Y68" s="816"/>
      <c r="Z68" s="816"/>
      <c r="AA68" s="816"/>
      <c r="AB68" s="816"/>
      <c r="AC68" s="816"/>
      <c r="AD68" s="816"/>
      <c r="AE68" s="816"/>
      <c r="AF68" s="534"/>
      <c r="AG68" s="534"/>
      <c r="AH68" s="9"/>
      <c r="AI68" s="9"/>
      <c r="AJ68" s="9"/>
      <c r="AK68" s="9"/>
      <c r="AL68" s="9"/>
      <c r="AM68" s="9"/>
      <c r="AN68" s="9"/>
      <c r="AO68" s="9"/>
      <c r="AP68" s="86"/>
      <c r="AQ68" s="9"/>
      <c r="AR68" s="9"/>
      <c r="AS68" s="9"/>
      <c r="AT68" s="9"/>
      <c r="AU68" s="9"/>
      <c r="AV68" s="9"/>
      <c r="AW68" s="9"/>
      <c r="AX68" s="128"/>
      <c r="AY68" s="9"/>
    </row>
    <row r="69" spans="1:51" x14ac:dyDescent="0.25">
      <c r="C69" s="816"/>
      <c r="D69" s="816"/>
      <c r="E69" s="816"/>
      <c r="F69" s="816"/>
      <c r="G69" s="816"/>
      <c r="H69" s="816"/>
      <c r="I69" s="816"/>
      <c r="J69" s="816"/>
      <c r="K69" s="816"/>
      <c r="L69" s="816"/>
      <c r="M69" s="816"/>
      <c r="N69" s="816"/>
      <c r="O69" s="816"/>
      <c r="P69" s="816"/>
      <c r="Q69" s="816"/>
      <c r="R69" s="830"/>
      <c r="S69" s="830"/>
      <c r="T69" s="830"/>
      <c r="U69" s="830"/>
      <c r="V69" s="830"/>
      <c r="W69" s="830"/>
      <c r="X69" s="830"/>
      <c r="Y69" s="830"/>
      <c r="Z69" s="816"/>
      <c r="AA69" s="816"/>
      <c r="AB69" s="816"/>
      <c r="AC69" s="816"/>
      <c r="AD69" s="816"/>
      <c r="AE69" s="816"/>
      <c r="AF69" s="534"/>
      <c r="AG69" s="534"/>
      <c r="AH69" s="9"/>
      <c r="AI69" s="9"/>
      <c r="AJ69" s="9"/>
      <c r="AK69" s="9"/>
      <c r="AL69" s="9"/>
      <c r="AM69" s="9"/>
      <c r="AN69" s="9"/>
      <c r="AO69" s="9"/>
      <c r="AP69" s="86"/>
      <c r="AQ69" s="9"/>
      <c r="AR69" s="9"/>
      <c r="AS69" s="9"/>
      <c r="AT69" s="9"/>
      <c r="AU69" s="9"/>
      <c r="AV69" s="9"/>
      <c r="AW69" s="9"/>
      <c r="AX69" s="128"/>
      <c r="AY69" s="9"/>
    </row>
    <row r="70" spans="1:51" x14ac:dyDescent="0.25">
      <c r="C70" s="816"/>
      <c r="D70" s="816"/>
      <c r="E70" s="816"/>
      <c r="F70" s="816"/>
      <c r="G70" s="816"/>
      <c r="H70" s="816"/>
      <c r="I70" s="816"/>
      <c r="J70" s="816"/>
      <c r="K70" s="816"/>
      <c r="L70" s="816"/>
      <c r="M70" s="816"/>
      <c r="N70" s="816"/>
      <c r="O70" s="816"/>
      <c r="P70" s="816"/>
      <c r="Q70" s="816"/>
      <c r="R70" s="816"/>
      <c r="S70" s="816"/>
      <c r="T70" s="816"/>
      <c r="U70" s="816"/>
      <c r="V70" s="816"/>
      <c r="W70" s="816"/>
      <c r="X70" s="816"/>
      <c r="Y70" s="816"/>
      <c r="Z70" s="816"/>
      <c r="AA70" s="816"/>
      <c r="AB70" s="816"/>
      <c r="AC70" s="816"/>
      <c r="AD70" s="816"/>
      <c r="AE70" s="816"/>
      <c r="AF70" s="534"/>
      <c r="AG70" s="534"/>
    </row>
    <row r="71" spans="1:51" x14ac:dyDescent="0.25">
      <c r="C71" s="816"/>
      <c r="D71" s="816"/>
      <c r="E71" s="816"/>
      <c r="F71" s="816"/>
      <c r="G71" s="816"/>
      <c r="H71" s="816"/>
      <c r="I71" s="816"/>
      <c r="J71" s="816"/>
      <c r="K71" s="816"/>
      <c r="L71" s="816"/>
      <c r="M71" s="816"/>
      <c r="N71" s="816"/>
      <c r="O71" s="816"/>
      <c r="P71" s="816"/>
      <c r="Q71" s="816"/>
      <c r="R71" s="816"/>
      <c r="S71" s="816"/>
      <c r="T71" s="816"/>
      <c r="U71" s="816"/>
      <c r="V71" s="816"/>
      <c r="W71" s="816"/>
      <c r="X71" s="816"/>
      <c r="Y71" s="816"/>
      <c r="Z71" s="816"/>
      <c r="AA71" s="816"/>
      <c r="AB71" s="816"/>
      <c r="AC71" s="816"/>
      <c r="AD71" s="816"/>
      <c r="AE71" s="816"/>
      <c r="AF71" s="532"/>
      <c r="AG71" s="532"/>
    </row>
    <row r="72" spans="1:51" x14ac:dyDescent="0.25">
      <c r="C72" s="816"/>
      <c r="D72" s="816"/>
      <c r="E72" s="816"/>
      <c r="F72" s="816"/>
      <c r="G72" s="816"/>
      <c r="H72" s="816"/>
      <c r="I72" s="816"/>
      <c r="J72" s="816"/>
      <c r="K72" s="816"/>
      <c r="L72" s="816"/>
      <c r="M72" s="816"/>
      <c r="N72" s="816"/>
      <c r="O72" s="816"/>
      <c r="P72" s="816"/>
      <c r="Q72" s="816"/>
      <c r="R72" s="816"/>
      <c r="S72" s="816"/>
      <c r="T72" s="816"/>
      <c r="U72" s="816"/>
      <c r="V72" s="816"/>
      <c r="W72" s="816"/>
      <c r="X72" s="816"/>
      <c r="Y72" s="816"/>
      <c r="Z72" s="816"/>
      <c r="AA72" s="816"/>
      <c r="AB72" s="816"/>
      <c r="AC72" s="816"/>
      <c r="AD72" s="816"/>
      <c r="AE72" s="816"/>
      <c r="AF72" s="532"/>
      <c r="AG72" s="532"/>
    </row>
    <row r="73" spans="1:51" ht="15.75" x14ac:dyDescent="0.25">
      <c r="C73" s="2200" t="s">
        <v>576</v>
      </c>
      <c r="D73" s="2201"/>
      <c r="E73" s="2201"/>
      <c r="F73" s="2201"/>
      <c r="G73" s="2201"/>
      <c r="H73" s="2201"/>
      <c r="I73" s="2201"/>
      <c r="J73" s="2201"/>
      <c r="K73" s="2201"/>
      <c r="L73" s="2201"/>
      <c r="M73" s="2201"/>
      <c r="N73" s="2201"/>
      <c r="O73" s="2201"/>
      <c r="P73" s="2201"/>
      <c r="Q73" s="2201"/>
      <c r="R73" s="831"/>
      <c r="S73" s="831"/>
      <c r="T73" s="831"/>
      <c r="U73" s="831"/>
      <c r="V73" s="831"/>
      <c r="W73" s="831"/>
      <c r="X73" s="831"/>
      <c r="Y73" s="816"/>
      <c r="Z73" s="816"/>
      <c r="AA73" s="816"/>
      <c r="AB73" s="816"/>
      <c r="AC73" s="816"/>
      <c r="AD73" s="816"/>
      <c r="AE73" s="816"/>
      <c r="AF73" s="532"/>
      <c r="AG73" s="532"/>
    </row>
    <row r="74" spans="1:51" ht="21.75" customHeight="1" x14ac:dyDescent="0.25">
      <c r="C74" s="832" t="s">
        <v>53</v>
      </c>
      <c r="D74" s="832"/>
      <c r="E74" s="832"/>
      <c r="F74" s="832"/>
      <c r="G74" s="832"/>
      <c r="H74" s="832"/>
      <c r="I74" s="832"/>
      <c r="J74" s="832"/>
      <c r="K74" s="832"/>
      <c r="L74" s="832"/>
      <c r="M74" s="832"/>
      <c r="N74" s="832"/>
      <c r="O74" s="832"/>
      <c r="P74" s="832"/>
      <c r="Q74" s="832"/>
      <c r="R74" s="831"/>
      <c r="S74" s="831"/>
      <c r="T74" s="831"/>
      <c r="U74" s="831"/>
      <c r="V74" s="831"/>
      <c r="W74" s="831"/>
      <c r="X74" s="831"/>
      <c r="Y74" s="816"/>
      <c r="Z74" s="816"/>
      <c r="AA74" s="816"/>
      <c r="AB74" s="816"/>
      <c r="AC74" s="816"/>
      <c r="AD74" s="816"/>
      <c r="AE74" s="816"/>
      <c r="AF74" s="532"/>
      <c r="AG74" s="532"/>
      <c r="AH74" s="2193"/>
      <c r="AI74" s="2193"/>
      <c r="AJ74" s="2193"/>
      <c r="AK74" s="2193"/>
      <c r="AL74" s="2209"/>
      <c r="AM74" s="253"/>
      <c r="AN74" s="253"/>
      <c r="AO74" s="2209"/>
      <c r="AP74" s="78"/>
      <c r="AQ74" s="253"/>
      <c r="AR74" s="2210"/>
      <c r="AS74" s="2210"/>
      <c r="AT74" s="2192"/>
      <c r="AU74" s="2192"/>
      <c r="AV74" s="2192"/>
      <c r="AW74" s="2192"/>
      <c r="AX74" s="2207"/>
      <c r="AY74" s="2208"/>
    </row>
    <row r="75" spans="1:51" ht="29.25" customHeight="1" x14ac:dyDescent="0.25">
      <c r="C75" s="832"/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  <c r="O75" s="832"/>
      <c r="P75" s="832"/>
      <c r="Q75" s="832"/>
      <c r="R75" s="831"/>
      <c r="S75" s="831"/>
      <c r="T75" s="831"/>
      <c r="U75" s="831"/>
      <c r="V75" s="831"/>
      <c r="W75" s="831"/>
      <c r="X75" s="831"/>
      <c r="Y75" s="816"/>
      <c r="Z75" s="816"/>
      <c r="AA75" s="816"/>
      <c r="AB75" s="816"/>
      <c r="AC75" s="816"/>
      <c r="AD75" s="816"/>
      <c r="AE75" s="816"/>
      <c r="AF75" s="532"/>
      <c r="AG75" s="532"/>
      <c r="AH75" s="255"/>
      <c r="AI75" s="255"/>
      <c r="AJ75" s="255"/>
      <c r="AK75" s="255"/>
      <c r="AL75" s="2209"/>
      <c r="AM75" s="253"/>
      <c r="AN75" s="253"/>
      <c r="AO75" s="2209"/>
      <c r="AP75" s="78"/>
      <c r="AQ75" s="253"/>
      <c r="AR75" s="2210"/>
      <c r="AS75" s="2210"/>
      <c r="AT75" s="254"/>
      <c r="AU75" s="254"/>
      <c r="AV75" s="254"/>
      <c r="AW75" s="254"/>
      <c r="AX75" s="2207"/>
      <c r="AY75" s="2208"/>
    </row>
    <row r="76" spans="1:51" s="124" customFormat="1" x14ac:dyDescent="0.25">
      <c r="A76"/>
      <c r="B76"/>
      <c r="C76" s="832"/>
      <c r="D76" s="832"/>
      <c r="E76" s="832"/>
      <c r="F76" s="832"/>
      <c r="G76" s="832"/>
      <c r="H76" s="832"/>
      <c r="I76" s="832"/>
      <c r="J76" s="832"/>
      <c r="K76" s="832"/>
      <c r="L76" s="832"/>
      <c r="M76" s="832"/>
      <c r="N76" s="832"/>
      <c r="O76" s="832"/>
      <c r="P76" s="832"/>
      <c r="Q76" s="832"/>
      <c r="R76" s="831"/>
      <c r="S76" s="831"/>
      <c r="T76" s="831"/>
      <c r="U76" s="831"/>
      <c r="V76" s="831"/>
      <c r="W76" s="831"/>
      <c r="X76" s="831"/>
      <c r="Y76" s="816"/>
      <c r="Z76" s="816"/>
      <c r="AA76" s="816"/>
      <c r="AB76" s="816"/>
      <c r="AC76" s="816"/>
      <c r="AD76" s="816"/>
      <c r="AE76" s="816"/>
      <c r="AF76" s="534"/>
      <c r="AG76" s="534"/>
      <c r="AH76" s="250"/>
      <c r="AI76" s="66"/>
      <c r="AJ76" s="66"/>
      <c r="AK76" s="66"/>
      <c r="AL76" s="66"/>
      <c r="AM76" s="66"/>
      <c r="AN76" s="66"/>
      <c r="AO76" s="30"/>
      <c r="AP76" s="35"/>
      <c r="AQ76" s="30"/>
      <c r="AR76" s="67"/>
      <c r="AS76" s="67"/>
      <c r="AT76" s="68"/>
      <c r="AU76" s="67"/>
      <c r="AV76" s="68"/>
      <c r="AW76" s="67"/>
      <c r="AX76" s="126"/>
      <c r="AY76" s="35"/>
    </row>
    <row r="77" spans="1:51" s="124" customFormat="1" ht="37.5" customHeight="1" x14ac:dyDescent="0.25">
      <c r="A77" s="2017" t="s">
        <v>0</v>
      </c>
      <c r="B77" s="2020"/>
      <c r="C77" s="2197" t="s">
        <v>184</v>
      </c>
      <c r="D77" s="2197" t="s">
        <v>54</v>
      </c>
      <c r="E77" s="2197" t="s">
        <v>55</v>
      </c>
      <c r="F77" s="2197" t="s">
        <v>56</v>
      </c>
      <c r="G77" s="2197" t="s">
        <v>57</v>
      </c>
      <c r="H77" s="2197" t="s">
        <v>6</v>
      </c>
      <c r="I77" s="969"/>
      <c r="J77" s="969"/>
      <c r="K77" s="2198" t="s">
        <v>290</v>
      </c>
      <c r="L77" s="2199"/>
      <c r="M77" s="972"/>
      <c r="N77" s="972"/>
      <c r="O77" s="2186" t="s">
        <v>457</v>
      </c>
      <c r="P77" s="2197" t="s">
        <v>332</v>
      </c>
      <c r="Q77" s="2186" t="s">
        <v>333</v>
      </c>
      <c r="R77" s="2202" t="s">
        <v>313</v>
      </c>
      <c r="S77" s="2204" t="s">
        <v>554</v>
      </c>
      <c r="T77" s="2211"/>
      <c r="U77" s="2186" t="s">
        <v>175</v>
      </c>
      <c r="V77" s="2186" t="s">
        <v>183</v>
      </c>
      <c r="W77" s="2188" t="s">
        <v>182</v>
      </c>
      <c r="X77" s="2190" t="s">
        <v>544</v>
      </c>
      <c r="Y77" s="2188" t="s">
        <v>545</v>
      </c>
      <c r="Z77" s="2184" t="s">
        <v>566</v>
      </c>
      <c r="AA77" s="816"/>
      <c r="AB77" s="816"/>
      <c r="AC77" s="816"/>
      <c r="AD77" s="816"/>
      <c r="AE77" s="816"/>
      <c r="AF77" s="534"/>
      <c r="AG77" s="534"/>
      <c r="AH77" s="250"/>
      <c r="AI77" s="66"/>
      <c r="AJ77" s="66"/>
      <c r="AK77" s="35"/>
      <c r="AL77" s="66"/>
      <c r="AM77" s="66"/>
      <c r="AN77" s="66"/>
      <c r="AO77" s="30"/>
      <c r="AP77" s="35"/>
      <c r="AQ77" s="30"/>
      <c r="AR77" s="67"/>
      <c r="AS77" s="67"/>
      <c r="AT77" s="68"/>
      <c r="AU77" s="67"/>
      <c r="AV77" s="68"/>
      <c r="AW77" s="67"/>
      <c r="AX77" s="126"/>
      <c r="AY77" s="35"/>
    </row>
    <row r="78" spans="1:51" s="124" customFormat="1" ht="27.75" customHeight="1" x14ac:dyDescent="0.25">
      <c r="A78" s="2017"/>
      <c r="B78" s="2021"/>
      <c r="C78" s="2197"/>
      <c r="D78" s="2197"/>
      <c r="E78" s="2197"/>
      <c r="F78" s="2197"/>
      <c r="G78" s="2197"/>
      <c r="H78" s="2197"/>
      <c r="I78" s="970"/>
      <c r="J78" s="970"/>
      <c r="K78" s="833" t="s">
        <v>15</v>
      </c>
      <c r="L78" s="834" t="s">
        <v>16</v>
      </c>
      <c r="M78" s="978"/>
      <c r="N78" s="978"/>
      <c r="O78" s="2187"/>
      <c r="P78" s="2197"/>
      <c r="Q78" s="2187"/>
      <c r="R78" s="2203"/>
      <c r="S78" s="2189"/>
      <c r="T78" s="2212"/>
      <c r="U78" s="2187"/>
      <c r="V78" s="2187"/>
      <c r="W78" s="2189"/>
      <c r="X78" s="2191"/>
      <c r="Y78" s="2189"/>
      <c r="Z78" s="2185"/>
      <c r="AA78" s="816"/>
      <c r="AB78" s="816"/>
      <c r="AC78" s="816"/>
      <c r="AD78" s="816"/>
      <c r="AE78" s="816"/>
      <c r="AF78" s="534"/>
      <c r="AG78" s="534"/>
      <c r="AH78" s="250"/>
      <c r="AI78" s="66"/>
      <c r="AJ78" s="66"/>
      <c r="AK78" s="35"/>
      <c r="AL78" s="66"/>
      <c r="AM78" s="66"/>
      <c r="AN78" s="66"/>
      <c r="AO78" s="30"/>
      <c r="AP78" s="35"/>
      <c r="AQ78" s="30"/>
      <c r="AR78" s="67"/>
      <c r="AS78" s="67"/>
      <c r="AT78" s="68"/>
      <c r="AU78" s="67"/>
      <c r="AV78" s="68"/>
      <c r="AW78" s="67"/>
      <c r="AX78" s="126"/>
      <c r="AY78" s="35"/>
    </row>
    <row r="79" spans="1:51" s="124" customFormat="1" x14ac:dyDescent="0.25">
      <c r="A79" s="16">
        <v>1</v>
      </c>
      <c r="B79" s="574">
        <v>42491</v>
      </c>
      <c r="C79" s="424" t="s">
        <v>58</v>
      </c>
      <c r="D79" s="675">
        <v>1976</v>
      </c>
      <c r="E79" s="675">
        <v>3</v>
      </c>
      <c r="F79" s="675">
        <v>24</v>
      </c>
      <c r="G79" s="675">
        <v>97</v>
      </c>
      <c r="H79" s="676">
        <v>1461.2</v>
      </c>
      <c r="I79" s="951"/>
      <c r="J79" s="951"/>
      <c r="K79" s="521">
        <v>15013.04</v>
      </c>
      <c r="L79" s="521">
        <v>12794.37</v>
      </c>
      <c r="M79" s="974"/>
      <c r="N79" s="974"/>
      <c r="O79" s="521">
        <f>P79+Q79+R79+S79+T79</f>
        <v>12118.647165257291</v>
      </c>
      <c r="P79" s="591"/>
      <c r="Q79" s="521">
        <f>1116/15709.31*H79</f>
        <v>103.80463559507071</v>
      </c>
      <c r="R79" s="522">
        <f>107463.52/15709.31*H79</f>
        <v>9995.7092592863737</v>
      </c>
      <c r="S79" s="522">
        <f>R79*0.202</f>
        <v>2019.1332703758476</v>
      </c>
      <c r="T79" s="592"/>
      <c r="U79" s="522">
        <f>K79-O79</f>
        <v>2894.39283474271</v>
      </c>
      <c r="V79" s="522">
        <f>L79/K79*100</f>
        <v>85.221713923362614</v>
      </c>
      <c r="W79" s="522">
        <f>O79/H79/4</f>
        <v>2.073406646122586</v>
      </c>
      <c r="X79" s="522">
        <v>2.57</v>
      </c>
      <c r="Y79" s="525">
        <v>178.8</v>
      </c>
      <c r="Z79" s="835">
        <f>K79-L79</f>
        <v>2218.67</v>
      </c>
      <c r="AA79" s="816"/>
      <c r="AB79" s="816"/>
      <c r="AC79" s="816"/>
      <c r="AD79" s="816"/>
      <c r="AE79" s="816"/>
      <c r="AF79" s="534"/>
      <c r="AG79" s="534"/>
      <c r="AH79" s="250"/>
      <c r="AI79" s="66"/>
      <c r="AJ79" s="66"/>
      <c r="AK79" s="35"/>
      <c r="AL79" s="66"/>
      <c r="AM79" s="66"/>
      <c r="AN79" s="66"/>
      <c r="AO79" s="30"/>
      <c r="AP79" s="35"/>
      <c r="AQ79" s="30"/>
      <c r="AR79" s="67"/>
      <c r="AS79" s="67"/>
      <c r="AT79" s="68"/>
      <c r="AU79" s="67"/>
      <c r="AV79" s="68"/>
      <c r="AW79" s="67"/>
      <c r="AX79" s="126"/>
      <c r="AY79" s="35"/>
    </row>
    <row r="80" spans="1:51" s="124" customFormat="1" x14ac:dyDescent="0.25">
      <c r="A80" s="16">
        <v>2</v>
      </c>
      <c r="B80" s="16"/>
      <c r="C80" s="424" t="s">
        <v>59</v>
      </c>
      <c r="D80" s="675">
        <v>1977</v>
      </c>
      <c r="E80" s="675">
        <v>3</v>
      </c>
      <c r="F80" s="675">
        <v>24</v>
      </c>
      <c r="G80" s="675">
        <v>81</v>
      </c>
      <c r="H80" s="676">
        <v>1456.7</v>
      </c>
      <c r="I80" s="951"/>
      <c r="J80" s="951"/>
      <c r="K80" s="521">
        <v>6467.73</v>
      </c>
      <c r="L80" s="521">
        <v>9679.4</v>
      </c>
      <c r="M80" s="974"/>
      <c r="N80" s="974"/>
      <c r="O80" s="521">
        <f t="shared" ref="O80:O91" si="24">P80+Q80+R80+S80+T80</f>
        <v>12081.325845627085</v>
      </c>
      <c r="P80" s="591"/>
      <c r="Q80" s="521">
        <f t="shared" ref="Q80:Q91" si="25">1116/15709.31*H80</f>
        <v>103.48495255361313</v>
      </c>
      <c r="R80" s="522">
        <f t="shared" ref="R80:R91" si="26">107463.52/15709.31*H80</f>
        <v>9964.9258677815906</v>
      </c>
      <c r="S80" s="522">
        <f>R80*0.202</f>
        <v>2012.9150252918814</v>
      </c>
      <c r="T80" s="592"/>
      <c r="U80" s="522">
        <f t="shared" ref="U80:U92" si="27">K80-O80</f>
        <v>-5613.5958456270855</v>
      </c>
      <c r="V80" s="522">
        <f t="shared" ref="V80:V92" si="28">L80/K80*100</f>
        <v>149.65683477819886</v>
      </c>
      <c r="W80" s="522">
        <f t="shared" ref="W80:W92" si="29">O80/H80/4</f>
        <v>2.073406646122586</v>
      </c>
      <c r="X80" s="522">
        <v>2.2200000000000002</v>
      </c>
      <c r="Y80" s="525">
        <v>178.8</v>
      </c>
      <c r="Z80" s="835">
        <f t="shared" ref="Z80:Z91" si="30">K80-L80</f>
        <v>-3211.67</v>
      </c>
      <c r="AA80" s="816"/>
      <c r="AB80" s="816"/>
      <c r="AC80" s="816"/>
      <c r="AD80" s="816"/>
      <c r="AE80" s="816"/>
      <c r="AF80" s="534"/>
      <c r="AG80" s="534"/>
      <c r="AH80" s="250"/>
      <c r="AI80" s="66"/>
      <c r="AJ80" s="66"/>
      <c r="AK80" s="35"/>
      <c r="AL80" s="66"/>
      <c r="AM80" s="66"/>
      <c r="AN80" s="66"/>
      <c r="AO80" s="30"/>
      <c r="AP80" s="35"/>
      <c r="AQ80" s="30"/>
      <c r="AR80" s="67"/>
      <c r="AS80" s="67"/>
      <c r="AT80" s="68"/>
      <c r="AU80" s="67"/>
      <c r="AV80" s="68"/>
      <c r="AW80" s="67"/>
      <c r="AX80" s="126"/>
      <c r="AY80" s="35"/>
    </row>
    <row r="81" spans="1:51" s="124" customFormat="1" x14ac:dyDescent="0.25">
      <c r="A81" s="16">
        <v>3</v>
      </c>
      <c r="B81" s="16"/>
      <c r="C81" s="424" t="s">
        <v>60</v>
      </c>
      <c r="D81" s="675">
        <v>1972</v>
      </c>
      <c r="E81" s="675">
        <v>2</v>
      </c>
      <c r="F81" s="675">
        <v>18</v>
      </c>
      <c r="G81" s="675">
        <v>57</v>
      </c>
      <c r="H81" s="676">
        <v>776.8</v>
      </c>
      <c r="I81" s="951"/>
      <c r="J81" s="951"/>
      <c r="K81" s="521">
        <v>6898.04</v>
      </c>
      <c r="L81" s="521">
        <v>6028.59</v>
      </c>
      <c r="M81" s="974"/>
      <c r="N81" s="974"/>
      <c r="O81" s="521">
        <f t="shared" si="24"/>
        <v>6442.4891308320994</v>
      </c>
      <c r="P81" s="591"/>
      <c r="Q81" s="521">
        <f t="shared" si="25"/>
        <v>55.184397023166518</v>
      </c>
      <c r="R81" s="522">
        <f t="shared" si="26"/>
        <v>5313.8974490922901</v>
      </c>
      <c r="S81" s="522">
        <f t="shared" ref="S81:S91" si="31">R81*0.202</f>
        <v>1073.4072847166426</v>
      </c>
      <c r="T81" s="592"/>
      <c r="U81" s="522">
        <f t="shared" si="27"/>
        <v>455.5508691679006</v>
      </c>
      <c r="V81" s="522">
        <f t="shared" si="28"/>
        <v>87.395695009017061</v>
      </c>
      <c r="W81" s="522">
        <f t="shared" si="29"/>
        <v>2.073406646122586</v>
      </c>
      <c r="X81" s="522">
        <v>2.2200000000000002</v>
      </c>
      <c r="Y81" s="525">
        <v>48.8</v>
      </c>
      <c r="Z81" s="835">
        <f t="shared" si="30"/>
        <v>869.44999999999982</v>
      </c>
      <c r="AA81" s="816"/>
      <c r="AB81" s="816"/>
      <c r="AC81" s="816"/>
      <c r="AD81" s="816"/>
      <c r="AE81" s="816"/>
      <c r="AF81" s="534"/>
      <c r="AG81" s="534"/>
      <c r="AH81" s="250"/>
      <c r="AI81" s="66"/>
      <c r="AJ81" s="66"/>
      <c r="AK81" s="35"/>
      <c r="AL81" s="66"/>
      <c r="AM81" s="66"/>
      <c r="AN81" s="66"/>
      <c r="AO81" s="30"/>
      <c r="AP81" s="35"/>
      <c r="AQ81" s="30"/>
      <c r="AR81" s="67"/>
      <c r="AS81" s="67"/>
      <c r="AT81" s="68"/>
      <c r="AU81" s="67"/>
      <c r="AV81" s="68"/>
      <c r="AW81" s="67"/>
      <c r="AX81" s="126"/>
      <c r="AY81" s="35"/>
    </row>
    <row r="82" spans="1:51" s="124" customFormat="1" x14ac:dyDescent="0.25">
      <c r="A82" s="16">
        <v>4</v>
      </c>
      <c r="B82" s="16"/>
      <c r="C82" s="424" t="s">
        <v>61</v>
      </c>
      <c r="D82" s="675">
        <v>1973</v>
      </c>
      <c r="E82" s="675">
        <v>2</v>
      </c>
      <c r="F82" s="675">
        <v>18</v>
      </c>
      <c r="G82" s="675">
        <v>49</v>
      </c>
      <c r="H82" s="676">
        <v>773.51</v>
      </c>
      <c r="I82" s="951"/>
      <c r="J82" s="951"/>
      <c r="K82" s="521">
        <v>6876.88</v>
      </c>
      <c r="L82" s="521">
        <v>7203.56</v>
      </c>
      <c r="M82" s="974"/>
      <c r="N82" s="974"/>
      <c r="O82" s="521">
        <f t="shared" si="24"/>
        <v>6415.2030993691269</v>
      </c>
      <c r="P82" s="591"/>
      <c r="Q82" s="521">
        <f t="shared" si="25"/>
        <v>54.950673199523095</v>
      </c>
      <c r="R82" s="522">
        <f t="shared" si="26"/>
        <v>5291.3913695254605</v>
      </c>
      <c r="S82" s="522">
        <f t="shared" si="31"/>
        <v>1068.861056644143</v>
      </c>
      <c r="T82" s="592"/>
      <c r="U82" s="522">
        <f t="shared" si="27"/>
        <v>461.67690063087321</v>
      </c>
      <c r="V82" s="522">
        <f t="shared" si="28"/>
        <v>104.75041006968277</v>
      </c>
      <c r="W82" s="522">
        <f t="shared" si="29"/>
        <v>2.0734066461225864</v>
      </c>
      <c r="X82" s="522">
        <v>2.2200000000000002</v>
      </c>
      <c r="Y82" s="525">
        <v>89.2</v>
      </c>
      <c r="Z82" s="835">
        <f t="shared" si="30"/>
        <v>-326.68000000000029</v>
      </c>
      <c r="AA82" s="816"/>
      <c r="AB82" s="816"/>
      <c r="AC82" s="816"/>
      <c r="AD82" s="816"/>
      <c r="AE82" s="816"/>
      <c r="AF82" s="534"/>
      <c r="AG82" s="534"/>
      <c r="AH82" s="250"/>
      <c r="AI82" s="66"/>
      <c r="AJ82" s="66"/>
      <c r="AK82" s="35"/>
      <c r="AL82" s="66"/>
      <c r="AM82" s="66"/>
      <c r="AN82" s="66"/>
      <c r="AO82" s="30"/>
      <c r="AP82" s="35"/>
      <c r="AQ82" s="30"/>
      <c r="AR82" s="67"/>
      <c r="AS82" s="67"/>
      <c r="AT82" s="68"/>
      <c r="AU82" s="67"/>
      <c r="AV82" s="68"/>
      <c r="AW82" s="67"/>
      <c r="AX82" s="126"/>
      <c r="AY82" s="35"/>
    </row>
    <row r="83" spans="1:51" s="124" customFormat="1" x14ac:dyDescent="0.25">
      <c r="A83" s="16">
        <v>5</v>
      </c>
      <c r="B83" s="16"/>
      <c r="C83" s="424" t="s">
        <v>62</v>
      </c>
      <c r="D83" s="675">
        <v>1980</v>
      </c>
      <c r="E83" s="675">
        <v>3</v>
      </c>
      <c r="F83" s="675">
        <v>36</v>
      </c>
      <c r="G83" s="675">
        <v>93</v>
      </c>
      <c r="H83" s="676">
        <v>1799.9</v>
      </c>
      <c r="I83" s="951"/>
      <c r="J83" s="951"/>
      <c r="K83" s="521">
        <v>18410.52</v>
      </c>
      <c r="L83" s="521">
        <v>16526.939999999999</v>
      </c>
      <c r="M83" s="974"/>
      <c r="N83" s="974"/>
      <c r="O83" s="521">
        <f t="shared" si="24"/>
        <v>14927.698489424172</v>
      </c>
      <c r="P83" s="591"/>
      <c r="Q83" s="521">
        <f t="shared" si="25"/>
        <v>127.86611251544468</v>
      </c>
      <c r="R83" s="522">
        <f t="shared" si="26"/>
        <v>12312.672526546363</v>
      </c>
      <c r="S83" s="522">
        <f t="shared" si="31"/>
        <v>2487.1598503623654</v>
      </c>
      <c r="T83" s="592"/>
      <c r="U83" s="522">
        <f t="shared" si="27"/>
        <v>3482.8215105758281</v>
      </c>
      <c r="V83" s="522">
        <f t="shared" si="28"/>
        <v>89.769001636021144</v>
      </c>
      <c r="W83" s="522">
        <f t="shared" si="29"/>
        <v>2.0734066461225864</v>
      </c>
      <c r="X83" s="522">
        <v>2.56</v>
      </c>
      <c r="Y83" s="525">
        <v>168.1</v>
      </c>
      <c r="Z83" s="835">
        <f t="shared" si="30"/>
        <v>1883.5800000000017</v>
      </c>
      <c r="AA83" s="816"/>
      <c r="AB83" s="816"/>
      <c r="AC83" s="816"/>
      <c r="AD83" s="816"/>
      <c r="AE83" s="816"/>
      <c r="AF83" s="534"/>
      <c r="AG83" s="534"/>
      <c r="AH83" s="250"/>
      <c r="AI83" s="66"/>
      <c r="AJ83" s="66"/>
      <c r="AK83" s="35"/>
      <c r="AL83" s="66"/>
      <c r="AM83" s="66"/>
      <c r="AN83" s="66"/>
      <c r="AO83" s="30"/>
      <c r="AP83" s="35"/>
      <c r="AQ83" s="30"/>
      <c r="AR83" s="67"/>
      <c r="AS83" s="67"/>
      <c r="AT83" s="68"/>
      <c r="AU83" s="67"/>
      <c r="AV83" s="68"/>
      <c r="AW83" s="67"/>
      <c r="AX83" s="126"/>
      <c r="AY83" s="35"/>
    </row>
    <row r="84" spans="1:51" s="124" customFormat="1" x14ac:dyDescent="0.25">
      <c r="A84" s="16">
        <v>6</v>
      </c>
      <c r="B84" s="16"/>
      <c r="C84" s="424" t="s">
        <v>63</v>
      </c>
      <c r="D84" s="675">
        <v>1982</v>
      </c>
      <c r="E84" s="675">
        <v>3</v>
      </c>
      <c r="F84" s="675">
        <v>24</v>
      </c>
      <c r="G84" s="675">
        <v>84</v>
      </c>
      <c r="H84" s="676">
        <v>1454.2</v>
      </c>
      <c r="I84" s="951"/>
      <c r="J84" s="951"/>
      <c r="K84" s="521">
        <v>14076.64</v>
      </c>
      <c r="L84" s="521">
        <v>11741.15</v>
      </c>
      <c r="M84" s="974"/>
      <c r="N84" s="974"/>
      <c r="O84" s="521">
        <f t="shared" si="24"/>
        <v>12060.591779165858</v>
      </c>
      <c r="P84" s="591"/>
      <c r="Q84" s="521">
        <f t="shared" si="25"/>
        <v>103.30735086391448</v>
      </c>
      <c r="R84" s="522">
        <f t="shared" si="26"/>
        <v>9947.8239836122666</v>
      </c>
      <c r="S84" s="522">
        <f t="shared" si="31"/>
        <v>2009.4604446896781</v>
      </c>
      <c r="T84" s="592"/>
      <c r="U84" s="522">
        <f t="shared" si="27"/>
        <v>2016.0482208341418</v>
      </c>
      <c r="V84" s="522">
        <f t="shared" si="28"/>
        <v>83.408753793518912</v>
      </c>
      <c r="W84" s="522">
        <f t="shared" si="29"/>
        <v>2.073406646122586</v>
      </c>
      <c r="X84" s="522">
        <v>2.42</v>
      </c>
      <c r="Y84" s="525">
        <v>177.8</v>
      </c>
      <c r="Z84" s="835">
        <f t="shared" si="30"/>
        <v>2335.4899999999998</v>
      </c>
      <c r="AA84" s="816"/>
      <c r="AB84" s="816"/>
      <c r="AC84" s="816"/>
      <c r="AD84" s="816"/>
      <c r="AE84" s="816"/>
      <c r="AF84" s="534"/>
      <c r="AG84" s="534"/>
      <c r="AH84" s="250"/>
      <c r="AI84" s="66"/>
      <c r="AJ84" s="66"/>
      <c r="AK84" s="35"/>
      <c r="AL84" s="66"/>
      <c r="AM84" s="66"/>
      <c r="AN84" s="66"/>
      <c r="AO84" s="30"/>
      <c r="AP84" s="35"/>
      <c r="AQ84" s="30"/>
      <c r="AR84" s="67"/>
      <c r="AS84" s="67"/>
      <c r="AT84" s="68"/>
      <c r="AU84" s="67"/>
      <c r="AV84" s="68"/>
      <c r="AW84" s="67"/>
      <c r="AX84" s="126"/>
      <c r="AY84" s="35"/>
    </row>
    <row r="85" spans="1:51" s="124" customFormat="1" x14ac:dyDescent="0.25">
      <c r="A85" s="16">
        <v>7</v>
      </c>
      <c r="B85" s="16"/>
      <c r="C85" s="424" t="s">
        <v>64</v>
      </c>
      <c r="D85" s="675">
        <v>1982</v>
      </c>
      <c r="E85" s="675">
        <v>3</v>
      </c>
      <c r="F85" s="675">
        <v>24</v>
      </c>
      <c r="G85" s="675">
        <v>95</v>
      </c>
      <c r="H85" s="676">
        <v>1458.3</v>
      </c>
      <c r="I85" s="951"/>
      <c r="J85" s="951"/>
      <c r="K85" s="521">
        <v>14110.52</v>
      </c>
      <c r="L85" s="521">
        <v>13547.56</v>
      </c>
      <c r="M85" s="974"/>
      <c r="N85" s="974"/>
      <c r="O85" s="521">
        <f t="shared" si="24"/>
        <v>12094.595648162269</v>
      </c>
      <c r="P85" s="591"/>
      <c r="Q85" s="521">
        <f t="shared" si="25"/>
        <v>103.59861763502026</v>
      </c>
      <c r="R85" s="522">
        <f t="shared" si="26"/>
        <v>9975.8710736499579</v>
      </c>
      <c r="S85" s="522">
        <f t="shared" si="31"/>
        <v>2015.1259568772916</v>
      </c>
      <c r="T85" s="592"/>
      <c r="U85" s="522">
        <f t="shared" si="27"/>
        <v>2015.9243518377316</v>
      </c>
      <c r="V85" s="522">
        <f t="shared" si="28"/>
        <v>96.010352559650528</v>
      </c>
      <c r="W85" s="522">
        <f t="shared" si="29"/>
        <v>2.073406646122586</v>
      </c>
      <c r="X85" s="522">
        <v>2.42</v>
      </c>
      <c r="Y85" s="525">
        <v>177.9</v>
      </c>
      <c r="Z85" s="835">
        <f t="shared" si="30"/>
        <v>562.96000000000095</v>
      </c>
      <c r="AA85" s="816"/>
      <c r="AB85" s="816"/>
      <c r="AC85" s="816"/>
      <c r="AD85" s="816"/>
      <c r="AE85" s="816"/>
      <c r="AF85" s="534"/>
      <c r="AG85" s="534"/>
      <c r="AH85" s="250"/>
      <c r="AI85" s="66"/>
      <c r="AJ85" s="66"/>
      <c r="AK85" s="35"/>
      <c r="AL85" s="66"/>
      <c r="AM85" s="66"/>
      <c r="AN85" s="66"/>
      <c r="AO85" s="30"/>
      <c r="AP85" s="35"/>
      <c r="AQ85" s="30"/>
      <c r="AR85" s="67"/>
      <c r="AS85" s="67"/>
      <c r="AT85" s="68"/>
      <c r="AU85" s="67"/>
      <c r="AV85" s="68"/>
      <c r="AW85" s="67"/>
      <c r="AX85" s="126"/>
      <c r="AY85" s="35"/>
    </row>
    <row r="86" spans="1:51" s="124" customFormat="1" x14ac:dyDescent="0.25">
      <c r="A86" s="16">
        <v>8</v>
      </c>
      <c r="B86" s="16"/>
      <c r="C86" s="424" t="s">
        <v>65</v>
      </c>
      <c r="D86" s="675">
        <v>1983</v>
      </c>
      <c r="E86" s="675">
        <v>3</v>
      </c>
      <c r="F86" s="675">
        <v>24</v>
      </c>
      <c r="G86" s="675">
        <v>83</v>
      </c>
      <c r="H86" s="676">
        <v>1446.6</v>
      </c>
      <c r="I86" s="951"/>
      <c r="J86" s="951"/>
      <c r="K86" s="521">
        <v>13886.4</v>
      </c>
      <c r="L86" s="521">
        <v>11992.53</v>
      </c>
      <c r="M86" s="974"/>
      <c r="N86" s="974"/>
      <c r="O86" s="521">
        <f t="shared" si="24"/>
        <v>11997.560217123731</v>
      </c>
      <c r="P86" s="591"/>
      <c r="Q86" s="521">
        <f t="shared" si="25"/>
        <v>102.76744172723055</v>
      </c>
      <c r="R86" s="522">
        <f t="shared" si="26"/>
        <v>9895.8342557375217</v>
      </c>
      <c r="S86" s="522">
        <f t="shared" si="31"/>
        <v>1998.9585196589794</v>
      </c>
      <c r="T86" s="592"/>
      <c r="U86" s="522">
        <f t="shared" si="27"/>
        <v>1888.8397828762681</v>
      </c>
      <c r="V86" s="522">
        <f t="shared" si="28"/>
        <v>86.36169201520913</v>
      </c>
      <c r="W86" s="522">
        <f t="shared" si="29"/>
        <v>2.073406646122586</v>
      </c>
      <c r="X86" s="522">
        <v>2.4</v>
      </c>
      <c r="Y86" s="525">
        <v>177.7</v>
      </c>
      <c r="Z86" s="835">
        <f t="shared" si="30"/>
        <v>1893.869999999999</v>
      </c>
      <c r="AA86" s="816"/>
      <c r="AB86" s="816"/>
      <c r="AC86" s="816"/>
      <c r="AD86" s="816"/>
      <c r="AE86" s="816"/>
      <c r="AF86" s="534"/>
      <c r="AG86" s="534"/>
      <c r="AH86" s="250"/>
      <c r="AI86" s="66"/>
      <c r="AJ86" s="66"/>
      <c r="AK86" s="35"/>
      <c r="AL86" s="66"/>
      <c r="AM86" s="66"/>
      <c r="AN86" s="66"/>
      <c r="AO86" s="30"/>
      <c r="AP86" s="35"/>
      <c r="AQ86" s="30"/>
      <c r="AR86" s="67"/>
      <c r="AS86" s="67"/>
      <c r="AT86" s="68"/>
      <c r="AU86" s="67"/>
      <c r="AV86" s="30"/>
      <c r="AW86" s="67"/>
      <c r="AX86" s="126"/>
      <c r="AY86" s="35"/>
    </row>
    <row r="87" spans="1:51" s="124" customFormat="1" x14ac:dyDescent="0.25">
      <c r="A87" s="16">
        <v>9</v>
      </c>
      <c r="B87" s="16"/>
      <c r="C87" s="424" t="s">
        <v>66</v>
      </c>
      <c r="D87" s="675">
        <v>1984</v>
      </c>
      <c r="E87" s="675">
        <v>3</v>
      </c>
      <c r="F87" s="675">
        <v>24</v>
      </c>
      <c r="G87" s="675">
        <v>68</v>
      </c>
      <c r="H87" s="676">
        <v>1448</v>
      </c>
      <c r="I87" s="951"/>
      <c r="J87" s="951"/>
      <c r="K87" s="521">
        <v>13900.8</v>
      </c>
      <c r="L87" s="521">
        <v>14156.04</v>
      </c>
      <c r="M87" s="974"/>
      <c r="N87" s="974"/>
      <c r="O87" s="521">
        <f t="shared" si="24"/>
        <v>12009.171294342017</v>
      </c>
      <c r="P87" s="591"/>
      <c r="Q87" s="521">
        <f t="shared" si="25"/>
        <v>102.8668986734618</v>
      </c>
      <c r="R87" s="522">
        <f t="shared" si="26"/>
        <v>9905.4113108723432</v>
      </c>
      <c r="S87" s="522">
        <f t="shared" si="31"/>
        <v>2000.8930847962135</v>
      </c>
      <c r="T87" s="592"/>
      <c r="U87" s="522">
        <f t="shared" si="27"/>
        <v>1891.6287056579822</v>
      </c>
      <c r="V87" s="522">
        <f t="shared" si="28"/>
        <v>101.83615331491713</v>
      </c>
      <c r="W87" s="522">
        <f t="shared" si="29"/>
        <v>2.073406646122586</v>
      </c>
      <c r="X87" s="522">
        <v>2.4</v>
      </c>
      <c r="Y87" s="525">
        <v>176.3</v>
      </c>
      <c r="Z87" s="835">
        <f t="shared" si="30"/>
        <v>-255.2400000000016</v>
      </c>
      <c r="AA87" s="816"/>
      <c r="AB87" s="816"/>
      <c r="AC87" s="816"/>
      <c r="AD87" s="816"/>
      <c r="AE87" s="816"/>
      <c r="AF87" s="534"/>
      <c r="AG87" s="534"/>
      <c r="AH87" s="250"/>
      <c r="AI87" s="66"/>
      <c r="AJ87" s="66"/>
      <c r="AK87" s="35"/>
      <c r="AL87" s="66"/>
      <c r="AM87" s="66"/>
      <c r="AN87" s="66"/>
      <c r="AO87" s="30"/>
      <c r="AP87" s="35"/>
      <c r="AQ87" s="30"/>
      <c r="AR87" s="67"/>
      <c r="AS87" s="67"/>
      <c r="AT87" s="68"/>
      <c r="AU87" s="67"/>
      <c r="AV87" s="68"/>
      <c r="AW87" s="67"/>
      <c r="AX87" s="126"/>
      <c r="AY87" s="35"/>
    </row>
    <row r="88" spans="1:51" s="124" customFormat="1" x14ac:dyDescent="0.25">
      <c r="A88" s="16">
        <v>10</v>
      </c>
      <c r="B88" s="16"/>
      <c r="C88" s="424" t="s">
        <v>67</v>
      </c>
      <c r="D88" s="675">
        <v>1987</v>
      </c>
      <c r="E88" s="675">
        <v>3</v>
      </c>
      <c r="F88" s="675">
        <v>27</v>
      </c>
      <c r="G88" s="675">
        <v>82</v>
      </c>
      <c r="H88" s="676">
        <v>1459.2</v>
      </c>
      <c r="I88" s="951"/>
      <c r="J88" s="951"/>
      <c r="K88" s="521">
        <v>14018.4</v>
      </c>
      <c r="L88" s="521">
        <v>12896.08</v>
      </c>
      <c r="M88" s="974"/>
      <c r="N88" s="974"/>
      <c r="O88" s="521">
        <f t="shared" si="24"/>
        <v>12102.059912088311</v>
      </c>
      <c r="P88" s="591"/>
      <c r="Q88" s="521">
        <f t="shared" si="25"/>
        <v>103.66255424331179</v>
      </c>
      <c r="R88" s="522">
        <f t="shared" si="26"/>
        <v>9982.0277519509145</v>
      </c>
      <c r="S88" s="522">
        <f t="shared" si="31"/>
        <v>2016.3696058940848</v>
      </c>
      <c r="T88" s="592"/>
      <c r="U88" s="522">
        <f t="shared" si="27"/>
        <v>1916.3400879116889</v>
      </c>
      <c r="V88" s="522">
        <f t="shared" si="28"/>
        <v>91.993950807510132</v>
      </c>
      <c r="W88" s="522">
        <f t="shared" si="29"/>
        <v>2.073406646122586</v>
      </c>
      <c r="X88" s="522">
        <v>2.4</v>
      </c>
      <c r="Y88" s="525">
        <v>176.3</v>
      </c>
      <c r="Z88" s="835">
        <f t="shared" si="30"/>
        <v>1122.3199999999997</v>
      </c>
      <c r="AA88" s="816"/>
      <c r="AB88" s="816"/>
      <c r="AC88" s="816"/>
      <c r="AD88" s="816"/>
      <c r="AE88" s="816"/>
      <c r="AF88" s="534"/>
      <c r="AG88" s="534"/>
      <c r="AH88" s="250"/>
      <c r="AI88" s="66"/>
      <c r="AJ88" s="66"/>
      <c r="AK88" s="35"/>
      <c r="AL88" s="66"/>
      <c r="AM88" s="66"/>
      <c r="AN88" s="66"/>
      <c r="AO88" s="30"/>
      <c r="AP88" s="35"/>
      <c r="AQ88" s="30"/>
      <c r="AR88" s="67"/>
      <c r="AS88" s="67"/>
      <c r="AT88" s="68"/>
      <c r="AU88" s="67"/>
      <c r="AV88" s="68"/>
      <c r="AW88" s="67"/>
      <c r="AX88" s="126"/>
      <c r="AY88" s="35"/>
    </row>
    <row r="89" spans="1:51" s="124" customFormat="1" x14ac:dyDescent="0.25">
      <c r="A89" s="16">
        <v>11</v>
      </c>
      <c r="B89" s="16"/>
      <c r="C89" s="424" t="s">
        <v>72</v>
      </c>
      <c r="D89" s="675">
        <v>1968</v>
      </c>
      <c r="E89" s="675">
        <v>2</v>
      </c>
      <c r="F89" s="675">
        <v>16</v>
      </c>
      <c r="G89" s="675">
        <v>36</v>
      </c>
      <c r="H89" s="676">
        <v>722.8</v>
      </c>
      <c r="I89" s="951"/>
      <c r="J89" s="951"/>
      <c r="K89" s="521">
        <v>6393.6</v>
      </c>
      <c r="L89" s="521">
        <v>5314.47</v>
      </c>
      <c r="M89" s="974"/>
      <c r="N89" s="974"/>
      <c r="O89" s="521">
        <f t="shared" si="24"/>
        <v>5994.6332952696212</v>
      </c>
      <c r="P89" s="591"/>
      <c r="Q89" s="521">
        <f t="shared" si="25"/>
        <v>51.348200525675544</v>
      </c>
      <c r="R89" s="522">
        <f t="shared" si="26"/>
        <v>4944.4967510348961</v>
      </c>
      <c r="S89" s="522">
        <f t="shared" si="31"/>
        <v>998.78834370904906</v>
      </c>
      <c r="T89" s="592"/>
      <c r="U89" s="522">
        <f t="shared" si="27"/>
        <v>398.96670473037921</v>
      </c>
      <c r="V89" s="522">
        <f t="shared" si="28"/>
        <v>83.121715465465456</v>
      </c>
      <c r="W89" s="522">
        <f t="shared" si="29"/>
        <v>2.0734066461225864</v>
      </c>
      <c r="X89" s="522">
        <v>2.2200000000000002</v>
      </c>
      <c r="Y89" s="525">
        <v>59.6</v>
      </c>
      <c r="Z89" s="835">
        <f t="shared" si="30"/>
        <v>1079.1300000000001</v>
      </c>
      <c r="AA89" s="816"/>
      <c r="AB89" s="816"/>
      <c r="AC89" s="816"/>
      <c r="AD89" s="816"/>
      <c r="AE89" s="816"/>
      <c r="AF89" s="534"/>
      <c r="AG89" s="534"/>
      <c r="AH89" s="250"/>
      <c r="AI89" s="66"/>
      <c r="AJ89" s="66"/>
      <c r="AK89" s="35"/>
      <c r="AL89" s="66"/>
      <c r="AM89" s="66"/>
      <c r="AN89" s="66"/>
      <c r="AO89" s="30"/>
      <c r="AP89" s="35"/>
      <c r="AQ89" s="30"/>
      <c r="AR89" s="67"/>
      <c r="AS89" s="67"/>
      <c r="AT89" s="68"/>
      <c r="AU89" s="67"/>
      <c r="AV89" s="30"/>
      <c r="AW89" s="67"/>
      <c r="AX89" s="126"/>
      <c r="AY89" s="35"/>
    </row>
    <row r="90" spans="1:51" s="124" customFormat="1" x14ac:dyDescent="0.25">
      <c r="A90" s="16">
        <v>12</v>
      </c>
      <c r="B90" s="16"/>
      <c r="C90" s="424" t="s">
        <v>73</v>
      </c>
      <c r="D90" s="675">
        <v>1971</v>
      </c>
      <c r="E90" s="675">
        <v>2</v>
      </c>
      <c r="F90" s="675">
        <v>16</v>
      </c>
      <c r="G90" s="675">
        <v>47</v>
      </c>
      <c r="H90" s="676">
        <v>727.4</v>
      </c>
      <c r="I90" s="951"/>
      <c r="J90" s="951"/>
      <c r="K90" s="521">
        <v>6458.44</v>
      </c>
      <c r="L90" s="521">
        <v>4959.92</v>
      </c>
      <c r="M90" s="974"/>
      <c r="N90" s="974"/>
      <c r="O90" s="521">
        <f t="shared" si="24"/>
        <v>6032.783977558277</v>
      </c>
      <c r="P90" s="591"/>
      <c r="Q90" s="521">
        <f t="shared" si="25"/>
        <v>51.67498763472107</v>
      </c>
      <c r="R90" s="522">
        <f t="shared" si="26"/>
        <v>4975.9642179064522</v>
      </c>
      <c r="S90" s="522">
        <f t="shared" si="31"/>
        <v>1005.1447720171034</v>
      </c>
      <c r="T90" s="592"/>
      <c r="U90" s="522">
        <f t="shared" si="27"/>
        <v>425.6560224417226</v>
      </c>
      <c r="V90" s="522">
        <f t="shared" si="28"/>
        <v>76.797492893020618</v>
      </c>
      <c r="W90" s="522">
        <f t="shared" si="29"/>
        <v>2.0734066461225864</v>
      </c>
      <c r="X90" s="522">
        <v>2.2200000000000002</v>
      </c>
      <c r="Y90" s="525">
        <v>59.6</v>
      </c>
      <c r="Z90" s="835">
        <f t="shared" si="30"/>
        <v>1498.5199999999995</v>
      </c>
      <c r="AA90" s="816"/>
      <c r="AB90" s="816"/>
      <c r="AC90" s="816"/>
      <c r="AD90" s="816"/>
      <c r="AE90" s="816"/>
      <c r="AF90" s="534"/>
      <c r="AG90" s="534"/>
      <c r="AH90" s="250"/>
      <c r="AI90" s="66"/>
      <c r="AJ90" s="66"/>
      <c r="AK90" s="35"/>
      <c r="AL90" s="66"/>
      <c r="AM90" s="66"/>
      <c r="AN90" s="66"/>
      <c r="AO90" s="30"/>
      <c r="AP90" s="35"/>
      <c r="AQ90" s="30"/>
      <c r="AR90" s="67"/>
      <c r="AS90" s="67"/>
      <c r="AT90" s="68"/>
      <c r="AU90" s="67"/>
      <c r="AV90" s="30"/>
      <c r="AW90" s="67"/>
      <c r="AX90" s="126"/>
      <c r="AY90" s="35"/>
    </row>
    <row r="91" spans="1:51" s="124" customFormat="1" x14ac:dyDescent="0.25">
      <c r="A91" s="257">
        <v>13</v>
      </c>
      <c r="B91" s="257"/>
      <c r="C91" s="526" t="s">
        <v>74</v>
      </c>
      <c r="D91" s="813">
        <v>1960</v>
      </c>
      <c r="E91" s="813">
        <v>2</v>
      </c>
      <c r="F91" s="813">
        <v>16</v>
      </c>
      <c r="G91" s="813">
        <v>44</v>
      </c>
      <c r="H91" s="689">
        <v>724.7</v>
      </c>
      <c r="I91" s="971"/>
      <c r="J91" s="971"/>
      <c r="K91" s="527">
        <v>6435.36</v>
      </c>
      <c r="L91" s="527">
        <v>5860.47</v>
      </c>
      <c r="M91" s="975"/>
      <c r="N91" s="975"/>
      <c r="O91" s="521">
        <f t="shared" si="24"/>
        <v>6010.391185780154</v>
      </c>
      <c r="P91" s="591"/>
      <c r="Q91" s="521">
        <f t="shared" si="25"/>
        <v>51.483177809846531</v>
      </c>
      <c r="R91" s="522">
        <f t="shared" si="26"/>
        <v>4957.4941830035832</v>
      </c>
      <c r="S91" s="522">
        <f t="shared" si="31"/>
        <v>1001.4138249667238</v>
      </c>
      <c r="T91" s="592"/>
      <c r="U91" s="522">
        <f t="shared" si="27"/>
        <v>424.96881421984563</v>
      </c>
      <c r="V91" s="522">
        <f t="shared" si="28"/>
        <v>91.066700231222512</v>
      </c>
      <c r="W91" s="522">
        <f t="shared" si="29"/>
        <v>2.0734066461225864</v>
      </c>
      <c r="X91" s="529">
        <v>2.2200000000000002</v>
      </c>
      <c r="Y91" s="525">
        <v>58.6</v>
      </c>
      <c r="Z91" s="835">
        <f t="shared" si="30"/>
        <v>574.88999999999942</v>
      </c>
      <c r="AA91" s="816"/>
      <c r="AB91" s="816"/>
      <c r="AC91" s="816"/>
      <c r="AD91" s="816"/>
      <c r="AE91" s="816"/>
      <c r="AF91" s="534"/>
      <c r="AG91" s="534"/>
      <c r="AH91" s="250"/>
      <c r="AI91" s="66"/>
      <c r="AJ91" s="66"/>
      <c r="AK91" s="35"/>
      <c r="AL91" s="66"/>
      <c r="AM91" s="66"/>
      <c r="AN91" s="66"/>
      <c r="AO91" s="30"/>
      <c r="AP91" s="35"/>
      <c r="AQ91" s="30"/>
      <c r="AR91" s="67"/>
      <c r="AS91" s="67"/>
      <c r="AT91" s="68"/>
      <c r="AU91" s="67"/>
      <c r="AV91" s="68"/>
      <c r="AW91" s="67"/>
      <c r="AX91" s="126"/>
      <c r="AY91" s="35"/>
    </row>
    <row r="92" spans="1:51" x14ac:dyDescent="0.25">
      <c r="A92" s="386"/>
      <c r="B92" s="386"/>
      <c r="C92" s="531" t="s">
        <v>89</v>
      </c>
      <c r="D92" s="815"/>
      <c r="E92" s="387">
        <f t="shared" ref="E92:L92" si="32">SUM(E79:E91)</f>
        <v>34</v>
      </c>
      <c r="F92" s="387">
        <f t="shared" si="32"/>
        <v>291</v>
      </c>
      <c r="G92" s="387">
        <f t="shared" si="32"/>
        <v>916</v>
      </c>
      <c r="H92" s="836">
        <f t="shared" si="32"/>
        <v>15709.310000000001</v>
      </c>
      <c r="I92" s="977"/>
      <c r="J92" s="977"/>
      <c r="K92" s="537">
        <f t="shared" si="32"/>
        <v>142946.37</v>
      </c>
      <c r="L92" s="537">
        <f t="shared" si="32"/>
        <v>132701.08000000002</v>
      </c>
      <c r="M92" s="976"/>
      <c r="N92" s="976"/>
      <c r="O92" s="537">
        <f>SUM(O79:O91)</f>
        <v>130287.15104000003</v>
      </c>
      <c r="P92" s="568">
        <f>SUM(P79:P91)</f>
        <v>0</v>
      </c>
      <c r="Q92" s="537">
        <f>SUM(Q79:Q91)</f>
        <v>1116</v>
      </c>
      <c r="R92" s="537">
        <f t="shared" ref="R92:T92" si="33">SUM(R79:R91)</f>
        <v>107463.52</v>
      </c>
      <c r="S92" s="537">
        <f t="shared" si="33"/>
        <v>21707.63104</v>
      </c>
      <c r="T92" s="593">
        <f t="shared" si="33"/>
        <v>0</v>
      </c>
      <c r="U92" s="540">
        <f t="shared" si="27"/>
        <v>12659.218959999969</v>
      </c>
      <c r="V92" s="540">
        <f t="shared" si="28"/>
        <v>92.832773577950974</v>
      </c>
      <c r="W92" s="539">
        <f t="shared" si="29"/>
        <v>2.073406646122586</v>
      </c>
      <c r="X92" s="539"/>
      <c r="Y92" s="837">
        <f>SUM(Y79:Y91)</f>
        <v>1727.4999999999995</v>
      </c>
      <c r="Z92" s="838">
        <f>SUM(Z79:Z91)</f>
        <v>10245.289999999997</v>
      </c>
      <c r="AA92" s="816"/>
      <c r="AB92" s="816"/>
      <c r="AC92" s="816"/>
      <c r="AD92" s="816"/>
      <c r="AE92" s="816"/>
      <c r="AF92" s="534"/>
      <c r="AG92" s="534"/>
      <c r="AH92" s="250"/>
      <c r="AI92" s="9"/>
      <c r="AJ92" s="9"/>
      <c r="AK92" s="9"/>
      <c r="AL92" s="9"/>
      <c r="AM92" s="9"/>
      <c r="AN92" s="9"/>
      <c r="AO92" s="9"/>
      <c r="AP92" s="86"/>
      <c r="AQ92" s="9"/>
      <c r="AR92" s="9"/>
      <c r="AS92" s="9"/>
      <c r="AT92" s="9"/>
      <c r="AU92" s="9"/>
      <c r="AV92" s="9"/>
      <c r="AW92" s="9"/>
      <c r="AX92" s="128"/>
      <c r="AY92" s="9"/>
    </row>
    <row r="93" spans="1:51" x14ac:dyDescent="0.25">
      <c r="C93" s="831"/>
      <c r="D93" s="831"/>
      <c r="E93" s="831"/>
      <c r="F93" s="831"/>
      <c r="G93" s="831"/>
      <c r="H93" s="831"/>
      <c r="I93" s="831"/>
      <c r="J93" s="831"/>
      <c r="K93" s="831" t="s">
        <v>180</v>
      </c>
      <c r="L93" s="831"/>
      <c r="M93" s="831"/>
      <c r="N93" s="831"/>
      <c r="O93" s="831"/>
      <c r="P93" s="536"/>
      <c r="Q93" s="839"/>
      <c r="R93" s="820">
        <f>R92+S92</f>
        <v>129171.15104</v>
      </c>
      <c r="S93" s="820"/>
      <c r="T93" s="831"/>
      <c r="U93" s="831"/>
      <c r="V93" s="831"/>
      <c r="W93" s="831"/>
      <c r="X93" s="831"/>
      <c r="Y93" s="816"/>
      <c r="Z93" s="816"/>
      <c r="AA93" s="816"/>
      <c r="AB93" s="816"/>
      <c r="AC93" s="816"/>
      <c r="AD93" s="816"/>
      <c r="AE93" s="816"/>
      <c r="AF93" s="534"/>
      <c r="AG93" s="534"/>
      <c r="AH93" s="250"/>
      <c r="AI93" s="9"/>
      <c r="AJ93" s="9"/>
      <c r="AK93" s="9"/>
      <c r="AL93" s="9"/>
      <c r="AM93" s="9"/>
      <c r="AN93" s="9"/>
      <c r="AO93" s="9"/>
      <c r="AP93" s="86"/>
      <c r="AQ93" s="9"/>
      <c r="AR93" s="9"/>
      <c r="AS93" s="9"/>
      <c r="AT93" s="9"/>
      <c r="AU93" s="9"/>
      <c r="AV93" s="9"/>
      <c r="AW93" s="9"/>
      <c r="AX93" s="128"/>
      <c r="AY93" s="9"/>
    </row>
    <row r="94" spans="1:51" x14ac:dyDescent="0.25">
      <c r="C94" s="828"/>
      <c r="D94" s="816"/>
      <c r="E94" s="816"/>
      <c r="F94" s="816"/>
      <c r="G94" s="816"/>
      <c r="H94" s="816"/>
      <c r="I94" s="816"/>
      <c r="J94" s="816"/>
      <c r="K94" s="816"/>
      <c r="L94" s="816"/>
      <c r="M94" s="816"/>
      <c r="N94" s="816"/>
      <c r="O94" s="816"/>
      <c r="P94" s="816"/>
      <c r="Q94" s="816"/>
      <c r="R94" s="816"/>
      <c r="S94" s="816"/>
      <c r="T94" s="816"/>
      <c r="U94" s="816"/>
      <c r="V94" s="816"/>
      <c r="W94" s="816"/>
      <c r="X94" s="816"/>
      <c r="Y94" s="816"/>
      <c r="Z94" s="816"/>
      <c r="AA94" s="816"/>
      <c r="AB94" s="816"/>
      <c r="AC94" s="816"/>
      <c r="AD94" s="816"/>
      <c r="AE94" s="816"/>
      <c r="AF94" s="534"/>
      <c r="AG94" s="534"/>
      <c r="AH94" s="250"/>
      <c r="AI94" s="9"/>
      <c r="AJ94" s="9"/>
      <c r="AK94" s="9"/>
      <c r="AL94" s="9"/>
      <c r="AM94" s="9"/>
      <c r="AN94" s="9"/>
      <c r="AO94" s="9"/>
      <c r="AP94" s="86"/>
      <c r="AQ94" s="9"/>
      <c r="AR94" s="9"/>
      <c r="AS94" s="9"/>
      <c r="AT94" s="9"/>
      <c r="AU94" s="9"/>
      <c r="AV94" s="9"/>
      <c r="AW94" s="9"/>
      <c r="AX94" s="128"/>
      <c r="AY94" s="9"/>
    </row>
    <row r="95" spans="1:51" x14ac:dyDescent="0.25">
      <c r="C95" s="816"/>
      <c r="D95" s="816"/>
      <c r="E95" s="816"/>
      <c r="F95" s="816"/>
      <c r="G95" s="816"/>
      <c r="H95" s="816"/>
      <c r="I95" s="816"/>
      <c r="J95" s="816"/>
      <c r="K95" s="816"/>
      <c r="L95" s="816"/>
      <c r="M95" s="816"/>
      <c r="N95" s="816"/>
      <c r="O95" s="816"/>
      <c r="P95" s="816"/>
      <c r="Q95" s="816"/>
      <c r="R95" s="816"/>
      <c r="S95" s="816"/>
      <c r="T95" s="816"/>
      <c r="U95" s="816"/>
      <c r="V95" s="816"/>
      <c r="W95" s="816"/>
      <c r="X95" s="816"/>
      <c r="Y95" s="816"/>
      <c r="Z95" s="816"/>
      <c r="AA95" s="816"/>
      <c r="AB95" s="816"/>
      <c r="AC95" s="816"/>
      <c r="AD95" s="816"/>
      <c r="AE95" s="816"/>
      <c r="AF95" s="534"/>
      <c r="AG95" s="534"/>
      <c r="AH95" s="250"/>
      <c r="AI95" s="9"/>
      <c r="AJ95" s="9"/>
      <c r="AK95" s="9"/>
      <c r="AL95" s="9"/>
      <c r="AM95" s="9"/>
      <c r="AN95" s="9"/>
      <c r="AO95" s="9"/>
      <c r="AP95" s="86"/>
      <c r="AQ95" s="9"/>
      <c r="AR95" s="9"/>
      <c r="AS95" s="9"/>
      <c r="AT95" s="9"/>
      <c r="AU95" s="9"/>
      <c r="AV95" s="9"/>
      <c r="AW95" s="9"/>
      <c r="AX95" s="128"/>
      <c r="AY95" s="9"/>
    </row>
    <row r="96" spans="1:51" x14ac:dyDescent="0.25">
      <c r="C96" s="375"/>
      <c r="D96" s="375"/>
      <c r="E96" s="375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49"/>
      <c r="S96" s="349"/>
      <c r="T96" s="349"/>
      <c r="U96" s="349"/>
      <c r="V96" s="349"/>
      <c r="W96" s="349"/>
      <c r="X96" s="349"/>
      <c r="Y96" s="349"/>
      <c r="Z96" s="349"/>
      <c r="AA96" s="349"/>
      <c r="AB96" s="349"/>
      <c r="AC96" s="349"/>
      <c r="AD96" s="349"/>
      <c r="AE96" s="34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86"/>
      <c r="AQ96" s="9"/>
      <c r="AR96" s="9"/>
      <c r="AS96" s="9"/>
      <c r="AT96" s="9"/>
      <c r="AU96" s="9"/>
      <c r="AV96" s="9"/>
      <c r="AW96" s="9"/>
      <c r="AX96" s="128"/>
      <c r="AY96" s="9"/>
    </row>
    <row r="97" spans="1:31" x14ac:dyDescent="0.25">
      <c r="C97" s="375"/>
      <c r="D97" s="375"/>
      <c r="E97" s="375"/>
      <c r="F97" s="375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  <c r="AE97" s="375"/>
    </row>
    <row r="98" spans="1:31" ht="18.75" x14ac:dyDescent="0.3">
      <c r="C98" s="2205" t="s">
        <v>577</v>
      </c>
      <c r="D98" s="2206"/>
      <c r="E98" s="2206"/>
      <c r="F98" s="2206"/>
      <c r="G98" s="2206"/>
      <c r="H98" s="2206"/>
      <c r="I98" s="2206"/>
      <c r="J98" s="2206"/>
      <c r="K98" s="2206"/>
      <c r="L98" s="2206"/>
      <c r="M98" s="2206"/>
      <c r="N98" s="2206"/>
      <c r="O98" s="2206"/>
      <c r="P98" s="2206"/>
      <c r="Q98" s="2206"/>
      <c r="R98" s="816"/>
      <c r="S98" s="816"/>
      <c r="T98" s="816"/>
      <c r="U98" s="816"/>
      <c r="V98" s="816"/>
      <c r="W98" s="816"/>
      <c r="X98" s="816"/>
      <c r="Y98" s="816"/>
      <c r="Z98" s="375"/>
      <c r="AA98" s="375"/>
      <c r="AB98" s="375"/>
      <c r="AC98" s="375"/>
      <c r="AD98" s="375"/>
      <c r="AE98" s="375"/>
    </row>
    <row r="99" spans="1:31" ht="18" x14ac:dyDescent="0.25">
      <c r="C99" s="825" t="s">
        <v>53</v>
      </c>
      <c r="D99" s="825"/>
      <c r="E99" s="825"/>
      <c r="F99" s="825"/>
      <c r="G99" s="825"/>
      <c r="H99" s="825"/>
      <c r="I99" s="825"/>
      <c r="J99" s="825"/>
      <c r="K99" s="825"/>
      <c r="L99" s="825"/>
      <c r="M99" s="825"/>
      <c r="N99" s="825"/>
      <c r="O99" s="825"/>
      <c r="P99" s="825"/>
      <c r="Q99" s="825"/>
      <c r="R99" s="816"/>
      <c r="S99" s="816"/>
      <c r="T99" s="816"/>
      <c r="U99" s="816"/>
      <c r="V99" s="816"/>
      <c r="W99" s="816"/>
      <c r="X99" s="816"/>
      <c r="Y99" s="816"/>
      <c r="Z99" s="375"/>
      <c r="AA99" s="375"/>
      <c r="AB99" s="375"/>
      <c r="AC99" s="375"/>
      <c r="AD99" s="375"/>
      <c r="AE99" s="375"/>
    </row>
    <row r="100" spans="1:31" ht="18" x14ac:dyDescent="0.25">
      <c r="C100" s="825"/>
      <c r="D100" s="825"/>
      <c r="E100" s="825"/>
      <c r="F100" s="825"/>
      <c r="G100" s="825"/>
      <c r="H100" s="825"/>
      <c r="I100" s="825"/>
      <c r="J100" s="825"/>
      <c r="K100" s="825"/>
      <c r="L100" s="825"/>
      <c r="M100" s="825"/>
      <c r="N100" s="825"/>
      <c r="O100" s="825"/>
      <c r="P100" s="825"/>
      <c r="Q100" s="825"/>
      <c r="R100" s="816"/>
      <c r="S100" s="816"/>
      <c r="T100" s="816"/>
      <c r="U100" s="816"/>
      <c r="V100" s="816"/>
      <c r="W100" s="816"/>
      <c r="X100" s="816"/>
      <c r="Y100" s="816"/>
      <c r="Z100" s="375"/>
      <c r="AA100" s="375"/>
      <c r="AB100" s="375"/>
      <c r="AC100" s="375"/>
      <c r="AD100" s="375"/>
      <c r="AE100" s="375"/>
    </row>
    <row r="101" spans="1:31" ht="18" x14ac:dyDescent="0.25">
      <c r="C101" s="825"/>
      <c r="D101" s="825"/>
      <c r="E101" s="825"/>
      <c r="F101" s="825"/>
      <c r="G101" s="825"/>
      <c r="H101" s="825"/>
      <c r="I101" s="825"/>
      <c r="J101" s="825"/>
      <c r="K101" s="825"/>
      <c r="L101" s="825"/>
      <c r="M101" s="825"/>
      <c r="N101" s="825"/>
      <c r="O101" s="825"/>
      <c r="P101" s="825"/>
      <c r="Q101" s="825"/>
      <c r="R101" s="816"/>
      <c r="S101" s="816"/>
      <c r="T101" s="816"/>
      <c r="U101" s="816"/>
      <c r="V101" s="816"/>
      <c r="W101" s="816"/>
      <c r="X101" s="816"/>
      <c r="Y101" s="816"/>
      <c r="Z101" s="375"/>
      <c r="AA101" s="375"/>
      <c r="AB101" s="375"/>
      <c r="AC101" s="375"/>
      <c r="AD101" s="375"/>
      <c r="AE101" s="375"/>
    </row>
    <row r="102" spans="1:31" ht="26.25" customHeight="1" x14ac:dyDescent="0.25">
      <c r="A102" s="2017" t="s">
        <v>0</v>
      </c>
      <c r="B102" s="2020"/>
      <c r="C102" s="2197" t="s">
        <v>184</v>
      </c>
      <c r="D102" s="2197" t="s">
        <v>54</v>
      </c>
      <c r="E102" s="2197" t="s">
        <v>55</v>
      </c>
      <c r="F102" s="2197" t="s">
        <v>56</v>
      </c>
      <c r="G102" s="2197" t="s">
        <v>57</v>
      </c>
      <c r="H102" s="2197" t="s">
        <v>6</v>
      </c>
      <c r="I102" s="969"/>
      <c r="J102" s="969"/>
      <c r="K102" s="2198" t="s">
        <v>552</v>
      </c>
      <c r="L102" s="2199"/>
      <c r="M102" s="972"/>
      <c r="N102" s="972"/>
      <c r="O102" s="2186" t="s">
        <v>457</v>
      </c>
      <c r="P102" s="2197" t="s">
        <v>580</v>
      </c>
      <c r="Q102" s="2186" t="s">
        <v>333</v>
      </c>
      <c r="R102" s="2202" t="s">
        <v>313</v>
      </c>
      <c r="S102" s="2204" t="s">
        <v>554</v>
      </c>
      <c r="T102" s="2186" t="s">
        <v>555</v>
      </c>
      <c r="U102" s="2186" t="s">
        <v>175</v>
      </c>
      <c r="V102" s="2186" t="s">
        <v>183</v>
      </c>
      <c r="W102" s="2188" t="s">
        <v>182</v>
      </c>
      <c r="X102" s="2190" t="s">
        <v>544</v>
      </c>
      <c r="Y102" s="2184" t="s">
        <v>566</v>
      </c>
      <c r="Z102" s="375"/>
      <c r="AA102" s="375"/>
      <c r="AB102" s="375"/>
      <c r="AC102" s="375"/>
      <c r="AD102" s="375"/>
      <c r="AE102" s="375"/>
    </row>
    <row r="103" spans="1:31" ht="45.75" customHeight="1" x14ac:dyDescent="0.25">
      <c r="A103" s="2017"/>
      <c r="B103" s="2021"/>
      <c r="C103" s="2197"/>
      <c r="D103" s="2197"/>
      <c r="E103" s="2197"/>
      <c r="F103" s="2197"/>
      <c r="G103" s="2197"/>
      <c r="H103" s="2197"/>
      <c r="I103" s="970"/>
      <c r="J103" s="970"/>
      <c r="K103" s="826" t="s">
        <v>15</v>
      </c>
      <c r="L103" s="827" t="s">
        <v>16</v>
      </c>
      <c r="M103" s="973"/>
      <c r="N103" s="973"/>
      <c r="O103" s="2187"/>
      <c r="P103" s="2197"/>
      <c r="Q103" s="2187"/>
      <c r="R103" s="2203"/>
      <c r="S103" s="2213"/>
      <c r="T103" s="2187"/>
      <c r="U103" s="2187"/>
      <c r="V103" s="2187"/>
      <c r="W103" s="2189"/>
      <c r="X103" s="2191"/>
      <c r="Y103" s="2185"/>
      <c r="Z103" s="375"/>
      <c r="AA103" s="375"/>
      <c r="AB103" s="375"/>
      <c r="AC103" s="375"/>
      <c r="AD103" s="375"/>
      <c r="AE103" s="375"/>
    </row>
    <row r="104" spans="1:31" x14ac:dyDescent="0.25">
      <c r="A104" s="16">
        <v>1</v>
      </c>
      <c r="B104" s="16"/>
      <c r="C104" s="675" t="s">
        <v>58</v>
      </c>
      <c r="D104" s="675">
        <v>1976</v>
      </c>
      <c r="E104" s="675">
        <v>3</v>
      </c>
      <c r="F104" s="675">
        <v>24</v>
      </c>
      <c r="G104" s="675">
        <v>97</v>
      </c>
      <c r="H104" s="676">
        <v>1461.2</v>
      </c>
      <c r="I104" s="951"/>
      <c r="J104" s="951"/>
      <c r="K104" s="521">
        <v>5841.6</v>
      </c>
      <c r="L104" s="521">
        <v>4978.33</v>
      </c>
      <c r="M104" s="974"/>
      <c r="N104" s="974"/>
      <c r="O104" s="521">
        <f>P104+Q104+R104+S104+T104</f>
        <v>423.49686905408322</v>
      </c>
      <c r="P104" s="524">
        <f>2750/15709.31*H104</f>
        <v>255.79099272978891</v>
      </c>
      <c r="Q104" s="521"/>
      <c r="R104" s="522">
        <f>1500/15709.31*H104</f>
        <v>139.52235967079395</v>
      </c>
      <c r="S104" s="522">
        <f>R104*0.202</f>
        <v>28.18351665350038</v>
      </c>
      <c r="T104" s="522"/>
      <c r="U104" s="522">
        <f>K104-O104</f>
        <v>5418.1031309459167</v>
      </c>
      <c r="V104" s="522">
        <f>L104/K104*100</f>
        <v>85.222028211448901</v>
      </c>
      <c r="W104" s="522"/>
      <c r="X104" s="522">
        <v>1</v>
      </c>
      <c r="Y104" s="525">
        <f>K104-L104</f>
        <v>863.27000000000044</v>
      </c>
      <c r="Z104" s="375"/>
      <c r="AA104" s="375"/>
      <c r="AB104" s="375"/>
      <c r="AC104" s="375"/>
      <c r="AD104" s="375"/>
      <c r="AE104" s="375"/>
    </row>
    <row r="105" spans="1:31" x14ac:dyDescent="0.25">
      <c r="A105" s="16">
        <v>2</v>
      </c>
      <c r="B105" s="16"/>
      <c r="C105" s="675" t="s">
        <v>59</v>
      </c>
      <c r="D105" s="675">
        <v>1977</v>
      </c>
      <c r="E105" s="675">
        <v>3</v>
      </c>
      <c r="F105" s="675">
        <v>24</v>
      </c>
      <c r="G105" s="675">
        <v>81</v>
      </c>
      <c r="H105" s="676">
        <v>1456.7</v>
      </c>
      <c r="I105" s="951"/>
      <c r="J105" s="951"/>
      <c r="K105" s="521">
        <v>5826.77</v>
      </c>
      <c r="L105" s="521">
        <v>5602.28</v>
      </c>
      <c r="M105" s="974"/>
      <c r="N105" s="974"/>
      <c r="O105" s="521">
        <f t="shared" ref="O105:O116" si="34">P105+Q105+R105+S105+T105</f>
        <v>422.19264245215101</v>
      </c>
      <c r="P105" s="524">
        <f t="shared" ref="P105:P116" si="35">2750/15709.31*H105</f>
        <v>255.0032432996739</v>
      </c>
      <c r="Q105" s="521"/>
      <c r="R105" s="522">
        <f t="shared" ref="R105:R116" si="36">1500/15709.31*H105</f>
        <v>139.09267816345849</v>
      </c>
      <c r="S105" s="522">
        <f t="shared" ref="S105:S116" si="37">R105*0.202</f>
        <v>28.096720989018618</v>
      </c>
      <c r="T105" s="522"/>
      <c r="U105" s="522">
        <f t="shared" ref="U105:U117" si="38">K105-O105</f>
        <v>5404.5773575478497</v>
      </c>
      <c r="V105" s="522">
        <f t="shared" ref="V105:V117" si="39">L105/K105*100</f>
        <v>96.147265122872525</v>
      </c>
      <c r="W105" s="522"/>
      <c r="X105" s="522">
        <v>1</v>
      </c>
      <c r="Y105" s="525">
        <f t="shared" ref="Y105:Y116" si="40">K105-L105</f>
        <v>224.49000000000069</v>
      </c>
      <c r="Z105" s="375"/>
      <c r="AA105" s="375"/>
      <c r="AB105" s="375"/>
      <c r="AC105" s="375"/>
      <c r="AD105" s="375"/>
      <c r="AE105" s="375"/>
    </row>
    <row r="106" spans="1:31" x14ac:dyDescent="0.25">
      <c r="A106" s="16">
        <v>3</v>
      </c>
      <c r="B106" s="16"/>
      <c r="C106" s="675" t="s">
        <v>60</v>
      </c>
      <c r="D106" s="675">
        <v>1972</v>
      </c>
      <c r="E106" s="675">
        <v>2</v>
      </c>
      <c r="F106" s="675">
        <v>18</v>
      </c>
      <c r="G106" s="675">
        <v>57</v>
      </c>
      <c r="H106" s="676">
        <v>776.8</v>
      </c>
      <c r="I106" s="951"/>
      <c r="J106" s="951"/>
      <c r="K106" s="521">
        <v>3107.2</v>
      </c>
      <c r="L106" s="521">
        <v>2715.57</v>
      </c>
      <c r="M106" s="974"/>
      <c r="N106" s="974"/>
      <c r="O106" s="521">
        <f t="shared" si="34"/>
        <v>225.13849430687918</v>
      </c>
      <c r="P106" s="524">
        <f t="shared" si="35"/>
        <v>135.98305718074187</v>
      </c>
      <c r="Q106" s="521"/>
      <c r="R106" s="522">
        <f t="shared" si="36"/>
        <v>74.172576644041015</v>
      </c>
      <c r="S106" s="522">
        <f t="shared" si="37"/>
        <v>14.982860482096287</v>
      </c>
      <c r="T106" s="522"/>
      <c r="U106" s="522">
        <f t="shared" si="38"/>
        <v>2882.0615056931206</v>
      </c>
      <c r="V106" s="522">
        <f t="shared" si="39"/>
        <v>87.396047888774476</v>
      </c>
      <c r="W106" s="522"/>
      <c r="X106" s="522">
        <v>1</v>
      </c>
      <c r="Y106" s="525">
        <f t="shared" si="40"/>
        <v>391.62999999999965</v>
      </c>
      <c r="Z106" s="375"/>
      <c r="AA106" s="375"/>
      <c r="AB106" s="375"/>
      <c r="AC106" s="375"/>
      <c r="AD106" s="375"/>
      <c r="AE106" s="375"/>
    </row>
    <row r="107" spans="1:31" x14ac:dyDescent="0.25">
      <c r="A107" s="16">
        <v>4</v>
      </c>
      <c r="B107" s="16"/>
      <c r="C107" s="675" t="s">
        <v>61</v>
      </c>
      <c r="D107" s="675">
        <v>1973</v>
      </c>
      <c r="E107" s="675">
        <v>2</v>
      </c>
      <c r="F107" s="675">
        <v>18</v>
      </c>
      <c r="G107" s="675">
        <v>49</v>
      </c>
      <c r="H107" s="676">
        <v>773.51</v>
      </c>
      <c r="I107" s="951"/>
      <c r="J107" s="951"/>
      <c r="K107" s="521">
        <v>3097.64</v>
      </c>
      <c r="L107" s="521">
        <v>3244.79</v>
      </c>
      <c r="M107" s="974"/>
      <c r="N107" s="974"/>
      <c r="O107" s="521">
        <f t="shared" si="34"/>
        <v>224.18495974679985</v>
      </c>
      <c r="P107" s="524">
        <f t="shared" si="35"/>
        <v>135.40712481961333</v>
      </c>
      <c r="Q107" s="521"/>
      <c r="R107" s="522">
        <f t="shared" si="36"/>
        <v>73.858431719789095</v>
      </c>
      <c r="S107" s="522">
        <f t="shared" si="37"/>
        <v>14.919403207397398</v>
      </c>
      <c r="T107" s="522"/>
      <c r="U107" s="522">
        <f t="shared" si="38"/>
        <v>2873.4550402532</v>
      </c>
      <c r="V107" s="522">
        <f t="shared" si="39"/>
        <v>104.75039061995584</v>
      </c>
      <c r="W107" s="522"/>
      <c r="X107" s="522">
        <v>1</v>
      </c>
      <c r="Y107" s="525">
        <f t="shared" si="40"/>
        <v>-147.15000000000009</v>
      </c>
      <c r="Z107" s="375"/>
      <c r="AA107" s="375"/>
      <c r="AB107" s="375"/>
      <c r="AC107" s="375"/>
      <c r="AD107" s="375"/>
      <c r="AE107" s="375"/>
    </row>
    <row r="108" spans="1:31" x14ac:dyDescent="0.25">
      <c r="A108" s="16">
        <v>5</v>
      </c>
      <c r="B108" s="16"/>
      <c r="C108" s="675" t="s">
        <v>62</v>
      </c>
      <c r="D108" s="675">
        <v>1980</v>
      </c>
      <c r="E108" s="675">
        <v>3</v>
      </c>
      <c r="F108" s="675">
        <v>36</v>
      </c>
      <c r="G108" s="675">
        <v>93</v>
      </c>
      <c r="H108" s="676">
        <v>1799.9</v>
      </c>
      <c r="I108" s="951"/>
      <c r="J108" s="951"/>
      <c r="K108" s="521">
        <v>7191.6</v>
      </c>
      <c r="L108" s="521">
        <v>6454.96</v>
      </c>
      <c r="M108" s="974"/>
      <c r="N108" s="974"/>
      <c r="O108" s="521">
        <f t="shared" si="34"/>
        <v>521.66165795951576</v>
      </c>
      <c r="P108" s="524">
        <f t="shared" si="35"/>
        <v>315.0822665031119</v>
      </c>
      <c r="Q108" s="521"/>
      <c r="R108" s="522">
        <f t="shared" si="36"/>
        <v>171.86305445624285</v>
      </c>
      <c r="S108" s="522">
        <f t="shared" si="37"/>
        <v>34.716337000161055</v>
      </c>
      <c r="T108" s="522"/>
      <c r="U108" s="522">
        <f t="shared" si="38"/>
        <v>6669.9383420404847</v>
      </c>
      <c r="V108" s="522">
        <f t="shared" si="39"/>
        <v>89.756938650647982</v>
      </c>
      <c r="W108" s="522"/>
      <c r="X108" s="522">
        <v>1</v>
      </c>
      <c r="Y108" s="525">
        <f t="shared" si="40"/>
        <v>736.64000000000033</v>
      </c>
      <c r="Z108" s="375"/>
      <c r="AA108" s="375"/>
      <c r="AB108" s="375"/>
      <c r="AC108" s="375"/>
      <c r="AD108" s="375"/>
      <c r="AE108" s="375"/>
    </row>
    <row r="109" spans="1:31" x14ac:dyDescent="0.25">
      <c r="A109" s="16">
        <v>6</v>
      </c>
      <c r="B109" s="16"/>
      <c r="C109" s="675" t="s">
        <v>63</v>
      </c>
      <c r="D109" s="675">
        <v>1982</v>
      </c>
      <c r="E109" s="675">
        <v>3</v>
      </c>
      <c r="F109" s="675">
        <v>24</v>
      </c>
      <c r="G109" s="675">
        <v>84</v>
      </c>
      <c r="H109" s="676">
        <v>1454.2</v>
      </c>
      <c r="I109" s="951"/>
      <c r="J109" s="951"/>
      <c r="K109" s="521">
        <v>5816.8</v>
      </c>
      <c r="L109" s="521">
        <v>4851.72</v>
      </c>
      <c r="M109" s="974"/>
      <c r="N109" s="974"/>
      <c r="O109" s="521">
        <f t="shared" si="34"/>
        <v>421.46807211774421</v>
      </c>
      <c r="P109" s="524">
        <f t="shared" si="35"/>
        <v>254.56560472738778</v>
      </c>
      <c r="Q109" s="521"/>
      <c r="R109" s="522">
        <f t="shared" si="36"/>
        <v>138.85396621493879</v>
      </c>
      <c r="S109" s="522">
        <f t="shared" si="37"/>
        <v>28.048501175417638</v>
      </c>
      <c r="T109" s="522"/>
      <c r="U109" s="522">
        <f t="shared" si="38"/>
        <v>5395.3319278822564</v>
      </c>
      <c r="V109" s="522">
        <f t="shared" si="39"/>
        <v>83.408747077430888</v>
      </c>
      <c r="W109" s="522"/>
      <c r="X109" s="522">
        <v>1</v>
      </c>
      <c r="Y109" s="525">
        <f t="shared" si="40"/>
        <v>965.07999999999993</v>
      </c>
      <c r="Z109" s="375"/>
      <c r="AA109" s="375"/>
      <c r="AB109" s="375"/>
      <c r="AC109" s="375"/>
      <c r="AD109" s="375"/>
      <c r="AE109" s="375"/>
    </row>
    <row r="110" spans="1:31" x14ac:dyDescent="0.25">
      <c r="A110" s="16">
        <v>7</v>
      </c>
      <c r="B110" s="16"/>
      <c r="C110" s="675" t="s">
        <v>64</v>
      </c>
      <c r="D110" s="675">
        <v>1982</v>
      </c>
      <c r="E110" s="675">
        <v>3</v>
      </c>
      <c r="F110" s="675">
        <v>24</v>
      </c>
      <c r="G110" s="675">
        <v>95</v>
      </c>
      <c r="H110" s="676">
        <v>1458.3</v>
      </c>
      <c r="I110" s="951"/>
      <c r="J110" s="951"/>
      <c r="K110" s="521">
        <v>5830.8</v>
      </c>
      <c r="L110" s="521">
        <v>5614.96</v>
      </c>
      <c r="M110" s="974"/>
      <c r="N110" s="974"/>
      <c r="O110" s="521">
        <f t="shared" si="34"/>
        <v>422.65636746617133</v>
      </c>
      <c r="P110" s="524">
        <f t="shared" si="35"/>
        <v>255.283331985937</v>
      </c>
      <c r="Q110" s="521"/>
      <c r="R110" s="522">
        <f t="shared" si="36"/>
        <v>139.24545381051109</v>
      </c>
      <c r="S110" s="522">
        <f t="shared" si="37"/>
        <v>28.127581669723241</v>
      </c>
      <c r="T110" s="522"/>
      <c r="U110" s="522">
        <f t="shared" si="38"/>
        <v>5408.1436325338291</v>
      </c>
      <c r="V110" s="522">
        <f t="shared" si="39"/>
        <v>96.298278109350349</v>
      </c>
      <c r="W110" s="522"/>
      <c r="X110" s="522">
        <v>1</v>
      </c>
      <c r="Y110" s="525">
        <f t="shared" si="40"/>
        <v>215.84000000000015</v>
      </c>
      <c r="Z110" s="375"/>
      <c r="AA110" s="375"/>
      <c r="AB110" s="375"/>
      <c r="AC110" s="375"/>
      <c r="AD110" s="375"/>
      <c r="AE110" s="375"/>
    </row>
    <row r="111" spans="1:31" x14ac:dyDescent="0.25">
      <c r="A111" s="16">
        <v>8</v>
      </c>
      <c r="B111" s="16"/>
      <c r="C111" s="675" t="s">
        <v>65</v>
      </c>
      <c r="D111" s="675">
        <v>1983</v>
      </c>
      <c r="E111" s="675">
        <v>3</v>
      </c>
      <c r="F111" s="675">
        <v>24</v>
      </c>
      <c r="G111" s="675">
        <v>83</v>
      </c>
      <c r="H111" s="676">
        <v>1446.6</v>
      </c>
      <c r="I111" s="951"/>
      <c r="J111" s="951"/>
      <c r="K111" s="521">
        <v>5786</v>
      </c>
      <c r="L111" s="521">
        <v>4996.88</v>
      </c>
      <c r="M111" s="974"/>
      <c r="N111" s="974"/>
      <c r="O111" s="521">
        <f t="shared" si="34"/>
        <v>419.26537830114751</v>
      </c>
      <c r="P111" s="524">
        <f t="shared" si="35"/>
        <v>253.23518346763797</v>
      </c>
      <c r="Q111" s="521"/>
      <c r="R111" s="522">
        <f t="shared" si="36"/>
        <v>138.12828189143889</v>
      </c>
      <c r="S111" s="522">
        <f t="shared" si="37"/>
        <v>27.901912942070656</v>
      </c>
      <c r="T111" s="522"/>
      <c r="U111" s="522">
        <f t="shared" si="38"/>
        <v>5366.7346216988526</v>
      </c>
      <c r="V111" s="522">
        <f t="shared" si="39"/>
        <v>86.361562391980641</v>
      </c>
      <c r="W111" s="522"/>
      <c r="X111" s="522">
        <v>1</v>
      </c>
      <c r="Y111" s="525">
        <f t="shared" si="40"/>
        <v>789.11999999999989</v>
      </c>
      <c r="Z111" s="375"/>
      <c r="AA111" s="375"/>
      <c r="AB111" s="375"/>
      <c r="AC111" s="375"/>
      <c r="AD111" s="375"/>
      <c r="AE111" s="375"/>
    </row>
    <row r="112" spans="1:31" x14ac:dyDescent="0.25">
      <c r="A112" s="16">
        <v>9</v>
      </c>
      <c r="B112" s="16"/>
      <c r="C112" s="675" t="s">
        <v>66</v>
      </c>
      <c r="D112" s="675">
        <v>1984</v>
      </c>
      <c r="E112" s="675">
        <v>3</v>
      </c>
      <c r="F112" s="675">
        <v>24</v>
      </c>
      <c r="G112" s="675">
        <v>68</v>
      </c>
      <c r="H112" s="676">
        <v>1448</v>
      </c>
      <c r="I112" s="951"/>
      <c r="J112" s="951"/>
      <c r="K112" s="521">
        <v>5792</v>
      </c>
      <c r="L112" s="521">
        <v>5898.33</v>
      </c>
      <c r="M112" s="974"/>
      <c r="N112" s="974"/>
      <c r="O112" s="521">
        <f t="shared" si="34"/>
        <v>419.67113768841534</v>
      </c>
      <c r="P112" s="524">
        <f t="shared" si="35"/>
        <v>253.48026106811821</v>
      </c>
      <c r="Q112" s="521"/>
      <c r="R112" s="522">
        <f t="shared" si="36"/>
        <v>138.26196058260993</v>
      </c>
      <c r="S112" s="522">
        <f t="shared" si="37"/>
        <v>27.928916037687209</v>
      </c>
      <c r="T112" s="522"/>
      <c r="U112" s="522">
        <f t="shared" si="38"/>
        <v>5372.328862311585</v>
      </c>
      <c r="V112" s="522">
        <f t="shared" si="39"/>
        <v>101.83580801104972</v>
      </c>
      <c r="W112" s="522"/>
      <c r="X112" s="522">
        <v>1</v>
      </c>
      <c r="Y112" s="525">
        <f t="shared" si="40"/>
        <v>-106.32999999999993</v>
      </c>
      <c r="Z112" s="375"/>
      <c r="AA112" s="375"/>
      <c r="AB112" s="375"/>
      <c r="AC112" s="375"/>
      <c r="AD112" s="375"/>
      <c r="AE112" s="375"/>
    </row>
    <row r="113" spans="1:31" x14ac:dyDescent="0.25">
      <c r="A113" s="16">
        <v>10</v>
      </c>
      <c r="B113" s="16"/>
      <c r="C113" s="675" t="s">
        <v>67</v>
      </c>
      <c r="D113" s="675">
        <v>1987</v>
      </c>
      <c r="E113" s="675">
        <v>3</v>
      </c>
      <c r="F113" s="675">
        <v>27</v>
      </c>
      <c r="G113" s="675">
        <v>82</v>
      </c>
      <c r="H113" s="676">
        <v>1459.2</v>
      </c>
      <c r="I113" s="951"/>
      <c r="J113" s="951"/>
      <c r="K113" s="521">
        <v>5841</v>
      </c>
      <c r="L113" s="521">
        <v>5373.35</v>
      </c>
      <c r="M113" s="974"/>
      <c r="N113" s="974"/>
      <c r="O113" s="521">
        <f t="shared" si="34"/>
        <v>422.91721278655785</v>
      </c>
      <c r="P113" s="524">
        <f t="shared" si="35"/>
        <v>255.44088187196002</v>
      </c>
      <c r="Q113" s="521"/>
      <c r="R113" s="522">
        <f t="shared" si="36"/>
        <v>139.33139011197821</v>
      </c>
      <c r="S113" s="522">
        <f t="shared" si="37"/>
        <v>28.144940802619601</v>
      </c>
      <c r="T113" s="522"/>
      <c r="U113" s="522">
        <f t="shared" si="38"/>
        <v>5418.0827872134423</v>
      </c>
      <c r="V113" s="522">
        <f t="shared" si="39"/>
        <v>91.993665468241744</v>
      </c>
      <c r="W113" s="522"/>
      <c r="X113" s="522">
        <v>1</v>
      </c>
      <c r="Y113" s="525">
        <f t="shared" si="40"/>
        <v>467.64999999999964</v>
      </c>
      <c r="Z113" s="375"/>
      <c r="AA113" s="375"/>
      <c r="AB113" s="375"/>
      <c r="AC113" s="375"/>
      <c r="AD113" s="375"/>
      <c r="AE113" s="375"/>
    </row>
    <row r="114" spans="1:31" x14ac:dyDescent="0.25">
      <c r="A114" s="16">
        <v>11</v>
      </c>
      <c r="B114" s="16"/>
      <c r="C114" s="675" t="s">
        <v>72</v>
      </c>
      <c r="D114" s="675">
        <v>1968</v>
      </c>
      <c r="E114" s="675">
        <v>2</v>
      </c>
      <c r="F114" s="675">
        <v>16</v>
      </c>
      <c r="G114" s="675">
        <v>36</v>
      </c>
      <c r="H114" s="676">
        <v>722.8</v>
      </c>
      <c r="I114" s="951"/>
      <c r="J114" s="951"/>
      <c r="K114" s="521">
        <v>2880</v>
      </c>
      <c r="L114" s="521">
        <v>2393.91</v>
      </c>
      <c r="M114" s="974"/>
      <c r="N114" s="974"/>
      <c r="O114" s="521">
        <f t="shared" si="34"/>
        <v>209.48777508369238</v>
      </c>
      <c r="P114" s="524">
        <f t="shared" si="35"/>
        <v>126.53006401936176</v>
      </c>
      <c r="Q114" s="521"/>
      <c r="R114" s="522">
        <f t="shared" si="36"/>
        <v>69.016398556015503</v>
      </c>
      <c r="S114" s="522">
        <f t="shared" si="37"/>
        <v>13.941312508315132</v>
      </c>
      <c r="T114" s="522"/>
      <c r="U114" s="522">
        <f t="shared" si="38"/>
        <v>2670.5122249163078</v>
      </c>
      <c r="V114" s="522">
        <f t="shared" si="39"/>
        <v>83.121874999999989</v>
      </c>
      <c r="W114" s="522"/>
      <c r="X114" s="522">
        <v>1</v>
      </c>
      <c r="Y114" s="525">
        <f t="shared" si="40"/>
        <v>486.09000000000015</v>
      </c>
      <c r="Z114" s="375"/>
      <c r="AA114" s="375"/>
      <c r="AB114" s="375"/>
      <c r="AC114" s="375"/>
      <c r="AD114" s="375"/>
      <c r="AE114" s="375"/>
    </row>
    <row r="115" spans="1:31" x14ac:dyDescent="0.25">
      <c r="A115" s="16">
        <v>12</v>
      </c>
      <c r="B115" s="16"/>
      <c r="C115" s="675" t="s">
        <v>73</v>
      </c>
      <c r="D115" s="675">
        <v>1971</v>
      </c>
      <c r="E115" s="675">
        <v>2</v>
      </c>
      <c r="F115" s="675">
        <v>16</v>
      </c>
      <c r="G115" s="675">
        <v>47</v>
      </c>
      <c r="H115" s="676">
        <v>727.4</v>
      </c>
      <c r="I115" s="951"/>
      <c r="J115" s="951"/>
      <c r="K115" s="521">
        <v>2909.2</v>
      </c>
      <c r="L115" s="521">
        <v>2234.17</v>
      </c>
      <c r="M115" s="974"/>
      <c r="N115" s="974"/>
      <c r="O115" s="521">
        <f t="shared" si="34"/>
        <v>210.8209844990009</v>
      </c>
      <c r="P115" s="524">
        <f t="shared" si="35"/>
        <v>127.33531899236822</v>
      </c>
      <c r="Q115" s="521"/>
      <c r="R115" s="522">
        <f t="shared" si="36"/>
        <v>69.455628541291759</v>
      </c>
      <c r="S115" s="522">
        <f t="shared" si="37"/>
        <v>14.030036965340937</v>
      </c>
      <c r="T115" s="522"/>
      <c r="U115" s="522">
        <f t="shared" si="38"/>
        <v>2698.3790155009988</v>
      </c>
      <c r="V115" s="522">
        <f t="shared" si="39"/>
        <v>76.796713873229763</v>
      </c>
      <c r="W115" s="522"/>
      <c r="X115" s="522">
        <v>1</v>
      </c>
      <c r="Y115" s="525">
        <f t="shared" si="40"/>
        <v>675.02999999999975</v>
      </c>
      <c r="Z115" s="375"/>
      <c r="AA115" s="375"/>
      <c r="AB115" s="375"/>
      <c r="AC115" s="375"/>
      <c r="AD115" s="375"/>
      <c r="AE115" s="375"/>
    </row>
    <row r="116" spans="1:31" x14ac:dyDescent="0.25">
      <c r="A116" s="257">
        <v>13</v>
      </c>
      <c r="B116" s="257"/>
      <c r="C116" s="813" t="s">
        <v>74</v>
      </c>
      <c r="D116" s="813">
        <v>1960</v>
      </c>
      <c r="E116" s="813">
        <v>2</v>
      </c>
      <c r="F116" s="813">
        <v>16</v>
      </c>
      <c r="G116" s="813">
        <v>44</v>
      </c>
      <c r="H116" s="689">
        <v>724.7</v>
      </c>
      <c r="I116" s="971"/>
      <c r="J116" s="971"/>
      <c r="K116" s="527">
        <v>2898.8</v>
      </c>
      <c r="L116" s="527">
        <v>2639.85</v>
      </c>
      <c r="M116" s="975"/>
      <c r="N116" s="975"/>
      <c r="O116" s="521">
        <f t="shared" si="34"/>
        <v>210.03844853784162</v>
      </c>
      <c r="P116" s="524">
        <f t="shared" si="35"/>
        <v>126.86266933429923</v>
      </c>
      <c r="Q116" s="521"/>
      <c r="R116" s="522">
        <f t="shared" si="36"/>
        <v>69.197819636890486</v>
      </c>
      <c r="S116" s="522">
        <f t="shared" si="37"/>
        <v>13.977959566651879</v>
      </c>
      <c r="T116" s="522"/>
      <c r="U116" s="522">
        <f t="shared" si="38"/>
        <v>2688.7615514621584</v>
      </c>
      <c r="V116" s="522">
        <f t="shared" si="39"/>
        <v>91.066993238581475</v>
      </c>
      <c r="W116" s="522"/>
      <c r="X116" s="529">
        <v>1</v>
      </c>
      <c r="Y116" s="525">
        <f t="shared" si="40"/>
        <v>258.95000000000027</v>
      </c>
      <c r="Z116" s="375"/>
      <c r="AA116" s="375"/>
      <c r="AB116" s="375"/>
      <c r="AC116" s="375"/>
      <c r="AD116" s="375"/>
      <c r="AE116" s="375"/>
    </row>
    <row r="117" spans="1:31" x14ac:dyDescent="0.25">
      <c r="A117" s="386"/>
      <c r="B117" s="386"/>
      <c r="C117" s="814" t="s">
        <v>89</v>
      </c>
      <c r="D117" s="815"/>
      <c r="E117" s="387">
        <f t="shared" ref="E117:L117" si="41">SUM(E104:E116)</f>
        <v>34</v>
      </c>
      <c r="F117" s="387">
        <f t="shared" si="41"/>
        <v>291</v>
      </c>
      <c r="G117" s="387">
        <f t="shared" si="41"/>
        <v>916</v>
      </c>
      <c r="H117" s="387">
        <f t="shared" si="41"/>
        <v>15709.310000000001</v>
      </c>
      <c r="I117" s="955"/>
      <c r="J117" s="955"/>
      <c r="K117" s="537">
        <f t="shared" si="41"/>
        <v>62819.409999999996</v>
      </c>
      <c r="L117" s="537">
        <f t="shared" si="41"/>
        <v>56999.1</v>
      </c>
      <c r="M117" s="976"/>
      <c r="N117" s="976"/>
      <c r="O117" s="538">
        <f>SUM(O104:O116)</f>
        <v>4553</v>
      </c>
      <c r="P117" s="535">
        <f>SUM(P104:P116)</f>
        <v>2750</v>
      </c>
      <c r="Q117" s="537">
        <f>SUM(Q104:Q116)</f>
        <v>0</v>
      </c>
      <c r="R117" s="537">
        <f t="shared" ref="R117:T117" si="42">SUM(R104:R116)</f>
        <v>1500</v>
      </c>
      <c r="S117" s="537">
        <f t="shared" si="42"/>
        <v>303</v>
      </c>
      <c r="T117" s="537">
        <f t="shared" si="42"/>
        <v>0</v>
      </c>
      <c r="U117" s="539">
        <f t="shared" si="38"/>
        <v>58266.409999999996</v>
      </c>
      <c r="V117" s="539">
        <f t="shared" si="39"/>
        <v>90.734854084111902</v>
      </c>
      <c r="W117" s="539"/>
      <c r="X117" s="539"/>
      <c r="Y117" s="837">
        <f>SUM(Y104:Y116)</f>
        <v>5820.3100000000013</v>
      </c>
      <c r="Z117" s="375"/>
      <c r="AA117" s="375"/>
      <c r="AB117" s="375"/>
      <c r="AC117" s="375"/>
      <c r="AD117" s="375"/>
      <c r="AE117" s="375"/>
    </row>
    <row r="118" spans="1:31" x14ac:dyDescent="0.25">
      <c r="C118" s="375"/>
      <c r="D118" s="375"/>
      <c r="E118" s="375"/>
      <c r="F118" s="375"/>
      <c r="G118" s="375"/>
      <c r="H118" s="375"/>
      <c r="I118" s="375"/>
      <c r="J118" s="375"/>
      <c r="K118" s="375" t="s">
        <v>180</v>
      </c>
      <c r="L118" s="375"/>
      <c r="M118" s="375"/>
      <c r="N118" s="375"/>
      <c r="O118" s="375"/>
      <c r="P118" s="375"/>
      <c r="Q118" s="375"/>
      <c r="R118" s="763">
        <f>R117+S117</f>
        <v>1803</v>
      </c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  <c r="AD118" s="375"/>
      <c r="AE118" s="375"/>
    </row>
    <row r="119" spans="1:31" x14ac:dyDescent="0.25">
      <c r="Q119" s="590"/>
    </row>
    <row r="120" spans="1:31" x14ac:dyDescent="0.25">
      <c r="C120" t="s">
        <v>581</v>
      </c>
    </row>
  </sheetData>
  <mergeCells count="109">
    <mergeCell ref="P102:P103"/>
    <mergeCell ref="Q102:Q103"/>
    <mergeCell ref="W102:W103"/>
    <mergeCell ref="X102:X103"/>
    <mergeCell ref="Y102:Y103"/>
    <mergeCell ref="R102:R103"/>
    <mergeCell ref="S102:S103"/>
    <mergeCell ref="T102:T103"/>
    <mergeCell ref="U102:U103"/>
    <mergeCell ref="V102:V103"/>
    <mergeCell ref="A102:A103"/>
    <mergeCell ref="C102:C103"/>
    <mergeCell ref="D102:D103"/>
    <mergeCell ref="E102:E103"/>
    <mergeCell ref="F102:F103"/>
    <mergeCell ref="G102:G103"/>
    <mergeCell ref="H102:H103"/>
    <mergeCell ref="K102:L102"/>
    <mergeCell ref="O102:O103"/>
    <mergeCell ref="B102:B103"/>
    <mergeCell ref="A77:A78"/>
    <mergeCell ref="C77:C78"/>
    <mergeCell ref="D77:D78"/>
    <mergeCell ref="E77:E78"/>
    <mergeCell ref="F77:F78"/>
    <mergeCell ref="W77:W78"/>
    <mergeCell ref="T77:T78"/>
    <mergeCell ref="B77:B78"/>
    <mergeCell ref="C98:Q98"/>
    <mergeCell ref="K77:L77"/>
    <mergeCell ref="O77:O78"/>
    <mergeCell ref="P77:P78"/>
    <mergeCell ref="Q77:Q78"/>
    <mergeCell ref="V77:V78"/>
    <mergeCell ref="AT74:AU74"/>
    <mergeCell ref="AV74:AW74"/>
    <mergeCell ref="AX74:AX75"/>
    <mergeCell ref="AY74:AY75"/>
    <mergeCell ref="AO74:AO75"/>
    <mergeCell ref="AR74:AR75"/>
    <mergeCell ref="AS74:AS75"/>
    <mergeCell ref="AH74:AK74"/>
    <mergeCell ref="AL74:AL75"/>
    <mergeCell ref="C73:Q73"/>
    <mergeCell ref="G77:G78"/>
    <mergeCell ref="H77:H78"/>
    <mergeCell ref="R77:R78"/>
    <mergeCell ref="S77:S78"/>
    <mergeCell ref="U77:U78"/>
    <mergeCell ref="C46:Q46"/>
    <mergeCell ref="P49:P50"/>
    <mergeCell ref="Q49:Q50"/>
    <mergeCell ref="R49:R50"/>
    <mergeCell ref="S49:S50"/>
    <mergeCell ref="U49:U50"/>
    <mergeCell ref="T49:T50"/>
    <mergeCell ref="A49:A50"/>
    <mergeCell ref="C49:C50"/>
    <mergeCell ref="D49:D50"/>
    <mergeCell ref="E49:E50"/>
    <mergeCell ref="F49:F50"/>
    <mergeCell ref="G49:G50"/>
    <mergeCell ref="H49:H50"/>
    <mergeCell ref="K49:L49"/>
    <mergeCell ref="O49:O50"/>
    <mergeCell ref="B49:B50"/>
    <mergeCell ref="P8:P9"/>
    <mergeCell ref="C4:Q4"/>
    <mergeCell ref="A8:A9"/>
    <mergeCell ref="C8:C9"/>
    <mergeCell ref="D8:D9"/>
    <mergeCell ref="E8:E9"/>
    <mergeCell ref="F8:F9"/>
    <mergeCell ref="G8:G9"/>
    <mergeCell ref="H8:H9"/>
    <mergeCell ref="O8:O9"/>
    <mergeCell ref="Q8:Q9"/>
    <mergeCell ref="K8:L8"/>
    <mergeCell ref="B8:B9"/>
    <mergeCell ref="M8:N8"/>
    <mergeCell ref="I8:J8"/>
    <mergeCell ref="AV47:AW47"/>
    <mergeCell ref="AH47:AK47"/>
    <mergeCell ref="AC8:AC9"/>
    <mergeCell ref="AF8:AF9"/>
    <mergeCell ref="V8:V9"/>
    <mergeCell ref="AG8:AG9"/>
    <mergeCell ref="AA8:AA9"/>
    <mergeCell ref="AT47:AU47"/>
    <mergeCell ref="AB8:AB9"/>
    <mergeCell ref="AD8:AD9"/>
    <mergeCell ref="Z8:Z9"/>
    <mergeCell ref="AH8:AH9"/>
    <mergeCell ref="AE8:AE9"/>
    <mergeCell ref="Z49:Z50"/>
    <mergeCell ref="Z77:Z78"/>
    <mergeCell ref="R8:R9"/>
    <mergeCell ref="S8:S9"/>
    <mergeCell ref="T8:T9"/>
    <mergeCell ref="X8:X9"/>
    <mergeCell ref="Y8:Y9"/>
    <mergeCell ref="U8:U9"/>
    <mergeCell ref="W8:W9"/>
    <mergeCell ref="W49:W50"/>
    <mergeCell ref="X49:X50"/>
    <mergeCell ref="Y49:Y50"/>
    <mergeCell ref="X77:X78"/>
    <mergeCell ref="Y77:Y78"/>
    <mergeCell ref="V49:V50"/>
  </mergeCells>
  <pageMargins left="0.19685039370078741" right="0.70866141732283472" top="0.19685039370078741" bottom="0.74803149606299213" header="0.31496062992125984" footer="0.31496062992125984"/>
  <pageSetup paperSize="9" scale="80" orientation="landscape" horizontalDpi="180" verticalDpi="180" r:id="rId1"/>
  <rowBreaks count="2" manualBreakCount="2">
    <brk id="42" max="16383" man="1"/>
    <brk id="93" max="16383" man="1"/>
  </rowBreaks>
  <colBreaks count="1" manualBreakCount="1">
    <brk id="24" max="1048575" man="1"/>
  </colBreaks>
  <ignoredErrors>
    <ignoredError sqref="T41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Z119"/>
  <sheetViews>
    <sheetView topLeftCell="A58" zoomScaleNormal="100" workbookViewId="0">
      <selection activeCell="A77" sqref="A77:L92"/>
    </sheetView>
  </sheetViews>
  <sheetFormatPr defaultRowHeight="15" x14ac:dyDescent="0.25"/>
  <cols>
    <col min="1" max="1" width="4.5703125" customWidth="1"/>
    <col min="2" max="2" width="11.140625" hidden="1" customWidth="1"/>
    <col min="3" max="3" width="20.140625" customWidth="1"/>
    <col min="4" max="4" width="9.85546875" hidden="1" customWidth="1"/>
    <col min="5" max="5" width="8.5703125" hidden="1" customWidth="1"/>
    <col min="6" max="6" width="10.140625" hidden="1" customWidth="1"/>
    <col min="7" max="7" width="9.140625" hidden="1" customWidth="1"/>
    <col min="8" max="8" width="10.140625" customWidth="1"/>
    <col min="9" max="9" width="11.28515625" hidden="1" customWidth="1"/>
    <col min="10" max="10" width="10.140625" hidden="1" customWidth="1"/>
    <col min="11" max="11" width="12.7109375" customWidth="1"/>
    <col min="12" max="12" width="13" customWidth="1"/>
    <col min="13" max="13" width="11.42578125" customWidth="1"/>
    <col min="14" max="14" width="10.5703125" customWidth="1"/>
    <col min="15" max="15" width="12.28515625" customWidth="1"/>
    <col min="16" max="16" width="10.5703125" customWidth="1"/>
    <col min="17" max="19" width="10.7109375" customWidth="1"/>
    <col min="20" max="20" width="10.5703125" customWidth="1"/>
    <col min="21" max="21" width="11.140625" customWidth="1"/>
    <col min="22" max="22" width="11" customWidth="1"/>
    <col min="23" max="23" width="9.28515625" customWidth="1"/>
    <col min="24" max="24" width="11" customWidth="1"/>
    <col min="25" max="25" width="10.140625" customWidth="1"/>
    <col min="26" max="26" width="10.42578125" customWidth="1"/>
    <col min="27" max="27" width="10.28515625" customWidth="1"/>
    <col min="28" max="28" width="9.140625" customWidth="1"/>
    <col min="29" max="29" width="11.5703125" customWidth="1"/>
    <col min="30" max="31" width="9.7109375" customWidth="1"/>
    <col min="32" max="32" width="9.5703125" customWidth="1"/>
    <col min="33" max="33" width="10.42578125" customWidth="1"/>
    <col min="34" max="34" width="11.85546875" customWidth="1"/>
    <col min="35" max="35" width="13" customWidth="1"/>
    <col min="36" max="36" width="10.5703125" customWidth="1"/>
    <col min="37" max="37" width="10.7109375" customWidth="1"/>
    <col min="38" max="40" width="11.42578125" customWidth="1"/>
    <col min="41" max="41" width="10.28515625" customWidth="1"/>
    <col min="42" max="42" width="10.28515625" style="34" customWidth="1"/>
    <col min="43" max="43" width="10.28515625" customWidth="1"/>
    <col min="44" max="44" width="10.5703125" customWidth="1"/>
    <col min="45" max="45" width="11.5703125" customWidth="1"/>
    <col min="46" max="46" width="11.28515625" customWidth="1"/>
    <col min="47" max="47" width="10.5703125" customWidth="1"/>
    <col min="48" max="48" width="11" customWidth="1"/>
    <col min="49" max="49" width="10.28515625" customWidth="1"/>
    <col min="50" max="50" width="11.42578125" style="39" customWidth="1"/>
    <col min="51" max="51" width="9.140625" customWidth="1"/>
  </cols>
  <sheetData>
    <row r="4" spans="1:52" ht="15.75" customHeight="1" x14ac:dyDescent="0.3">
      <c r="C4" s="2196" t="s">
        <v>632</v>
      </c>
      <c r="D4" s="2196"/>
      <c r="E4" s="2196"/>
      <c r="F4" s="2196"/>
      <c r="G4" s="2196"/>
      <c r="H4" s="2196"/>
      <c r="I4" s="2196"/>
      <c r="J4" s="2196"/>
      <c r="K4" s="2196"/>
      <c r="L4" s="2196"/>
      <c r="M4" s="2196"/>
      <c r="N4" s="2196"/>
      <c r="O4" s="2196"/>
      <c r="P4" s="2196"/>
      <c r="Q4" s="2196"/>
    </row>
    <row r="5" spans="1:52" ht="18.75" x14ac:dyDescent="0.3">
      <c r="C5" s="373"/>
      <c r="D5" s="374"/>
      <c r="E5" s="374"/>
      <c r="F5" s="374"/>
      <c r="G5" s="374"/>
      <c r="H5" s="374" t="s">
        <v>600</v>
      </c>
      <c r="I5" s="374"/>
      <c r="J5" s="374"/>
      <c r="K5" s="374"/>
      <c r="L5" s="374"/>
      <c r="M5" s="374"/>
      <c r="N5" s="374"/>
      <c r="O5" s="374"/>
      <c r="P5" s="374"/>
      <c r="Q5" s="374"/>
    </row>
    <row r="6" spans="1:52" ht="18.75" x14ac:dyDescent="0.3">
      <c r="C6" s="373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374"/>
      <c r="Q6" s="374"/>
    </row>
    <row r="7" spans="1:52" ht="18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AH7" s="250"/>
      <c r="AI7" s="250"/>
      <c r="AJ7" s="250"/>
    </row>
    <row r="8" spans="1:52" ht="42" customHeight="1" x14ac:dyDescent="0.25">
      <c r="A8" s="2017" t="s">
        <v>0</v>
      </c>
      <c r="B8" s="2020"/>
      <c r="C8" s="2017" t="s">
        <v>184</v>
      </c>
      <c r="D8" s="2017" t="s">
        <v>54</v>
      </c>
      <c r="E8" s="2017" t="s">
        <v>55</v>
      </c>
      <c r="F8" s="2017" t="s">
        <v>56</v>
      </c>
      <c r="G8" s="2017" t="s">
        <v>57</v>
      </c>
      <c r="H8" s="2017" t="s">
        <v>6</v>
      </c>
      <c r="I8" s="2097" t="s">
        <v>593</v>
      </c>
      <c r="J8" s="2060"/>
      <c r="K8" s="1991" t="s">
        <v>310</v>
      </c>
      <c r="L8" s="1992"/>
      <c r="M8" s="2017" t="s">
        <v>598</v>
      </c>
      <c r="N8" s="2017"/>
      <c r="O8" s="1987" t="s">
        <v>457</v>
      </c>
      <c r="P8" s="2009" t="s">
        <v>332</v>
      </c>
      <c r="Q8" s="1987" t="s">
        <v>333</v>
      </c>
      <c r="R8" s="2003" t="s">
        <v>308</v>
      </c>
      <c r="S8" s="2003" t="s">
        <v>10</v>
      </c>
      <c r="T8" s="2003" t="s">
        <v>578</v>
      </c>
      <c r="U8" s="2003" t="s">
        <v>337</v>
      </c>
      <c r="V8" s="2194" t="s">
        <v>458</v>
      </c>
      <c r="W8" s="2003" t="s">
        <v>331</v>
      </c>
      <c r="X8" s="1987" t="s">
        <v>320</v>
      </c>
      <c r="Y8" s="2005" t="s">
        <v>554</v>
      </c>
      <c r="Z8" s="2009" t="s">
        <v>338</v>
      </c>
      <c r="AA8" s="1987" t="s">
        <v>369</v>
      </c>
      <c r="AB8" s="2020" t="s">
        <v>319</v>
      </c>
      <c r="AC8" s="1987" t="s">
        <v>175</v>
      </c>
      <c r="AD8" s="2005" t="s">
        <v>610</v>
      </c>
      <c r="AE8" s="2005" t="s">
        <v>611</v>
      </c>
      <c r="AF8" s="2001" t="s">
        <v>182</v>
      </c>
      <c r="AG8" s="1999" t="s">
        <v>544</v>
      </c>
      <c r="AH8" s="1995" t="s">
        <v>566</v>
      </c>
      <c r="AI8" s="250"/>
      <c r="AJ8" s="250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9"/>
    </row>
    <row r="9" spans="1:52" ht="49.5" customHeight="1" x14ac:dyDescent="0.25">
      <c r="A9" s="2017"/>
      <c r="B9" s="2021"/>
      <c r="C9" s="2017"/>
      <c r="D9" s="2017"/>
      <c r="E9" s="2017"/>
      <c r="F9" s="2017"/>
      <c r="G9" s="2017"/>
      <c r="H9" s="2017"/>
      <c r="I9" s="150" t="s">
        <v>15</v>
      </c>
      <c r="J9" s="1222" t="s">
        <v>16</v>
      </c>
      <c r="K9" s="150" t="s">
        <v>15</v>
      </c>
      <c r="L9" s="1222" t="s">
        <v>16</v>
      </c>
      <c r="M9" s="150" t="s">
        <v>15</v>
      </c>
      <c r="N9" s="1222" t="s">
        <v>16</v>
      </c>
      <c r="O9" s="1988"/>
      <c r="P9" s="2009"/>
      <c r="Q9" s="1988"/>
      <c r="R9" s="2004"/>
      <c r="S9" s="2002"/>
      <c r="T9" s="2004"/>
      <c r="U9" s="2004"/>
      <c r="V9" s="2195"/>
      <c r="W9" s="2004"/>
      <c r="X9" s="1988"/>
      <c r="Y9" s="2099"/>
      <c r="Z9" s="2009"/>
      <c r="AA9" s="2002"/>
      <c r="AB9" s="2002"/>
      <c r="AC9" s="1988"/>
      <c r="AD9" s="2006"/>
      <c r="AE9" s="2006"/>
      <c r="AF9" s="2002"/>
      <c r="AG9" s="2000"/>
      <c r="AH9" s="1996"/>
      <c r="AI9" s="250"/>
      <c r="AJ9" s="250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9"/>
    </row>
    <row r="10" spans="1:52" s="124" customFormat="1" x14ac:dyDescent="0.25">
      <c r="A10" s="16">
        <v>2</v>
      </c>
      <c r="B10" s="587">
        <v>42491</v>
      </c>
      <c r="C10" s="424" t="s">
        <v>58</v>
      </c>
      <c r="D10" s="675">
        <v>1976</v>
      </c>
      <c r="E10" s="675">
        <v>3</v>
      </c>
      <c r="F10" s="675">
        <v>24</v>
      </c>
      <c r="G10" s="675">
        <v>97</v>
      </c>
      <c r="H10" s="676">
        <v>1461.2</v>
      </c>
      <c r="I10" s="676">
        <v>3810.85</v>
      </c>
      <c r="J10" s="676">
        <v>3060.76</v>
      </c>
      <c r="K10" s="521">
        <v>75006.179999999993</v>
      </c>
      <c r="L10" s="521">
        <v>64481.51</v>
      </c>
      <c r="M10" s="521">
        <f>I10+K10</f>
        <v>78817.03</v>
      </c>
      <c r="N10" s="521">
        <f>J10+L10</f>
        <v>67542.27</v>
      </c>
      <c r="O10" s="521">
        <f>P10+Q10+R10+S10+T10+U10+V10+W10+X10+Y10+Z10+AA10+AB10</f>
        <v>74137.377411551759</v>
      </c>
      <c r="P10" s="524"/>
      <c r="Q10" s="521"/>
      <c r="R10" s="522"/>
      <c r="S10" s="522"/>
      <c r="T10" s="522">
        <f>8908.72/17476.13*H10</f>
        <v>744.86866737658738</v>
      </c>
      <c r="U10" s="522">
        <v>3398.08</v>
      </c>
      <c r="V10" s="522">
        <f>287589.29/870759.14*K10</f>
        <v>24772.607097540425</v>
      </c>
      <c r="W10" s="522"/>
      <c r="X10" s="522">
        <f>266260.63/16358.47*H10</f>
        <v>23783.39982626737</v>
      </c>
      <c r="Y10" s="522">
        <f>X10*0.202</f>
        <v>4804.246764906009</v>
      </c>
      <c r="Z10" s="522">
        <f>34243.64/17476.13*H10</f>
        <v>2863.1514395921749</v>
      </c>
      <c r="AA10" s="522">
        <f>164703.12/17476.13*H10</f>
        <v>13771.023615869188</v>
      </c>
      <c r="AB10" s="522"/>
      <c r="AC10" s="522">
        <f>M10-O10</f>
        <v>4679.6525884482398</v>
      </c>
      <c r="AD10" s="522">
        <f>L10/K10*100</f>
        <v>85.968262881805217</v>
      </c>
      <c r="AE10" s="522">
        <f>J10/I10*100</f>
        <v>80.316989647978815</v>
      </c>
      <c r="AF10" s="522">
        <f>O10/H10/6</f>
        <v>8.4562206190747045</v>
      </c>
      <c r="AG10" s="523">
        <v>8.56</v>
      </c>
      <c r="AH10" s="467">
        <f>M10-N10</f>
        <v>11274.759999999995</v>
      </c>
      <c r="AI10" s="250"/>
      <c r="AJ10" s="250"/>
      <c r="AK10" s="35"/>
      <c r="AL10" s="66"/>
      <c r="AM10" s="66"/>
      <c r="AN10" s="66"/>
      <c r="AO10" s="35"/>
      <c r="AP10" s="35"/>
      <c r="AQ10" s="67"/>
      <c r="AR10" s="67"/>
      <c r="AS10" s="67"/>
      <c r="AT10" s="68"/>
      <c r="AU10" s="67"/>
      <c r="AV10" s="68"/>
      <c r="AW10" s="67"/>
      <c r="AX10" s="130"/>
      <c r="AY10" s="35"/>
      <c r="AZ10" s="30"/>
    </row>
    <row r="11" spans="1:52" s="124" customFormat="1" x14ac:dyDescent="0.25">
      <c r="A11" s="16">
        <v>3</v>
      </c>
      <c r="B11" s="588"/>
      <c r="C11" s="424" t="s">
        <v>59</v>
      </c>
      <c r="D11" s="675">
        <v>1977</v>
      </c>
      <c r="E11" s="675">
        <v>3</v>
      </c>
      <c r="F11" s="675">
        <v>24</v>
      </c>
      <c r="G11" s="675">
        <v>81</v>
      </c>
      <c r="H11" s="676">
        <v>1456.7</v>
      </c>
      <c r="I11" s="676">
        <v>3888.29</v>
      </c>
      <c r="J11" s="676">
        <v>3469.99</v>
      </c>
      <c r="K11" s="521">
        <v>74816.09</v>
      </c>
      <c r="L11" s="521">
        <v>71900.160000000003</v>
      </c>
      <c r="M11" s="521">
        <f t="shared" ref="M11:N40" si="0">I11+K11</f>
        <v>78704.37999999999</v>
      </c>
      <c r="N11" s="521">
        <f t="shared" si="0"/>
        <v>75370.150000000009</v>
      </c>
      <c r="O11" s="521">
        <f t="shared" ref="O11:O40" si="1">P11+Q11+R11+S11+T11+U11+V11+W11+X11+Y11+Z11+AA11+AB11</f>
        <v>76631.013783421207</v>
      </c>
      <c r="P11" s="524"/>
      <c r="Q11" s="521"/>
      <c r="R11" s="522"/>
      <c r="S11" s="522">
        <v>1760.4</v>
      </c>
      <c r="T11" s="522">
        <f t="shared" ref="T11:T40" si="2">8908.72/17476.13*H11</f>
        <v>742.57472472452423</v>
      </c>
      <c r="U11" s="522">
        <v>4335.66</v>
      </c>
      <c r="V11" s="522">
        <f t="shared" ref="V11:V40" si="3">287589.29/870759.14*K11</f>
        <v>24709.825272320537</v>
      </c>
      <c r="W11" s="522"/>
      <c r="X11" s="522">
        <f t="shared" ref="X11:X19" si="4">266260.63/16358.47*H11</f>
        <v>23710.155028006899</v>
      </c>
      <c r="Y11" s="522">
        <f t="shared" ref="Y11:Y40" si="5">X11*0.202</f>
        <v>4789.4513156573939</v>
      </c>
      <c r="Z11" s="522">
        <f t="shared" ref="Z11:Z40" si="6">34243.64/17476.13*H11</f>
        <v>2854.3339050464833</v>
      </c>
      <c r="AA11" s="522">
        <f t="shared" ref="AA11:AA40" si="7">164703.12/17476.13*H11</f>
        <v>13728.613537665375</v>
      </c>
      <c r="AB11" s="522"/>
      <c r="AC11" s="522">
        <f t="shared" ref="AC11:AC40" si="8">M11-O11</f>
        <v>2073.3662165787828</v>
      </c>
      <c r="AD11" s="522">
        <f t="shared" ref="AD11:AD41" si="9">L11/K11*100</f>
        <v>96.102536232513643</v>
      </c>
      <c r="AE11" s="522">
        <f t="shared" ref="AE11:AE41" si="10">J11/I11*100</f>
        <v>89.242057562578907</v>
      </c>
      <c r="AF11" s="522">
        <f t="shared" ref="AF11:AF40" si="11">O11/H11/6</f>
        <v>8.7676499145810407</v>
      </c>
      <c r="AG11" s="523">
        <v>8.56</v>
      </c>
      <c r="AH11" s="467">
        <f t="shared" ref="AH11:AH41" si="12">M11-N11</f>
        <v>3334.2299999999814</v>
      </c>
      <c r="AI11" s="250"/>
      <c r="AJ11" s="250"/>
      <c r="AK11" s="35"/>
      <c r="AL11" s="66"/>
      <c r="AM11" s="66"/>
      <c r="AN11" s="66"/>
      <c r="AO11" s="35"/>
      <c r="AP11" s="35"/>
      <c r="AQ11" s="67"/>
      <c r="AR11" s="67"/>
      <c r="AS11" s="67"/>
      <c r="AT11" s="68"/>
      <c r="AU11" s="67"/>
      <c r="AV11" s="68"/>
      <c r="AW11" s="67"/>
      <c r="AX11" s="130"/>
      <c r="AY11" s="35"/>
      <c r="AZ11" s="30"/>
    </row>
    <row r="12" spans="1:52" s="124" customFormat="1" x14ac:dyDescent="0.25">
      <c r="A12" s="16">
        <v>4</v>
      </c>
      <c r="B12" s="588"/>
      <c r="C12" s="424" t="s">
        <v>60</v>
      </c>
      <c r="D12" s="675">
        <v>1972</v>
      </c>
      <c r="E12" s="675">
        <v>2</v>
      </c>
      <c r="F12" s="675">
        <v>18</v>
      </c>
      <c r="G12" s="675">
        <v>57</v>
      </c>
      <c r="H12" s="676">
        <v>776.8</v>
      </c>
      <c r="I12" s="676">
        <v>1267.76</v>
      </c>
      <c r="J12" s="676">
        <v>1038.1400000000001</v>
      </c>
      <c r="K12" s="521">
        <v>32299.26</v>
      </c>
      <c r="L12" s="521">
        <v>27921.94</v>
      </c>
      <c r="M12" s="521">
        <f t="shared" si="0"/>
        <v>33567.019999999997</v>
      </c>
      <c r="N12" s="521">
        <f t="shared" si="0"/>
        <v>28960.079999999998</v>
      </c>
      <c r="O12" s="521">
        <f t="shared" si="1"/>
        <v>38453.405689220206</v>
      </c>
      <c r="P12" s="524"/>
      <c r="Q12" s="521"/>
      <c r="R12" s="522"/>
      <c r="S12" s="522">
        <v>1530.9</v>
      </c>
      <c r="T12" s="522">
        <f t="shared" si="2"/>
        <v>395.98547824947508</v>
      </c>
      <c r="U12" s="522">
        <v>1818.18</v>
      </c>
      <c r="V12" s="522">
        <f t="shared" si="3"/>
        <v>10667.612688998473</v>
      </c>
      <c r="W12" s="522"/>
      <c r="X12" s="522">
        <f t="shared" si="4"/>
        <v>12643.679841941208</v>
      </c>
      <c r="Y12" s="522">
        <f t="shared" si="5"/>
        <v>2554.0233280721241</v>
      </c>
      <c r="Z12" s="522">
        <f t="shared" si="6"/>
        <v>1522.1024077985228</v>
      </c>
      <c r="AA12" s="522">
        <f t="shared" si="7"/>
        <v>7320.9219441604046</v>
      </c>
      <c r="AB12" s="522"/>
      <c r="AC12" s="522">
        <f t="shared" si="8"/>
        <v>-4886.3856892202093</v>
      </c>
      <c r="AD12" s="522">
        <f t="shared" si="9"/>
        <v>86.44761520852181</v>
      </c>
      <c r="AE12" s="522">
        <f t="shared" si="10"/>
        <v>81.887739004227939</v>
      </c>
      <c r="AF12" s="522">
        <f t="shared" si="11"/>
        <v>8.2503874204471774</v>
      </c>
      <c r="AG12" s="523">
        <v>6.93</v>
      </c>
      <c r="AH12" s="467">
        <f t="shared" si="12"/>
        <v>4606.9399999999987</v>
      </c>
      <c r="AI12" s="250"/>
      <c r="AJ12" s="250"/>
      <c r="AK12" s="35"/>
      <c r="AL12" s="66"/>
      <c r="AM12" s="66"/>
      <c r="AN12" s="66"/>
      <c r="AO12" s="35"/>
      <c r="AP12" s="35"/>
      <c r="AQ12" s="67"/>
      <c r="AR12" s="67"/>
      <c r="AS12" s="67"/>
      <c r="AT12" s="68"/>
      <c r="AU12" s="67"/>
      <c r="AV12" s="68"/>
      <c r="AW12" s="67"/>
      <c r="AX12" s="130"/>
      <c r="AY12" s="35"/>
      <c r="AZ12" s="30"/>
    </row>
    <row r="13" spans="1:52" s="124" customFormat="1" x14ac:dyDescent="0.25">
      <c r="A13" s="16">
        <v>5</v>
      </c>
      <c r="B13" s="588"/>
      <c r="C13" s="424" t="s">
        <v>61</v>
      </c>
      <c r="D13" s="675">
        <v>1973</v>
      </c>
      <c r="E13" s="675">
        <v>2</v>
      </c>
      <c r="F13" s="675">
        <v>18</v>
      </c>
      <c r="G13" s="675">
        <v>49</v>
      </c>
      <c r="H13" s="676">
        <v>773.51</v>
      </c>
      <c r="I13" s="676">
        <v>1267.6199999999999</v>
      </c>
      <c r="J13" s="676">
        <v>1067.23</v>
      </c>
      <c r="K13" s="521">
        <v>31689</v>
      </c>
      <c r="L13" s="521">
        <v>31235.55</v>
      </c>
      <c r="M13" s="521">
        <f t="shared" si="0"/>
        <v>32956.620000000003</v>
      </c>
      <c r="N13" s="521">
        <f t="shared" si="0"/>
        <v>32302.78</v>
      </c>
      <c r="O13" s="521">
        <f t="shared" si="1"/>
        <v>36617.455140750892</v>
      </c>
      <c r="P13" s="524"/>
      <c r="Q13" s="521"/>
      <c r="R13" s="522"/>
      <c r="S13" s="522"/>
      <c r="T13" s="522">
        <f t="shared" si="2"/>
        <v>394.30835128830006</v>
      </c>
      <c r="U13" s="522">
        <v>1818.18</v>
      </c>
      <c r="V13" s="522">
        <f t="shared" si="3"/>
        <v>10466.059547546063</v>
      </c>
      <c r="W13" s="522"/>
      <c r="X13" s="522">
        <f t="shared" si="4"/>
        <v>12590.129756101886</v>
      </c>
      <c r="Y13" s="522">
        <f t="shared" si="5"/>
        <v>2543.206210732581</v>
      </c>
      <c r="Z13" s="522">
        <f t="shared" si="6"/>
        <v>1515.6558103195614</v>
      </c>
      <c r="AA13" s="522">
        <f t="shared" si="7"/>
        <v>7289.9154647625064</v>
      </c>
      <c r="AB13" s="522"/>
      <c r="AC13" s="522">
        <f t="shared" si="8"/>
        <v>-3660.835140750889</v>
      </c>
      <c r="AD13" s="522">
        <f t="shared" si="9"/>
        <v>98.56906181955884</v>
      </c>
      <c r="AE13" s="522">
        <f t="shared" si="10"/>
        <v>84.191634717028776</v>
      </c>
      <c r="AF13" s="522">
        <f t="shared" si="11"/>
        <v>7.8898904863869221</v>
      </c>
      <c r="AG13" s="523">
        <v>6.82</v>
      </c>
      <c r="AH13" s="467">
        <f t="shared" si="12"/>
        <v>653.84000000000378</v>
      </c>
      <c r="AI13" s="250"/>
      <c r="AJ13" s="250"/>
      <c r="AK13" s="35"/>
      <c r="AL13" s="66"/>
      <c r="AM13" s="66"/>
      <c r="AN13" s="66"/>
      <c r="AO13" s="35"/>
      <c r="AP13" s="35"/>
      <c r="AQ13" s="67"/>
      <c r="AR13" s="67"/>
      <c r="AS13" s="67"/>
      <c r="AT13" s="68"/>
      <c r="AU13" s="67"/>
      <c r="AV13" s="68"/>
      <c r="AW13" s="67"/>
      <c r="AX13" s="130"/>
      <c r="AY13" s="35"/>
      <c r="AZ13" s="30"/>
    </row>
    <row r="14" spans="1:52" s="124" customFormat="1" x14ac:dyDescent="0.25">
      <c r="A14" s="16">
        <v>6</v>
      </c>
      <c r="B14" s="588"/>
      <c r="C14" s="424" t="s">
        <v>62</v>
      </c>
      <c r="D14" s="675">
        <v>1980</v>
      </c>
      <c r="E14" s="675">
        <v>3</v>
      </c>
      <c r="F14" s="675">
        <v>36</v>
      </c>
      <c r="G14" s="675">
        <v>93</v>
      </c>
      <c r="H14" s="676">
        <v>1799.9</v>
      </c>
      <c r="I14" s="676">
        <v>4626.6099999999997</v>
      </c>
      <c r="J14" s="676">
        <v>3383.24</v>
      </c>
      <c r="K14" s="521">
        <v>95144.7</v>
      </c>
      <c r="L14" s="521">
        <v>87962.21</v>
      </c>
      <c r="M14" s="521">
        <f t="shared" si="0"/>
        <v>99771.31</v>
      </c>
      <c r="N14" s="521">
        <f t="shared" si="0"/>
        <v>91345.450000000012</v>
      </c>
      <c r="O14" s="521">
        <f t="shared" si="1"/>
        <v>93002.676295437239</v>
      </c>
      <c r="P14" s="524"/>
      <c r="Q14" s="521"/>
      <c r="R14" s="522"/>
      <c r="S14" s="522"/>
      <c r="T14" s="522">
        <f t="shared" si="2"/>
        <v>917.52608432187219</v>
      </c>
      <c r="U14" s="522">
        <v>4957.26</v>
      </c>
      <c r="V14" s="522">
        <f t="shared" si="3"/>
        <v>31423.840949017194</v>
      </c>
      <c r="W14" s="522"/>
      <c r="X14" s="522">
        <f t="shared" si="4"/>
        <v>29296.291642005643</v>
      </c>
      <c r="Y14" s="522">
        <f t="shared" si="5"/>
        <v>5917.8509116851401</v>
      </c>
      <c r="Z14" s="522">
        <f t="shared" si="6"/>
        <v>3526.8178730645745</v>
      </c>
      <c r="AA14" s="522">
        <f t="shared" si="7"/>
        <v>16963.088835342834</v>
      </c>
      <c r="AB14" s="522"/>
      <c r="AC14" s="522">
        <f t="shared" si="8"/>
        <v>6768.6337045627588</v>
      </c>
      <c r="AD14" s="522">
        <f t="shared" si="9"/>
        <v>92.450982556043598</v>
      </c>
      <c r="AE14" s="522">
        <f t="shared" si="10"/>
        <v>73.125679493192635</v>
      </c>
      <c r="AF14" s="522">
        <f t="shared" si="11"/>
        <v>8.6118373516526123</v>
      </c>
      <c r="AG14" s="523">
        <v>8.82</v>
      </c>
      <c r="AH14" s="467">
        <f t="shared" si="12"/>
        <v>8425.859999999986</v>
      </c>
      <c r="AI14" s="250"/>
      <c r="AJ14" s="250"/>
      <c r="AK14" s="35"/>
      <c r="AL14" s="66"/>
      <c r="AM14" s="66"/>
      <c r="AN14" s="66"/>
      <c r="AO14" s="35"/>
      <c r="AP14" s="35"/>
      <c r="AQ14" s="67"/>
      <c r="AR14" s="67"/>
      <c r="AS14" s="67"/>
      <c r="AT14" s="68"/>
      <c r="AU14" s="67"/>
      <c r="AV14" s="68"/>
      <c r="AW14" s="67"/>
      <c r="AX14" s="130"/>
      <c r="AY14" s="35"/>
      <c r="AZ14" s="30"/>
    </row>
    <row r="15" spans="1:52" s="124" customFormat="1" x14ac:dyDescent="0.25">
      <c r="A15" s="16">
        <v>7</v>
      </c>
      <c r="B15" s="588"/>
      <c r="C15" s="424" t="s">
        <v>63</v>
      </c>
      <c r="D15" s="675">
        <v>1982</v>
      </c>
      <c r="E15" s="675">
        <v>3</v>
      </c>
      <c r="F15" s="675">
        <v>24</v>
      </c>
      <c r="G15" s="675">
        <v>84</v>
      </c>
      <c r="H15" s="676">
        <v>1454.2</v>
      </c>
      <c r="I15" s="676">
        <v>4250.67</v>
      </c>
      <c r="J15" s="676">
        <v>3120.83</v>
      </c>
      <c r="K15" s="521">
        <v>76694.460000000006</v>
      </c>
      <c r="L15" s="521">
        <v>63445.35</v>
      </c>
      <c r="M15" s="521">
        <f t="shared" si="0"/>
        <v>80945.13</v>
      </c>
      <c r="N15" s="521">
        <f t="shared" si="0"/>
        <v>66566.179999999993</v>
      </c>
      <c r="O15" s="521">
        <f t="shared" si="1"/>
        <v>74068.135511531349</v>
      </c>
      <c r="P15" s="524"/>
      <c r="Q15" s="521"/>
      <c r="R15" s="522"/>
      <c r="S15" s="522"/>
      <c r="T15" s="522">
        <f t="shared" si="2"/>
        <v>741.30031214004464</v>
      </c>
      <c r="U15" s="522">
        <v>2991.45</v>
      </c>
      <c r="V15" s="522">
        <f t="shared" si="3"/>
        <v>25330.202446492149</v>
      </c>
      <c r="W15" s="522"/>
      <c r="X15" s="522">
        <f t="shared" si="4"/>
        <v>23669.463473417745</v>
      </c>
      <c r="Y15" s="522">
        <f t="shared" si="5"/>
        <v>4781.2316216303852</v>
      </c>
      <c r="Z15" s="522">
        <f t="shared" si="6"/>
        <v>2849.4352747433213</v>
      </c>
      <c r="AA15" s="522">
        <f t="shared" si="7"/>
        <v>13705.052383107701</v>
      </c>
      <c r="AB15" s="522"/>
      <c r="AC15" s="522">
        <f t="shared" si="8"/>
        <v>6876.9944884686556</v>
      </c>
      <c r="AD15" s="522">
        <f t="shared" si="9"/>
        <v>82.724814804094066</v>
      </c>
      <c r="AE15" s="522">
        <f t="shared" si="10"/>
        <v>73.419719714774374</v>
      </c>
      <c r="AF15" s="522">
        <f t="shared" si="11"/>
        <v>8.4889899958203063</v>
      </c>
      <c r="AG15" s="523">
        <v>8.7899999999999991</v>
      </c>
      <c r="AH15" s="467">
        <f t="shared" si="12"/>
        <v>14378.950000000012</v>
      </c>
      <c r="AI15" s="250"/>
      <c r="AJ15" s="250"/>
      <c r="AK15" s="35"/>
      <c r="AL15" s="66"/>
      <c r="AM15" s="66"/>
      <c r="AN15" s="66"/>
      <c r="AO15" s="35"/>
      <c r="AP15" s="35"/>
      <c r="AQ15" s="67"/>
      <c r="AR15" s="67"/>
      <c r="AS15" s="67"/>
      <c r="AT15" s="68"/>
      <c r="AU15" s="67"/>
      <c r="AV15" s="68"/>
      <c r="AW15" s="67"/>
      <c r="AX15" s="130"/>
      <c r="AY15" s="35"/>
      <c r="AZ15" s="30"/>
    </row>
    <row r="16" spans="1:52" s="124" customFormat="1" x14ac:dyDescent="0.25">
      <c r="A16" s="16">
        <v>8</v>
      </c>
      <c r="B16" s="588"/>
      <c r="C16" s="424" t="s">
        <v>64</v>
      </c>
      <c r="D16" s="675">
        <v>1982</v>
      </c>
      <c r="E16" s="675">
        <v>3</v>
      </c>
      <c r="F16" s="675">
        <v>24</v>
      </c>
      <c r="G16" s="675">
        <v>95</v>
      </c>
      <c r="H16" s="676">
        <v>1458.3</v>
      </c>
      <c r="I16" s="676">
        <v>3871.67</v>
      </c>
      <c r="J16" s="676">
        <v>3421.28</v>
      </c>
      <c r="K16" s="521">
        <v>76879.02</v>
      </c>
      <c r="L16" s="521">
        <v>73065.679999999993</v>
      </c>
      <c r="M16" s="521">
        <f t="shared" si="0"/>
        <v>80750.69</v>
      </c>
      <c r="N16" s="521">
        <f t="shared" si="0"/>
        <v>76486.959999999992</v>
      </c>
      <c r="O16" s="521">
        <f t="shared" si="1"/>
        <v>74562.139451892101</v>
      </c>
      <c r="P16" s="524">
        <v>565.66</v>
      </c>
      <c r="Q16" s="521"/>
      <c r="R16" s="522"/>
      <c r="S16" s="522"/>
      <c r="T16" s="522">
        <f t="shared" si="2"/>
        <v>743.39034877859103</v>
      </c>
      <c r="U16" s="522">
        <v>2729.86</v>
      </c>
      <c r="V16" s="522">
        <f t="shared" si="3"/>
        <v>25391.157855312089</v>
      </c>
      <c r="W16" s="522"/>
      <c r="X16" s="522">
        <f t="shared" si="4"/>
        <v>23736.197622943953</v>
      </c>
      <c r="Y16" s="522">
        <f t="shared" si="5"/>
        <v>4794.7119198346791</v>
      </c>
      <c r="Z16" s="522">
        <f t="shared" si="6"/>
        <v>2857.4690284405069</v>
      </c>
      <c r="AA16" s="522">
        <f t="shared" si="7"/>
        <v>13743.692676582285</v>
      </c>
      <c r="AB16" s="522"/>
      <c r="AC16" s="522">
        <f t="shared" si="8"/>
        <v>6188.5505481079017</v>
      </c>
      <c r="AD16" s="522">
        <f t="shared" si="9"/>
        <v>95.039817104848609</v>
      </c>
      <c r="AE16" s="522">
        <f t="shared" si="10"/>
        <v>88.367035413658712</v>
      </c>
      <c r="AF16" s="522">
        <f t="shared" si="11"/>
        <v>8.5215821449509814</v>
      </c>
      <c r="AG16" s="523">
        <v>8.7899999999999991</v>
      </c>
      <c r="AH16" s="467">
        <f t="shared" si="12"/>
        <v>4263.7300000000105</v>
      </c>
      <c r="AI16" s="250"/>
      <c r="AJ16" s="250"/>
      <c r="AK16" s="35"/>
      <c r="AL16" s="66"/>
      <c r="AM16" s="66"/>
      <c r="AN16" s="66"/>
      <c r="AO16" s="35"/>
      <c r="AP16" s="35"/>
      <c r="AQ16" s="67"/>
      <c r="AR16" s="67"/>
      <c r="AS16" s="67"/>
      <c r="AT16" s="68"/>
      <c r="AU16" s="67"/>
      <c r="AV16" s="68"/>
      <c r="AW16" s="67"/>
      <c r="AX16" s="130"/>
      <c r="AY16" s="35"/>
      <c r="AZ16" s="30"/>
    </row>
    <row r="17" spans="1:52" s="124" customFormat="1" x14ac:dyDescent="0.25">
      <c r="A17" s="16">
        <v>9</v>
      </c>
      <c r="B17" s="588"/>
      <c r="C17" s="424" t="s">
        <v>65</v>
      </c>
      <c r="D17" s="675">
        <v>1983</v>
      </c>
      <c r="E17" s="675">
        <v>3</v>
      </c>
      <c r="F17" s="675">
        <v>24</v>
      </c>
      <c r="G17" s="675">
        <v>83</v>
      </c>
      <c r="H17" s="676">
        <v>1446.6</v>
      </c>
      <c r="I17" s="676">
        <v>3839.53</v>
      </c>
      <c r="J17" s="676">
        <v>3394.74</v>
      </c>
      <c r="K17" s="521">
        <v>76288.259999999995</v>
      </c>
      <c r="L17" s="521">
        <v>71610.179999999993</v>
      </c>
      <c r="M17" s="521">
        <f t="shared" si="0"/>
        <v>80127.789999999994</v>
      </c>
      <c r="N17" s="521">
        <f t="shared" si="0"/>
        <v>75004.92</v>
      </c>
      <c r="O17" s="521">
        <f t="shared" si="1"/>
        <v>75096.605970032746</v>
      </c>
      <c r="P17" s="524">
        <v>663.56</v>
      </c>
      <c r="Q17" s="521"/>
      <c r="R17" s="522"/>
      <c r="S17" s="522"/>
      <c r="T17" s="522">
        <f t="shared" si="2"/>
        <v>737.42609788322693</v>
      </c>
      <c r="U17" s="522">
        <v>3729.6</v>
      </c>
      <c r="V17" s="522">
        <f t="shared" si="3"/>
        <v>25196.045061020428</v>
      </c>
      <c r="W17" s="522"/>
      <c r="X17" s="522">
        <f t="shared" si="4"/>
        <v>23545.761147466725</v>
      </c>
      <c r="Y17" s="522">
        <f t="shared" si="5"/>
        <v>4756.243751788279</v>
      </c>
      <c r="Z17" s="522">
        <f t="shared" si="6"/>
        <v>2834.5434386217084</v>
      </c>
      <c r="AA17" s="522">
        <f t="shared" si="7"/>
        <v>13633.426473252372</v>
      </c>
      <c r="AB17" s="522"/>
      <c r="AC17" s="522">
        <f t="shared" si="8"/>
        <v>5031.1840299672476</v>
      </c>
      <c r="AD17" s="522">
        <f t="shared" si="9"/>
        <v>93.867890026591255</v>
      </c>
      <c r="AE17" s="522">
        <f t="shared" si="10"/>
        <v>88.41550918992688</v>
      </c>
      <c r="AF17" s="522">
        <f t="shared" si="11"/>
        <v>8.6520814288714636</v>
      </c>
      <c r="AG17" s="523">
        <v>8.7899999999999991</v>
      </c>
      <c r="AH17" s="467">
        <f t="shared" si="12"/>
        <v>5122.8699999999953</v>
      </c>
      <c r="AI17" s="250"/>
      <c r="AJ17" s="250"/>
      <c r="AK17" s="35"/>
      <c r="AL17" s="66"/>
      <c r="AM17" s="66"/>
      <c r="AN17" s="66"/>
      <c r="AO17" s="35"/>
      <c r="AP17" s="35"/>
      <c r="AQ17" s="67"/>
      <c r="AR17" s="67"/>
      <c r="AS17" s="67"/>
      <c r="AT17" s="68"/>
      <c r="AU17" s="67"/>
      <c r="AV17" s="68"/>
      <c r="AW17" s="67"/>
      <c r="AX17" s="130"/>
      <c r="AY17" s="35"/>
      <c r="AZ17" s="30"/>
    </row>
    <row r="18" spans="1:52" s="124" customFormat="1" x14ac:dyDescent="0.25">
      <c r="A18" s="16">
        <f t="shared" ref="A18:A39" si="13">A17+1</f>
        <v>10</v>
      </c>
      <c r="B18" s="588"/>
      <c r="C18" s="424" t="s">
        <v>66</v>
      </c>
      <c r="D18" s="675">
        <v>1984</v>
      </c>
      <c r="E18" s="675">
        <v>3</v>
      </c>
      <c r="F18" s="675">
        <v>24</v>
      </c>
      <c r="G18" s="675">
        <v>68</v>
      </c>
      <c r="H18" s="676">
        <v>1448</v>
      </c>
      <c r="I18" s="676">
        <v>3986.91</v>
      </c>
      <c r="J18" s="676">
        <v>3517.37</v>
      </c>
      <c r="K18" s="521">
        <v>76367.520000000004</v>
      </c>
      <c r="L18" s="521">
        <v>76161.89</v>
      </c>
      <c r="M18" s="521">
        <f t="shared" si="0"/>
        <v>80354.430000000008</v>
      </c>
      <c r="N18" s="521">
        <f t="shared" si="0"/>
        <v>79679.259999999995</v>
      </c>
      <c r="O18" s="521">
        <f t="shared" si="1"/>
        <v>73803.964953979041</v>
      </c>
      <c r="P18" s="524"/>
      <c r="Q18" s="521"/>
      <c r="R18" s="522"/>
      <c r="S18" s="522"/>
      <c r="T18" s="522">
        <f t="shared" si="2"/>
        <v>738.13976893053552</v>
      </c>
      <c r="U18" s="522">
        <v>3030.3</v>
      </c>
      <c r="V18" s="522">
        <f t="shared" si="3"/>
        <v>25222.222595172298</v>
      </c>
      <c r="W18" s="522"/>
      <c r="X18" s="522">
        <f t="shared" si="4"/>
        <v>23568.548418036651</v>
      </c>
      <c r="Y18" s="522">
        <f t="shared" si="5"/>
        <v>4760.846780443404</v>
      </c>
      <c r="Z18" s="522">
        <f t="shared" si="6"/>
        <v>2837.2866715914793</v>
      </c>
      <c r="AA18" s="522">
        <f t="shared" si="7"/>
        <v>13646.620719804669</v>
      </c>
      <c r="AB18" s="522"/>
      <c r="AC18" s="522">
        <f t="shared" si="8"/>
        <v>6550.4650460209668</v>
      </c>
      <c r="AD18" s="522">
        <f t="shared" si="9"/>
        <v>99.730736313029411</v>
      </c>
      <c r="AE18" s="522">
        <f t="shared" si="10"/>
        <v>88.222959635406866</v>
      </c>
      <c r="AF18" s="522">
        <f t="shared" si="11"/>
        <v>8.4949315094358937</v>
      </c>
      <c r="AG18" s="523">
        <v>8.7899999999999991</v>
      </c>
      <c r="AH18" s="467">
        <f t="shared" si="12"/>
        <v>675.17000000001281</v>
      </c>
      <c r="AI18" s="250"/>
      <c r="AJ18" s="250"/>
      <c r="AK18" s="35"/>
      <c r="AL18" s="66"/>
      <c r="AM18" s="66"/>
      <c r="AN18" s="66"/>
      <c r="AO18" s="35"/>
      <c r="AP18" s="35"/>
      <c r="AQ18" s="67"/>
      <c r="AR18" s="67"/>
      <c r="AS18" s="67"/>
      <c r="AT18" s="68"/>
      <c r="AU18" s="67"/>
      <c r="AV18" s="68"/>
      <c r="AW18" s="67"/>
      <c r="AX18" s="130"/>
      <c r="AY18" s="35"/>
      <c r="AZ18" s="30"/>
    </row>
    <row r="19" spans="1:52" s="124" customFormat="1" x14ac:dyDescent="0.25">
      <c r="A19" s="16">
        <f t="shared" si="13"/>
        <v>11</v>
      </c>
      <c r="B19" s="588"/>
      <c r="C19" s="424" t="s">
        <v>67</v>
      </c>
      <c r="D19" s="675">
        <v>1987</v>
      </c>
      <c r="E19" s="675">
        <v>3</v>
      </c>
      <c r="F19" s="675">
        <v>27</v>
      </c>
      <c r="G19" s="675">
        <v>82</v>
      </c>
      <c r="H19" s="676">
        <v>1459.2</v>
      </c>
      <c r="I19" s="676">
        <v>4947.76</v>
      </c>
      <c r="J19" s="676">
        <v>3703.9</v>
      </c>
      <c r="K19" s="521">
        <v>77009.3</v>
      </c>
      <c r="L19" s="521">
        <v>75661.86</v>
      </c>
      <c r="M19" s="521">
        <f t="shared" si="0"/>
        <v>81957.06</v>
      </c>
      <c r="N19" s="521">
        <f t="shared" si="0"/>
        <v>79365.759999999995</v>
      </c>
      <c r="O19" s="521">
        <f t="shared" si="1"/>
        <v>78633.929936992354</v>
      </c>
      <c r="P19" s="524">
        <v>347</v>
      </c>
      <c r="Q19" s="521"/>
      <c r="R19" s="522"/>
      <c r="S19" s="522"/>
      <c r="T19" s="522">
        <f t="shared" si="2"/>
        <v>743.84913730900371</v>
      </c>
      <c r="U19" s="522">
        <v>6948.97</v>
      </c>
      <c r="V19" s="522">
        <f t="shared" si="3"/>
        <v>25434.185979830196</v>
      </c>
      <c r="W19" s="522"/>
      <c r="X19" s="522">
        <f t="shared" si="4"/>
        <v>23750.846582596052</v>
      </c>
      <c r="Y19" s="522">
        <f t="shared" si="5"/>
        <v>4797.6710096844026</v>
      </c>
      <c r="Z19" s="522">
        <f t="shared" si="6"/>
        <v>2859.2325353496453</v>
      </c>
      <c r="AA19" s="522">
        <f t="shared" si="7"/>
        <v>13752.174692223049</v>
      </c>
      <c r="AB19" s="522"/>
      <c r="AC19" s="522">
        <f t="shared" si="8"/>
        <v>3323.1300630076439</v>
      </c>
      <c r="AD19" s="522">
        <f t="shared" si="9"/>
        <v>98.250289250778806</v>
      </c>
      <c r="AE19" s="522">
        <f t="shared" si="10"/>
        <v>74.860138729445254</v>
      </c>
      <c r="AF19" s="522">
        <f t="shared" si="11"/>
        <v>8.9813973338121738</v>
      </c>
      <c r="AG19" s="523">
        <v>8.7899999999999991</v>
      </c>
      <c r="AH19" s="467">
        <f t="shared" si="12"/>
        <v>2591.3000000000029</v>
      </c>
      <c r="AI19" s="250"/>
      <c r="AJ19" s="250"/>
      <c r="AK19" s="35"/>
      <c r="AL19" s="66"/>
      <c r="AM19" s="66"/>
      <c r="AN19" s="66"/>
      <c r="AO19" s="35"/>
      <c r="AP19" s="35"/>
      <c r="AQ19" s="67"/>
      <c r="AR19" s="67"/>
      <c r="AS19" s="67"/>
      <c r="AT19" s="68"/>
      <c r="AU19" s="67"/>
      <c r="AV19" s="68"/>
      <c r="AW19" s="67"/>
      <c r="AX19" s="130"/>
      <c r="AY19" s="35"/>
      <c r="AZ19" s="30"/>
    </row>
    <row r="20" spans="1:52" s="124" customFormat="1" x14ac:dyDescent="0.25">
      <c r="A20" s="16">
        <f t="shared" si="13"/>
        <v>12</v>
      </c>
      <c r="B20" s="587">
        <v>42491</v>
      </c>
      <c r="C20" s="424" t="s">
        <v>68</v>
      </c>
      <c r="D20" s="675">
        <v>1952</v>
      </c>
      <c r="E20" s="675">
        <v>1</v>
      </c>
      <c r="F20" s="675">
        <v>2</v>
      </c>
      <c r="G20" s="675">
        <v>5</v>
      </c>
      <c r="H20" s="676">
        <v>58.6</v>
      </c>
      <c r="I20" s="676">
        <v>0</v>
      </c>
      <c r="J20" s="676">
        <v>0</v>
      </c>
      <c r="K20" s="521">
        <v>1610.34</v>
      </c>
      <c r="L20" s="521">
        <v>490.06</v>
      </c>
      <c r="M20" s="521">
        <f t="shared" si="0"/>
        <v>1610.34</v>
      </c>
      <c r="N20" s="521">
        <f t="shared" si="0"/>
        <v>490.06</v>
      </c>
      <c r="O20" s="521">
        <f t="shared" si="1"/>
        <v>1228.8233648796981</v>
      </c>
      <c r="P20" s="524"/>
      <c r="Q20" s="521"/>
      <c r="R20" s="522"/>
      <c r="S20" s="522"/>
      <c r="T20" s="522">
        <f t="shared" si="2"/>
        <v>29.872230980199848</v>
      </c>
      <c r="U20" s="525"/>
      <c r="V20" s="522">
        <f t="shared" si="3"/>
        <v>531.85377676150483</v>
      </c>
      <c r="W20" s="522"/>
      <c r="X20" s="522"/>
      <c r="Y20" s="522">
        <f t="shared" si="5"/>
        <v>0</v>
      </c>
      <c r="Z20" s="522">
        <f t="shared" si="6"/>
        <v>114.82389430611926</v>
      </c>
      <c r="AA20" s="522">
        <f t="shared" si="7"/>
        <v>552.2734628318741</v>
      </c>
      <c r="AB20" s="522"/>
      <c r="AC20" s="522">
        <f t="shared" si="8"/>
        <v>381.51663512030177</v>
      </c>
      <c r="AD20" s="522">
        <f t="shared" si="9"/>
        <v>30.432082665772448</v>
      </c>
      <c r="AE20" s="522">
        <v>0</v>
      </c>
      <c r="AF20" s="522">
        <f t="shared" si="11"/>
        <v>3.4949469990890165</v>
      </c>
      <c r="AG20" s="523">
        <v>4.58</v>
      </c>
      <c r="AH20" s="467">
        <f t="shared" si="12"/>
        <v>1120.28</v>
      </c>
      <c r="AI20" s="250"/>
      <c r="AJ20" s="250"/>
      <c r="AK20" s="35"/>
      <c r="AL20" s="66"/>
      <c r="AM20" s="66"/>
      <c r="AN20" s="66"/>
      <c r="AO20" s="35"/>
      <c r="AP20" s="35"/>
      <c r="AQ20" s="67"/>
      <c r="AR20" s="67"/>
      <c r="AS20" s="67"/>
      <c r="AT20" s="68"/>
      <c r="AU20" s="67"/>
      <c r="AV20" s="30"/>
      <c r="AW20" s="67"/>
      <c r="AX20" s="130"/>
      <c r="AY20" s="35"/>
      <c r="AZ20" s="30"/>
    </row>
    <row r="21" spans="1:52" s="124" customFormat="1" x14ac:dyDescent="0.25">
      <c r="A21" s="16">
        <f t="shared" si="13"/>
        <v>13</v>
      </c>
      <c r="B21" s="586">
        <v>42461</v>
      </c>
      <c r="C21" s="424" t="s">
        <v>69</v>
      </c>
      <c r="D21" s="675">
        <v>1940</v>
      </c>
      <c r="E21" s="675">
        <v>1</v>
      </c>
      <c r="F21" s="675">
        <v>1</v>
      </c>
      <c r="G21" s="675">
        <v>8</v>
      </c>
      <c r="H21" s="676">
        <v>29.9</v>
      </c>
      <c r="I21" s="676">
        <v>0</v>
      </c>
      <c r="J21" s="676">
        <v>0</v>
      </c>
      <c r="K21" s="521">
        <v>821.64</v>
      </c>
      <c r="L21" s="521">
        <v>911.29</v>
      </c>
      <c r="M21" s="521">
        <f t="shared" si="0"/>
        <v>821.64</v>
      </c>
      <c r="N21" s="521">
        <f t="shared" si="0"/>
        <v>911.29</v>
      </c>
      <c r="O21" s="521">
        <f t="shared" si="1"/>
        <v>626.98750612096183</v>
      </c>
      <c r="P21" s="524"/>
      <c r="Q21" s="521"/>
      <c r="R21" s="522"/>
      <c r="S21" s="522"/>
      <c r="T21" s="522">
        <f t="shared" si="2"/>
        <v>15.241974510375007</v>
      </c>
      <c r="U21" s="525"/>
      <c r="V21" s="522">
        <f t="shared" si="3"/>
        <v>271.36650467498964</v>
      </c>
      <c r="W21" s="522"/>
      <c r="X21" s="522"/>
      <c r="Y21" s="522">
        <f t="shared" si="5"/>
        <v>0</v>
      </c>
      <c r="Z21" s="522">
        <f t="shared" si="6"/>
        <v>58.587618425818526</v>
      </c>
      <c r="AA21" s="522">
        <f t="shared" si="7"/>
        <v>281.79140850977871</v>
      </c>
      <c r="AB21" s="522"/>
      <c r="AC21" s="522">
        <f t="shared" si="8"/>
        <v>194.65249387903816</v>
      </c>
      <c r="AD21" s="522">
        <f t="shared" si="9"/>
        <v>110.91110462002824</v>
      </c>
      <c r="AE21" s="522">
        <v>0</v>
      </c>
      <c r="AF21" s="522">
        <f t="shared" si="11"/>
        <v>3.4949136350109353</v>
      </c>
      <c r="AG21" s="523">
        <v>4.58</v>
      </c>
      <c r="AH21" s="467">
        <f t="shared" si="12"/>
        <v>-89.649999999999977</v>
      </c>
      <c r="AI21" s="250"/>
      <c r="AJ21" s="250"/>
      <c r="AK21" s="35"/>
      <c r="AL21" s="66"/>
      <c r="AM21" s="66"/>
      <c r="AN21" s="66"/>
      <c r="AO21" s="35"/>
      <c r="AP21" s="35"/>
      <c r="AQ21" s="67"/>
      <c r="AR21" s="67"/>
      <c r="AS21" s="67"/>
      <c r="AT21" s="68"/>
      <c r="AU21" s="67"/>
      <c r="AV21" s="68"/>
      <c r="AW21" s="67"/>
      <c r="AX21" s="130"/>
      <c r="AY21" s="35"/>
      <c r="AZ21" s="30"/>
    </row>
    <row r="22" spans="1:52" s="124" customFormat="1" x14ac:dyDescent="0.25">
      <c r="A22" s="16">
        <f t="shared" si="13"/>
        <v>14</v>
      </c>
      <c r="B22" s="586">
        <v>42461</v>
      </c>
      <c r="C22" s="424" t="s">
        <v>70</v>
      </c>
      <c r="D22" s="675">
        <v>1943</v>
      </c>
      <c r="E22" s="675">
        <v>1</v>
      </c>
      <c r="F22" s="675">
        <v>1</v>
      </c>
      <c r="G22" s="675">
        <v>3</v>
      </c>
      <c r="H22" s="676">
        <v>44.6</v>
      </c>
      <c r="I22" s="676">
        <v>0</v>
      </c>
      <c r="J22" s="676">
        <v>0</v>
      </c>
      <c r="K22" s="521">
        <v>1225.6199999999999</v>
      </c>
      <c r="L22" s="521">
        <v>1429.89</v>
      </c>
      <c r="M22" s="521">
        <f t="shared" si="0"/>
        <v>1225.6199999999999</v>
      </c>
      <c r="N22" s="521">
        <f t="shared" si="0"/>
        <v>1429.89</v>
      </c>
      <c r="O22" s="521">
        <f t="shared" si="1"/>
        <v>935.24876381744684</v>
      </c>
      <c r="P22" s="524"/>
      <c r="Q22" s="521"/>
      <c r="R22" s="522"/>
      <c r="S22" s="522"/>
      <c r="T22" s="522">
        <f t="shared" si="2"/>
        <v>22.735520507114561</v>
      </c>
      <c r="U22" s="525"/>
      <c r="V22" s="522">
        <f t="shared" si="3"/>
        <v>404.79068139301984</v>
      </c>
      <c r="W22" s="522"/>
      <c r="X22" s="522"/>
      <c r="Y22" s="522">
        <f t="shared" si="5"/>
        <v>0</v>
      </c>
      <c r="Z22" s="522">
        <f t="shared" si="6"/>
        <v>87.391564608411585</v>
      </c>
      <c r="AA22" s="522">
        <f t="shared" si="7"/>
        <v>420.33099730890075</v>
      </c>
      <c r="AB22" s="522"/>
      <c r="AC22" s="522">
        <f t="shared" si="8"/>
        <v>290.37123618255305</v>
      </c>
      <c r="AD22" s="522">
        <f t="shared" si="9"/>
        <v>116.6666666666667</v>
      </c>
      <c r="AE22" s="522">
        <v>0</v>
      </c>
      <c r="AF22" s="522">
        <f t="shared" si="11"/>
        <v>3.4949505374344052</v>
      </c>
      <c r="AG22" s="523">
        <v>4.58</v>
      </c>
      <c r="AH22" s="467">
        <f t="shared" si="12"/>
        <v>-204.27000000000021</v>
      </c>
      <c r="AI22" s="250"/>
      <c r="AJ22" s="250"/>
      <c r="AK22" s="35"/>
      <c r="AL22" s="66"/>
      <c r="AM22" s="66"/>
      <c r="AN22" s="66"/>
      <c r="AO22" s="35"/>
      <c r="AP22" s="35"/>
      <c r="AQ22" s="67"/>
      <c r="AR22" s="67"/>
      <c r="AS22" s="67"/>
      <c r="AT22" s="68"/>
      <c r="AU22" s="67"/>
      <c r="AV22" s="68"/>
      <c r="AW22" s="67"/>
      <c r="AX22" s="130"/>
      <c r="AY22" s="35"/>
      <c r="AZ22" s="30"/>
    </row>
    <row r="23" spans="1:52" s="124" customFormat="1" x14ac:dyDescent="0.25">
      <c r="A23" s="16">
        <f t="shared" si="13"/>
        <v>15</v>
      </c>
      <c r="B23" s="586">
        <v>42461</v>
      </c>
      <c r="C23" s="424" t="s">
        <v>71</v>
      </c>
      <c r="D23" s="675">
        <v>1962</v>
      </c>
      <c r="E23" s="675">
        <v>1</v>
      </c>
      <c r="F23" s="675">
        <v>2</v>
      </c>
      <c r="G23" s="675">
        <v>7</v>
      </c>
      <c r="H23" s="676">
        <v>85.8</v>
      </c>
      <c r="I23" s="676">
        <v>0</v>
      </c>
      <c r="J23" s="676">
        <v>0</v>
      </c>
      <c r="K23" s="521">
        <v>3510.96</v>
      </c>
      <c r="L23" s="521">
        <v>3222.41</v>
      </c>
      <c r="M23" s="521">
        <f t="shared" si="0"/>
        <v>3510.96</v>
      </c>
      <c r="N23" s="521">
        <f t="shared" si="0"/>
        <v>3222.41</v>
      </c>
      <c r="O23" s="521">
        <f t="shared" si="1"/>
        <v>2180.0572085038657</v>
      </c>
      <c r="P23" s="524"/>
      <c r="Q23" s="521"/>
      <c r="R23" s="522"/>
      <c r="S23" s="522"/>
      <c r="T23" s="522">
        <f t="shared" si="2"/>
        <v>43.737839899336976</v>
      </c>
      <c r="U23" s="525"/>
      <c r="V23" s="522">
        <f t="shared" si="3"/>
        <v>1159.5795521806408</v>
      </c>
      <c r="W23" s="522"/>
      <c r="X23" s="522"/>
      <c r="Y23" s="522">
        <f t="shared" si="5"/>
        <v>0</v>
      </c>
      <c r="Z23" s="522">
        <f t="shared" si="6"/>
        <v>168.12099200452272</v>
      </c>
      <c r="AA23" s="522">
        <f t="shared" si="7"/>
        <v>808.61882441936507</v>
      </c>
      <c r="AB23" s="522"/>
      <c r="AC23" s="522">
        <f t="shared" si="8"/>
        <v>1330.9027914961343</v>
      </c>
      <c r="AD23" s="522">
        <f t="shared" si="9"/>
        <v>91.78145008772529</v>
      </c>
      <c r="AE23" s="522">
        <v>0</v>
      </c>
      <c r="AF23" s="522">
        <f t="shared" si="11"/>
        <v>4.2347653622841213</v>
      </c>
      <c r="AG23" s="523">
        <v>6.82</v>
      </c>
      <c r="AH23" s="467">
        <f t="shared" si="12"/>
        <v>288.55000000000018</v>
      </c>
      <c r="AI23" s="250"/>
      <c r="AJ23" s="250"/>
      <c r="AK23" s="35"/>
      <c r="AL23" s="66"/>
      <c r="AM23" s="66"/>
      <c r="AN23" s="66"/>
      <c r="AO23" s="35"/>
      <c r="AP23" s="35"/>
      <c r="AQ23" s="67"/>
      <c r="AR23" s="67"/>
      <c r="AS23" s="67"/>
      <c r="AT23" s="68"/>
      <c r="AU23" s="67"/>
      <c r="AV23" s="68"/>
      <c r="AW23" s="67"/>
      <c r="AX23" s="130"/>
      <c r="AY23" s="35"/>
      <c r="AZ23" s="30"/>
    </row>
    <row r="24" spans="1:52" s="124" customFormat="1" x14ac:dyDescent="0.25">
      <c r="A24" s="16">
        <f t="shared" si="13"/>
        <v>16</v>
      </c>
      <c r="B24" s="588"/>
      <c r="C24" s="424" t="s">
        <v>72</v>
      </c>
      <c r="D24" s="675">
        <v>1968</v>
      </c>
      <c r="E24" s="675">
        <v>2</v>
      </c>
      <c r="F24" s="675">
        <v>16</v>
      </c>
      <c r="G24" s="675">
        <v>36</v>
      </c>
      <c r="H24" s="676">
        <v>722.8</v>
      </c>
      <c r="I24" s="676">
        <v>1548.22</v>
      </c>
      <c r="J24" s="676">
        <v>1112.68</v>
      </c>
      <c r="K24" s="521">
        <v>35726.400000000001</v>
      </c>
      <c r="L24" s="521">
        <v>29299.279999999999</v>
      </c>
      <c r="M24" s="521">
        <f t="shared" si="0"/>
        <v>37274.620000000003</v>
      </c>
      <c r="N24" s="521">
        <f t="shared" si="0"/>
        <v>30411.96</v>
      </c>
      <c r="O24" s="521">
        <f t="shared" si="1"/>
        <v>36759.700021908131</v>
      </c>
      <c r="P24" s="524"/>
      <c r="Q24" s="521"/>
      <c r="R24" s="522"/>
      <c r="S24" s="522"/>
      <c r="T24" s="522">
        <f t="shared" si="2"/>
        <v>368.45816642471755</v>
      </c>
      <c r="U24" s="522">
        <v>2222.2199999999998</v>
      </c>
      <c r="V24" s="522">
        <f t="shared" si="3"/>
        <v>11799.508656614273</v>
      </c>
      <c r="W24" s="522"/>
      <c r="X24" s="522">
        <f t="shared" ref="X24:X26" si="14">266260.63/16358.47*H24</f>
        <v>11764.742262815531</v>
      </c>
      <c r="Y24" s="522">
        <f t="shared" si="5"/>
        <v>2376.4779370887372</v>
      </c>
      <c r="Z24" s="522">
        <f t="shared" si="6"/>
        <v>1416.2919932502218</v>
      </c>
      <c r="AA24" s="522">
        <f t="shared" si="7"/>
        <v>6812.001005714651</v>
      </c>
      <c r="AB24" s="522"/>
      <c r="AC24" s="522">
        <f t="shared" si="8"/>
        <v>514.9199780918716</v>
      </c>
      <c r="AD24" s="522">
        <f t="shared" si="9"/>
        <v>82.010166151641357</v>
      </c>
      <c r="AE24" s="522">
        <f t="shared" si="10"/>
        <v>71.868339124930571</v>
      </c>
      <c r="AF24" s="522">
        <f t="shared" si="11"/>
        <v>8.4762267159906219</v>
      </c>
      <c r="AG24" s="523">
        <v>8.27</v>
      </c>
      <c r="AH24" s="467">
        <f t="shared" si="12"/>
        <v>6862.6600000000035</v>
      </c>
      <c r="AI24" s="250"/>
      <c r="AJ24" s="250"/>
      <c r="AK24" s="35"/>
      <c r="AL24" s="66"/>
      <c r="AM24" s="66"/>
      <c r="AN24" s="66"/>
      <c r="AO24" s="35"/>
      <c r="AP24" s="35"/>
      <c r="AQ24" s="67"/>
      <c r="AR24" s="67"/>
      <c r="AS24" s="67"/>
      <c r="AT24" s="68"/>
      <c r="AU24" s="67"/>
      <c r="AV24" s="68"/>
      <c r="AW24" s="67"/>
      <c r="AX24" s="130"/>
      <c r="AY24" s="35"/>
      <c r="AZ24" s="30"/>
    </row>
    <row r="25" spans="1:52" s="124" customFormat="1" x14ac:dyDescent="0.25">
      <c r="A25" s="16">
        <f t="shared" si="13"/>
        <v>17</v>
      </c>
      <c r="B25" s="588"/>
      <c r="C25" s="424" t="s">
        <v>73</v>
      </c>
      <c r="D25" s="675">
        <v>1971</v>
      </c>
      <c r="E25" s="675">
        <v>2</v>
      </c>
      <c r="F25" s="675">
        <v>16</v>
      </c>
      <c r="G25" s="675">
        <v>47</v>
      </c>
      <c r="H25" s="676">
        <v>727.4</v>
      </c>
      <c r="I25" s="676">
        <v>1548.18</v>
      </c>
      <c r="J25" s="676">
        <v>1159.47</v>
      </c>
      <c r="K25" s="521">
        <v>36088.620000000003</v>
      </c>
      <c r="L25" s="521">
        <v>30746.93</v>
      </c>
      <c r="M25" s="521">
        <f t="shared" si="0"/>
        <v>37636.800000000003</v>
      </c>
      <c r="N25" s="521">
        <f t="shared" si="0"/>
        <v>31906.400000000001</v>
      </c>
      <c r="O25" s="521">
        <f t="shared" si="1"/>
        <v>37024.039568228858</v>
      </c>
      <c r="P25" s="524"/>
      <c r="Q25" s="521"/>
      <c r="R25" s="522"/>
      <c r="S25" s="522"/>
      <c r="T25" s="522">
        <f t="shared" si="2"/>
        <v>370.80308558015986</v>
      </c>
      <c r="U25" s="522">
        <v>2222.2199999999998</v>
      </c>
      <c r="V25" s="522">
        <f t="shared" si="3"/>
        <v>11919.140582181888</v>
      </c>
      <c r="W25" s="522"/>
      <c r="X25" s="522">
        <f t="shared" si="14"/>
        <v>11839.61472325957</v>
      </c>
      <c r="Y25" s="522">
        <f t="shared" si="5"/>
        <v>2391.6021740984334</v>
      </c>
      <c r="Z25" s="522">
        <f t="shared" si="6"/>
        <v>1425.3054730080401</v>
      </c>
      <c r="AA25" s="522">
        <f t="shared" si="7"/>
        <v>6855.3535301007705</v>
      </c>
      <c r="AB25" s="522"/>
      <c r="AC25" s="522">
        <f t="shared" si="8"/>
        <v>612.76043177114479</v>
      </c>
      <c r="AD25" s="522">
        <f t="shared" si="9"/>
        <v>85.198408805878415</v>
      </c>
      <c r="AE25" s="522">
        <f t="shared" si="10"/>
        <v>74.892454365771428</v>
      </c>
      <c r="AF25" s="522">
        <f t="shared" si="11"/>
        <v>8.4831911759299921</v>
      </c>
      <c r="AG25" s="523">
        <v>8.27</v>
      </c>
      <c r="AH25" s="467">
        <f t="shared" si="12"/>
        <v>5730.4000000000015</v>
      </c>
      <c r="AI25" s="250"/>
      <c r="AJ25" s="250"/>
      <c r="AK25" s="35"/>
      <c r="AL25" s="66"/>
      <c r="AM25" s="66"/>
      <c r="AN25" s="66"/>
      <c r="AO25" s="35"/>
      <c r="AP25" s="35"/>
      <c r="AQ25" s="67"/>
      <c r="AR25" s="67"/>
      <c r="AS25" s="67"/>
      <c r="AT25" s="68"/>
      <c r="AU25" s="67"/>
      <c r="AV25" s="68"/>
      <c r="AW25" s="67"/>
      <c r="AX25" s="130"/>
      <c r="AY25" s="35"/>
      <c r="AZ25" s="30"/>
    </row>
    <row r="26" spans="1:52" s="124" customFormat="1" x14ac:dyDescent="0.25">
      <c r="A26" s="16">
        <f t="shared" si="13"/>
        <v>18</v>
      </c>
      <c r="B26" s="588"/>
      <c r="C26" s="424" t="s">
        <v>74</v>
      </c>
      <c r="D26" s="675">
        <v>1960</v>
      </c>
      <c r="E26" s="675">
        <v>2</v>
      </c>
      <c r="F26" s="675">
        <v>16</v>
      </c>
      <c r="G26" s="675">
        <v>44</v>
      </c>
      <c r="H26" s="676">
        <v>724.7</v>
      </c>
      <c r="I26" s="676">
        <v>1522.33</v>
      </c>
      <c r="J26" s="676">
        <v>1308.8699999999999</v>
      </c>
      <c r="K26" s="521">
        <v>35959.68</v>
      </c>
      <c r="L26" s="521">
        <v>34311.879999999997</v>
      </c>
      <c r="M26" s="521">
        <f t="shared" si="0"/>
        <v>37482.01</v>
      </c>
      <c r="N26" s="521">
        <f t="shared" si="0"/>
        <v>35620.75</v>
      </c>
      <c r="O26" s="521">
        <f t="shared" si="1"/>
        <v>36865.43692941028</v>
      </c>
      <c r="P26" s="524"/>
      <c r="Q26" s="521"/>
      <c r="R26" s="522"/>
      <c r="S26" s="522"/>
      <c r="T26" s="522">
        <f t="shared" si="2"/>
        <v>369.426719988922</v>
      </c>
      <c r="U26" s="522">
        <v>2191.14</v>
      </c>
      <c r="V26" s="522">
        <f t="shared" si="3"/>
        <v>11876.555025109697</v>
      </c>
      <c r="W26" s="522"/>
      <c r="X26" s="522">
        <f t="shared" si="14"/>
        <v>11795.667844303289</v>
      </c>
      <c r="Y26" s="522">
        <f t="shared" si="5"/>
        <v>2382.7249045492645</v>
      </c>
      <c r="Z26" s="522">
        <f t="shared" si="6"/>
        <v>1420.014952280625</v>
      </c>
      <c r="AA26" s="522">
        <f t="shared" si="7"/>
        <v>6829.9074831784837</v>
      </c>
      <c r="AB26" s="522"/>
      <c r="AC26" s="522">
        <f t="shared" si="8"/>
        <v>616.57307058972219</v>
      </c>
      <c r="AD26" s="522">
        <f t="shared" si="9"/>
        <v>95.41764554078344</v>
      </c>
      <c r="AE26" s="522">
        <f t="shared" si="10"/>
        <v>85.978073085336291</v>
      </c>
      <c r="AF26" s="522">
        <f t="shared" si="11"/>
        <v>8.4783213581275643</v>
      </c>
      <c r="AG26" s="523">
        <v>8.27</v>
      </c>
      <c r="AH26" s="467">
        <f t="shared" si="12"/>
        <v>1861.260000000002</v>
      </c>
      <c r="AI26" s="250"/>
      <c r="AJ26" s="250"/>
      <c r="AK26" s="35"/>
      <c r="AL26" s="66"/>
      <c r="AM26" s="66"/>
      <c r="AN26" s="66"/>
      <c r="AO26" s="35"/>
      <c r="AP26" s="35"/>
      <c r="AQ26" s="67"/>
      <c r="AR26" s="67"/>
      <c r="AS26" s="67"/>
      <c r="AT26" s="68"/>
      <c r="AU26" s="67"/>
      <c r="AV26" s="68"/>
      <c r="AW26" s="67"/>
      <c r="AX26" s="130"/>
      <c r="AY26" s="35"/>
      <c r="AZ26" s="30"/>
    </row>
    <row r="27" spans="1:52" s="124" customFormat="1" x14ac:dyDescent="0.25">
      <c r="A27" s="16">
        <f t="shared" si="13"/>
        <v>19</v>
      </c>
      <c r="B27" s="587">
        <v>42491</v>
      </c>
      <c r="C27" s="424" t="s">
        <v>75</v>
      </c>
      <c r="D27" s="675">
        <v>1961</v>
      </c>
      <c r="E27" s="675">
        <v>1</v>
      </c>
      <c r="F27" s="675">
        <v>1</v>
      </c>
      <c r="G27" s="675">
        <v>1</v>
      </c>
      <c r="H27" s="770">
        <v>44</v>
      </c>
      <c r="I27" s="770">
        <v>0</v>
      </c>
      <c r="J27" s="770">
        <v>0</v>
      </c>
      <c r="K27" s="521">
        <v>1800.48</v>
      </c>
      <c r="L27" s="521">
        <v>0</v>
      </c>
      <c r="M27" s="521">
        <f t="shared" si="0"/>
        <v>1800.48</v>
      </c>
      <c r="N27" s="521">
        <f t="shared" si="0"/>
        <v>0</v>
      </c>
      <c r="O27" s="521">
        <f t="shared" si="1"/>
        <v>1117.9739907296125</v>
      </c>
      <c r="P27" s="524"/>
      <c r="Q27" s="521"/>
      <c r="R27" s="522"/>
      <c r="S27" s="522"/>
      <c r="T27" s="522">
        <f t="shared" si="2"/>
        <v>22.429661486839475</v>
      </c>
      <c r="U27" s="522"/>
      <c r="V27" s="522">
        <f t="shared" si="3"/>
        <v>594.65211569206144</v>
      </c>
      <c r="W27" s="522"/>
      <c r="X27" s="522"/>
      <c r="Y27" s="522">
        <f t="shared" si="5"/>
        <v>0</v>
      </c>
      <c r="Z27" s="522">
        <f t="shared" si="6"/>
        <v>86.21589333565268</v>
      </c>
      <c r="AA27" s="522">
        <f t="shared" si="7"/>
        <v>414.67632021505898</v>
      </c>
      <c r="AB27" s="522"/>
      <c r="AC27" s="522">
        <f t="shared" si="8"/>
        <v>682.50600927038749</v>
      </c>
      <c r="AD27" s="522">
        <f t="shared" si="9"/>
        <v>0</v>
      </c>
      <c r="AE27" s="522">
        <v>0</v>
      </c>
      <c r="AF27" s="522">
        <f t="shared" si="11"/>
        <v>4.2347499648848954</v>
      </c>
      <c r="AG27" s="523">
        <v>6.82</v>
      </c>
      <c r="AH27" s="467">
        <f t="shared" si="12"/>
        <v>1800.48</v>
      </c>
      <c r="AI27" s="250"/>
      <c r="AJ27" s="250"/>
      <c r="AK27" s="35"/>
      <c r="AL27" s="66"/>
      <c r="AM27" s="66"/>
      <c r="AN27" s="66"/>
      <c r="AO27" s="35"/>
      <c r="AP27" s="35"/>
      <c r="AQ27" s="67"/>
      <c r="AR27" s="67"/>
      <c r="AS27" s="67"/>
      <c r="AT27" s="68"/>
      <c r="AU27" s="67"/>
      <c r="AV27" s="30"/>
      <c r="AW27" s="67"/>
      <c r="AX27" s="130"/>
      <c r="AY27" s="35"/>
      <c r="AZ27" s="30"/>
    </row>
    <row r="28" spans="1:52" s="124" customFormat="1" x14ac:dyDescent="0.25">
      <c r="A28" s="16">
        <f t="shared" si="13"/>
        <v>20</v>
      </c>
      <c r="B28" s="586">
        <v>42461</v>
      </c>
      <c r="C28" s="424" t="s">
        <v>76</v>
      </c>
      <c r="D28" s="675">
        <v>1964</v>
      </c>
      <c r="E28" s="675">
        <v>1</v>
      </c>
      <c r="F28" s="675">
        <v>2</v>
      </c>
      <c r="G28" s="675">
        <v>3</v>
      </c>
      <c r="H28" s="770">
        <v>85</v>
      </c>
      <c r="I28" s="770">
        <v>0</v>
      </c>
      <c r="J28" s="770">
        <v>0</v>
      </c>
      <c r="K28" s="521">
        <v>1122</v>
      </c>
      <c r="L28" s="521">
        <v>1122</v>
      </c>
      <c r="M28" s="521">
        <f t="shared" si="0"/>
        <v>1122</v>
      </c>
      <c r="N28" s="521">
        <f t="shared" si="0"/>
        <v>1122</v>
      </c>
      <c r="O28" s="521">
        <f t="shared" si="1"/>
        <v>1381.5303805441345</v>
      </c>
      <c r="P28" s="524"/>
      <c r="Q28" s="521"/>
      <c r="R28" s="522"/>
      <c r="S28" s="522"/>
      <c r="T28" s="522">
        <f t="shared" si="2"/>
        <v>43.330027872303532</v>
      </c>
      <c r="U28" s="522"/>
      <c r="V28" s="522">
        <f t="shared" si="3"/>
        <v>370.56766740341072</v>
      </c>
      <c r="W28" s="522"/>
      <c r="X28" s="522"/>
      <c r="Y28" s="522">
        <f t="shared" si="5"/>
        <v>0</v>
      </c>
      <c r="Z28" s="522">
        <f t="shared" si="6"/>
        <v>166.55343030751087</v>
      </c>
      <c r="AA28" s="522">
        <f t="shared" si="7"/>
        <v>801.07925496090945</v>
      </c>
      <c r="AB28" s="522"/>
      <c r="AC28" s="522">
        <f t="shared" si="8"/>
        <v>-259.53038054413446</v>
      </c>
      <c r="AD28" s="522">
        <f t="shared" si="9"/>
        <v>100</v>
      </c>
      <c r="AE28" s="522">
        <v>0</v>
      </c>
      <c r="AF28" s="522">
        <f t="shared" si="11"/>
        <v>2.7088830991061461</v>
      </c>
      <c r="AG28" s="523">
        <v>2.2000000000000002</v>
      </c>
      <c r="AH28" s="467">
        <f t="shared" si="12"/>
        <v>0</v>
      </c>
      <c r="AI28" s="250"/>
      <c r="AJ28" s="250"/>
      <c r="AK28" s="35"/>
      <c r="AL28" s="66"/>
      <c r="AM28" s="66"/>
      <c r="AN28" s="66"/>
      <c r="AO28" s="35"/>
      <c r="AP28" s="35"/>
      <c r="AQ28" s="67"/>
      <c r="AR28" s="67"/>
      <c r="AS28" s="67"/>
      <c r="AT28" s="68"/>
      <c r="AU28" s="67"/>
      <c r="AV28" s="30"/>
      <c r="AW28" s="67"/>
      <c r="AX28" s="130"/>
      <c r="AY28" s="35"/>
      <c r="AZ28" s="30"/>
    </row>
    <row r="29" spans="1:52" s="124" customFormat="1" x14ac:dyDescent="0.25">
      <c r="A29" s="16">
        <f t="shared" si="13"/>
        <v>21</v>
      </c>
      <c r="B29" s="587">
        <v>42491</v>
      </c>
      <c r="C29" s="424" t="s">
        <v>77</v>
      </c>
      <c r="D29" s="675">
        <v>1962</v>
      </c>
      <c r="E29" s="675">
        <v>1</v>
      </c>
      <c r="F29" s="675">
        <v>2</v>
      </c>
      <c r="G29" s="675">
        <v>6</v>
      </c>
      <c r="H29" s="770">
        <v>88</v>
      </c>
      <c r="I29" s="770">
        <v>0</v>
      </c>
      <c r="J29" s="770">
        <v>0</v>
      </c>
      <c r="K29" s="521">
        <v>3600.96</v>
      </c>
      <c r="L29" s="521">
        <v>1860.85</v>
      </c>
      <c r="M29" s="521">
        <f t="shared" si="0"/>
        <v>3600.96</v>
      </c>
      <c r="N29" s="521">
        <f t="shared" si="0"/>
        <v>1860.85</v>
      </c>
      <c r="O29" s="521">
        <f t="shared" si="1"/>
        <v>2235.947981459225</v>
      </c>
      <c r="P29" s="524"/>
      <c r="Q29" s="521"/>
      <c r="R29" s="522"/>
      <c r="S29" s="522"/>
      <c r="T29" s="522">
        <f t="shared" si="2"/>
        <v>44.85932297367895</v>
      </c>
      <c r="U29" s="522"/>
      <c r="V29" s="522">
        <f t="shared" si="3"/>
        <v>1189.3042313841229</v>
      </c>
      <c r="W29" s="522"/>
      <c r="X29" s="522"/>
      <c r="Y29" s="522">
        <f t="shared" si="5"/>
        <v>0</v>
      </c>
      <c r="Z29" s="522">
        <f t="shared" si="6"/>
        <v>172.43178667130536</v>
      </c>
      <c r="AA29" s="522">
        <f t="shared" si="7"/>
        <v>829.35264043011796</v>
      </c>
      <c r="AB29" s="522"/>
      <c r="AC29" s="522">
        <f t="shared" si="8"/>
        <v>1365.012018540775</v>
      </c>
      <c r="AD29" s="522">
        <f t="shared" si="9"/>
        <v>51.676497378476846</v>
      </c>
      <c r="AE29" s="522">
        <v>0</v>
      </c>
      <c r="AF29" s="522">
        <f t="shared" si="11"/>
        <v>4.2347499648848954</v>
      </c>
      <c r="AG29" s="523">
        <v>6.82</v>
      </c>
      <c r="AH29" s="467">
        <f t="shared" si="12"/>
        <v>1740.1100000000001</v>
      </c>
      <c r="AI29" s="250"/>
      <c r="AJ29" s="250"/>
      <c r="AK29" s="35"/>
      <c r="AL29" s="66"/>
      <c r="AM29" s="66"/>
      <c r="AN29" s="66"/>
      <c r="AO29" s="35"/>
      <c r="AP29" s="35"/>
      <c r="AQ29" s="67"/>
      <c r="AR29" s="67"/>
      <c r="AS29" s="67"/>
      <c r="AT29" s="68"/>
      <c r="AU29" s="67"/>
      <c r="AV29" s="68"/>
      <c r="AW29" s="67"/>
      <c r="AX29" s="130"/>
      <c r="AY29" s="35"/>
      <c r="AZ29" s="30"/>
    </row>
    <row r="30" spans="1:52" s="124" customFormat="1" x14ac:dyDescent="0.25">
      <c r="A30" s="16">
        <f t="shared" si="13"/>
        <v>22</v>
      </c>
      <c r="B30" s="586">
        <v>42461</v>
      </c>
      <c r="C30" s="424" t="s">
        <v>78</v>
      </c>
      <c r="D30" s="675">
        <v>1964</v>
      </c>
      <c r="E30" s="675">
        <v>1</v>
      </c>
      <c r="F30" s="675">
        <v>4</v>
      </c>
      <c r="G30" s="675">
        <v>6</v>
      </c>
      <c r="H30" s="770">
        <v>102.7</v>
      </c>
      <c r="I30" s="770">
        <v>0</v>
      </c>
      <c r="J30" s="770">
        <v>0</v>
      </c>
      <c r="K30" s="521">
        <v>4202.46</v>
      </c>
      <c r="L30" s="521">
        <v>3740.76</v>
      </c>
      <c r="M30" s="521">
        <f t="shared" si="0"/>
        <v>4202.46</v>
      </c>
      <c r="N30" s="521">
        <f t="shared" si="0"/>
        <v>3740.76</v>
      </c>
      <c r="O30" s="521">
        <f t="shared" si="1"/>
        <v>2609.4450017809522</v>
      </c>
      <c r="P30" s="524"/>
      <c r="Q30" s="521"/>
      <c r="R30" s="522"/>
      <c r="S30" s="522"/>
      <c r="T30" s="522">
        <f t="shared" si="2"/>
        <v>52.352868970418506</v>
      </c>
      <c r="U30" s="522"/>
      <c r="V30" s="522">
        <f t="shared" si="3"/>
        <v>1387.9641707273954</v>
      </c>
      <c r="W30" s="522"/>
      <c r="X30" s="522"/>
      <c r="Y30" s="522">
        <f t="shared" si="5"/>
        <v>0</v>
      </c>
      <c r="Z30" s="522">
        <f t="shared" si="6"/>
        <v>201.23573285389844</v>
      </c>
      <c r="AA30" s="522">
        <f t="shared" si="7"/>
        <v>967.89222922924</v>
      </c>
      <c r="AB30" s="522"/>
      <c r="AC30" s="522">
        <f t="shared" si="8"/>
        <v>1593.0149982190478</v>
      </c>
      <c r="AD30" s="522">
        <f t="shared" si="9"/>
        <v>89.013577761596778</v>
      </c>
      <c r="AE30" s="522">
        <v>0</v>
      </c>
      <c r="AF30" s="522">
        <f t="shared" si="11"/>
        <v>4.2347371012349111</v>
      </c>
      <c r="AG30" s="523">
        <v>6.82</v>
      </c>
      <c r="AH30" s="467">
        <f t="shared" si="12"/>
        <v>461.69999999999982</v>
      </c>
      <c r="AI30" s="250"/>
      <c r="AJ30" s="250"/>
      <c r="AK30" s="35"/>
      <c r="AL30" s="66"/>
      <c r="AM30" s="66"/>
      <c r="AN30" s="66"/>
      <c r="AO30" s="35"/>
      <c r="AP30" s="35"/>
      <c r="AQ30" s="67"/>
      <c r="AR30" s="67"/>
      <c r="AS30" s="67"/>
      <c r="AT30" s="68"/>
      <c r="AU30" s="67"/>
      <c r="AV30" s="68"/>
      <c r="AW30" s="67"/>
      <c r="AX30" s="130"/>
      <c r="AY30" s="35"/>
      <c r="AZ30" s="30"/>
    </row>
    <row r="31" spans="1:52" s="124" customFormat="1" x14ac:dyDescent="0.25">
      <c r="A31" s="16">
        <v>23</v>
      </c>
      <c r="B31" s="587">
        <v>42491</v>
      </c>
      <c r="C31" s="424" t="s">
        <v>79</v>
      </c>
      <c r="D31" s="675">
        <v>1961</v>
      </c>
      <c r="E31" s="675">
        <v>1</v>
      </c>
      <c r="F31" s="675">
        <v>2</v>
      </c>
      <c r="G31" s="675">
        <v>4</v>
      </c>
      <c r="H31" s="770">
        <v>44</v>
      </c>
      <c r="I31" s="770">
        <v>0</v>
      </c>
      <c r="J31" s="770">
        <v>0</v>
      </c>
      <c r="K31" s="521">
        <v>1500.4</v>
      </c>
      <c r="L31" s="521">
        <v>1500.4</v>
      </c>
      <c r="M31" s="521">
        <f t="shared" si="0"/>
        <v>1500.4</v>
      </c>
      <c r="N31" s="521">
        <f t="shared" si="0"/>
        <v>1500.4</v>
      </c>
      <c r="O31" s="521">
        <f t="shared" si="1"/>
        <v>1018.8653047809357</v>
      </c>
      <c r="P31" s="524"/>
      <c r="Q31" s="521"/>
      <c r="R31" s="522"/>
      <c r="S31" s="522"/>
      <c r="T31" s="522">
        <f t="shared" si="2"/>
        <v>22.429661486839475</v>
      </c>
      <c r="U31" s="522"/>
      <c r="V31" s="522">
        <f t="shared" si="3"/>
        <v>495.54342974338459</v>
      </c>
      <c r="W31" s="522"/>
      <c r="X31" s="522"/>
      <c r="Y31" s="522">
        <f t="shared" si="5"/>
        <v>0</v>
      </c>
      <c r="Z31" s="522">
        <f t="shared" si="6"/>
        <v>86.21589333565268</v>
      </c>
      <c r="AA31" s="522">
        <f t="shared" si="7"/>
        <v>414.67632021505898</v>
      </c>
      <c r="AB31" s="522"/>
      <c r="AC31" s="522">
        <f t="shared" si="8"/>
        <v>481.53469521906436</v>
      </c>
      <c r="AD31" s="522">
        <f t="shared" si="9"/>
        <v>100</v>
      </c>
      <c r="AE31" s="522">
        <v>0</v>
      </c>
      <c r="AF31" s="522">
        <f t="shared" si="11"/>
        <v>3.8593382756853623</v>
      </c>
      <c r="AG31" s="523">
        <v>6.82</v>
      </c>
      <c r="AH31" s="467">
        <f t="shared" si="12"/>
        <v>0</v>
      </c>
      <c r="AI31" s="250"/>
      <c r="AJ31" s="250"/>
      <c r="AK31" s="35"/>
      <c r="AL31" s="66"/>
      <c r="AM31" s="66"/>
      <c r="AN31" s="66"/>
      <c r="AO31" s="35"/>
      <c r="AP31" s="35"/>
      <c r="AQ31" s="67"/>
      <c r="AR31" s="67"/>
      <c r="AS31" s="67"/>
      <c r="AT31" s="68"/>
      <c r="AU31" s="67"/>
      <c r="AV31" s="67"/>
      <c r="AW31" s="67"/>
      <c r="AX31" s="130"/>
      <c r="AY31" s="35"/>
      <c r="AZ31" s="30"/>
    </row>
    <row r="32" spans="1:52" s="124" customFormat="1" x14ac:dyDescent="0.25">
      <c r="A32" s="16">
        <v>24</v>
      </c>
      <c r="B32" s="586">
        <v>42461</v>
      </c>
      <c r="C32" s="424" t="s">
        <v>80</v>
      </c>
      <c r="D32" s="675">
        <v>1961</v>
      </c>
      <c r="E32" s="675">
        <v>1</v>
      </c>
      <c r="F32" s="675">
        <v>2</v>
      </c>
      <c r="G32" s="675">
        <v>4</v>
      </c>
      <c r="H32" s="770">
        <v>108.1</v>
      </c>
      <c r="I32" s="770">
        <v>0</v>
      </c>
      <c r="J32" s="770">
        <v>0</v>
      </c>
      <c r="K32" s="521">
        <v>4423.4399999999996</v>
      </c>
      <c r="L32" s="521">
        <v>1800.48</v>
      </c>
      <c r="M32" s="521">
        <f t="shared" si="0"/>
        <v>4423.4399999999996</v>
      </c>
      <c r="N32" s="521">
        <f t="shared" si="0"/>
        <v>1800.48</v>
      </c>
      <c r="O32" s="521">
        <f t="shared" si="1"/>
        <v>2746.6548639337834</v>
      </c>
      <c r="P32" s="524"/>
      <c r="Q32" s="521"/>
      <c r="R32" s="522"/>
      <c r="S32" s="522"/>
      <c r="T32" s="522">
        <f t="shared" si="2"/>
        <v>55.105600152894255</v>
      </c>
      <c r="U32" s="522"/>
      <c r="V32" s="522">
        <f t="shared" si="3"/>
        <v>1460.9481663983449</v>
      </c>
      <c r="W32" s="522"/>
      <c r="X32" s="522"/>
      <c r="Y32" s="522">
        <f t="shared" si="5"/>
        <v>0</v>
      </c>
      <c r="Z32" s="522">
        <f t="shared" si="6"/>
        <v>211.81677430872853</v>
      </c>
      <c r="AA32" s="522">
        <f t="shared" si="7"/>
        <v>1018.7843230738154</v>
      </c>
      <c r="AB32" s="522"/>
      <c r="AC32" s="522">
        <f t="shared" si="8"/>
        <v>1676.7851360662162</v>
      </c>
      <c r="AD32" s="522">
        <f t="shared" si="9"/>
        <v>40.703163149042375</v>
      </c>
      <c r="AE32" s="522">
        <v>0</v>
      </c>
      <c r="AF32" s="522">
        <f t="shared" si="11"/>
        <v>4.2347438543536597</v>
      </c>
      <c r="AG32" s="523">
        <v>6.82</v>
      </c>
      <c r="AH32" s="467">
        <f t="shared" si="12"/>
        <v>2622.9599999999996</v>
      </c>
      <c r="AI32" s="250"/>
      <c r="AJ32" s="250"/>
      <c r="AK32" s="35"/>
      <c r="AL32" s="66"/>
      <c r="AM32" s="66"/>
      <c r="AN32" s="66"/>
      <c r="AO32" s="35"/>
      <c r="AP32" s="35"/>
      <c r="AQ32" s="67"/>
      <c r="AR32" s="67"/>
      <c r="AS32" s="67"/>
      <c r="AT32" s="68"/>
      <c r="AU32" s="67"/>
      <c r="AV32" s="67"/>
      <c r="AW32" s="67"/>
      <c r="AX32" s="130"/>
      <c r="AY32" s="35"/>
      <c r="AZ32" s="30"/>
    </row>
    <row r="33" spans="1:52" s="124" customFormat="1" x14ac:dyDescent="0.25">
      <c r="A33" s="16">
        <v>25</v>
      </c>
      <c r="B33" s="588"/>
      <c r="C33" s="424" t="s">
        <v>81</v>
      </c>
      <c r="D33" s="675">
        <v>1961</v>
      </c>
      <c r="E33" s="675">
        <v>1</v>
      </c>
      <c r="F33" s="675">
        <v>2</v>
      </c>
      <c r="G33" s="675">
        <v>13</v>
      </c>
      <c r="H33" s="770">
        <v>102.4</v>
      </c>
      <c r="I33" s="770">
        <v>0</v>
      </c>
      <c r="J33" s="770">
        <v>0</v>
      </c>
      <c r="K33" s="521">
        <v>4190.22</v>
      </c>
      <c r="L33" s="521">
        <v>4817.75</v>
      </c>
      <c r="M33" s="521">
        <f t="shared" si="0"/>
        <v>4190.22</v>
      </c>
      <c r="N33" s="521">
        <f t="shared" si="0"/>
        <v>4817.75</v>
      </c>
      <c r="O33" s="521">
        <f t="shared" si="1"/>
        <v>2601.8343417158412</v>
      </c>
      <c r="P33" s="524"/>
      <c r="Q33" s="521"/>
      <c r="R33" s="522"/>
      <c r="S33" s="522"/>
      <c r="T33" s="522">
        <f t="shared" si="2"/>
        <v>52.199939460280966</v>
      </c>
      <c r="U33" s="522"/>
      <c r="V33" s="522">
        <f t="shared" si="3"/>
        <v>1383.9216143557219</v>
      </c>
      <c r="W33" s="522"/>
      <c r="X33" s="522"/>
      <c r="Y33" s="522">
        <f t="shared" si="5"/>
        <v>0</v>
      </c>
      <c r="Z33" s="522">
        <f t="shared" si="6"/>
        <v>200.64789721751899</v>
      </c>
      <c r="AA33" s="522">
        <f t="shared" si="7"/>
        <v>965.06489068231917</v>
      </c>
      <c r="AB33" s="522"/>
      <c r="AC33" s="522">
        <f t="shared" si="8"/>
        <v>1588.385658284159</v>
      </c>
      <c r="AD33" s="522">
        <f t="shared" si="9"/>
        <v>114.97606330932504</v>
      </c>
      <c r="AE33" s="522">
        <v>0</v>
      </c>
      <c r="AF33" s="522">
        <f t="shared" si="11"/>
        <v>4.234756415553127</v>
      </c>
      <c r="AG33" s="523">
        <v>6.82</v>
      </c>
      <c r="AH33" s="467">
        <f t="shared" si="12"/>
        <v>-627.52999999999975</v>
      </c>
      <c r="AI33" s="250"/>
      <c r="AJ33" s="250"/>
      <c r="AK33" s="35"/>
      <c r="AL33" s="66"/>
      <c r="AM33" s="66"/>
      <c r="AN33" s="66"/>
      <c r="AO33" s="35"/>
      <c r="AP33" s="35"/>
      <c r="AQ33" s="67"/>
      <c r="AR33" s="67"/>
      <c r="AS33" s="67"/>
      <c r="AT33" s="68"/>
      <c r="AU33" s="67"/>
      <c r="AV33" s="67"/>
      <c r="AW33" s="67"/>
      <c r="AX33" s="130"/>
      <c r="AY33" s="35"/>
      <c r="AZ33" s="30"/>
    </row>
    <row r="34" spans="1:52" s="124" customFormat="1" x14ac:dyDescent="0.25">
      <c r="A34" s="16">
        <v>26</v>
      </c>
      <c r="B34" s="586">
        <v>42461</v>
      </c>
      <c r="C34" s="424" t="s">
        <v>82</v>
      </c>
      <c r="D34" s="675">
        <v>1962</v>
      </c>
      <c r="E34" s="675">
        <v>1</v>
      </c>
      <c r="F34" s="675">
        <v>2</v>
      </c>
      <c r="G34" s="675">
        <v>6</v>
      </c>
      <c r="H34" s="770">
        <v>85.7</v>
      </c>
      <c r="I34" s="770">
        <v>0</v>
      </c>
      <c r="J34" s="770">
        <v>0</v>
      </c>
      <c r="K34" s="521">
        <v>3506.82</v>
      </c>
      <c r="L34" s="521">
        <v>3506.82</v>
      </c>
      <c r="M34" s="521">
        <f t="shared" si="0"/>
        <v>3506.82</v>
      </c>
      <c r="N34" s="521">
        <f t="shared" si="0"/>
        <v>3506.82</v>
      </c>
      <c r="O34" s="521">
        <f t="shared" si="1"/>
        <v>2177.5005053626928</v>
      </c>
      <c r="P34" s="524"/>
      <c r="Q34" s="521"/>
      <c r="R34" s="522"/>
      <c r="S34" s="522"/>
      <c r="T34" s="522">
        <f t="shared" si="2"/>
        <v>43.686863395957801</v>
      </c>
      <c r="U34" s="522"/>
      <c r="V34" s="522">
        <f t="shared" si="3"/>
        <v>1158.2122169372808</v>
      </c>
      <c r="W34" s="522"/>
      <c r="X34" s="522"/>
      <c r="Y34" s="522">
        <f t="shared" si="5"/>
        <v>0</v>
      </c>
      <c r="Z34" s="522">
        <f t="shared" si="6"/>
        <v>167.92504679239624</v>
      </c>
      <c r="AA34" s="522">
        <f t="shared" si="7"/>
        <v>807.67637823705809</v>
      </c>
      <c r="AB34" s="522"/>
      <c r="AC34" s="522">
        <f t="shared" si="8"/>
        <v>1329.3194946373073</v>
      </c>
      <c r="AD34" s="522">
        <f t="shared" si="9"/>
        <v>100</v>
      </c>
      <c r="AE34" s="522">
        <v>0</v>
      </c>
      <c r="AF34" s="522">
        <f t="shared" si="11"/>
        <v>4.234734549519044</v>
      </c>
      <c r="AG34" s="523">
        <v>6.82</v>
      </c>
      <c r="AH34" s="467">
        <f t="shared" si="12"/>
        <v>0</v>
      </c>
      <c r="AI34" s="250"/>
      <c r="AJ34" s="250"/>
      <c r="AK34" s="35"/>
      <c r="AL34" s="66"/>
      <c r="AM34" s="66"/>
      <c r="AN34" s="66"/>
      <c r="AO34" s="35"/>
      <c r="AP34" s="35"/>
      <c r="AQ34" s="67"/>
      <c r="AR34" s="67"/>
      <c r="AS34" s="67"/>
      <c r="AT34" s="68"/>
      <c r="AU34" s="67"/>
      <c r="AV34" s="67"/>
      <c r="AW34" s="67"/>
      <c r="AX34" s="130"/>
      <c r="AY34" s="35"/>
      <c r="AZ34" s="30"/>
    </row>
    <row r="35" spans="1:52" s="124" customFormat="1" x14ac:dyDescent="0.25">
      <c r="A35" s="16">
        <v>27</v>
      </c>
      <c r="B35" s="587">
        <v>42491</v>
      </c>
      <c r="C35" s="424" t="s">
        <v>83</v>
      </c>
      <c r="D35" s="675">
        <v>1940</v>
      </c>
      <c r="E35" s="675">
        <v>1</v>
      </c>
      <c r="F35" s="675">
        <v>1</v>
      </c>
      <c r="G35" s="675">
        <v>4</v>
      </c>
      <c r="H35" s="770">
        <v>53.56</v>
      </c>
      <c r="I35" s="770">
        <v>0</v>
      </c>
      <c r="J35" s="770">
        <v>0</v>
      </c>
      <c r="K35" s="521">
        <v>706.98</v>
      </c>
      <c r="L35" s="521">
        <v>-6.86</v>
      </c>
      <c r="M35" s="521">
        <f t="shared" si="0"/>
        <v>706.98</v>
      </c>
      <c r="N35" s="521">
        <f t="shared" si="0"/>
        <v>-6.86</v>
      </c>
      <c r="O35" s="521">
        <f t="shared" si="1"/>
        <v>870.52270943819076</v>
      </c>
      <c r="P35" s="524"/>
      <c r="Q35" s="521"/>
      <c r="R35" s="522"/>
      <c r="S35" s="522"/>
      <c r="T35" s="522">
        <f t="shared" si="2"/>
        <v>27.303015209889146</v>
      </c>
      <c r="U35" s="522"/>
      <c r="V35" s="522">
        <f t="shared" si="3"/>
        <v>233.49726336975343</v>
      </c>
      <c r="W35" s="522"/>
      <c r="X35" s="522"/>
      <c r="Y35" s="522">
        <f t="shared" si="5"/>
        <v>0</v>
      </c>
      <c r="Z35" s="522">
        <f t="shared" si="6"/>
        <v>104.9482556149445</v>
      </c>
      <c r="AA35" s="522">
        <f t="shared" si="7"/>
        <v>504.77417524360368</v>
      </c>
      <c r="AB35" s="522"/>
      <c r="AC35" s="522">
        <f t="shared" si="8"/>
        <v>-163.54270943819074</v>
      </c>
      <c r="AD35" s="522">
        <f t="shared" si="9"/>
        <v>-0.97032447876884786</v>
      </c>
      <c r="AE35" s="522">
        <v>0</v>
      </c>
      <c r="AF35" s="522">
        <f t="shared" si="11"/>
        <v>2.7088707662378351</v>
      </c>
      <c r="AG35" s="523">
        <v>2.2000000000000002</v>
      </c>
      <c r="AH35" s="467">
        <f t="shared" si="12"/>
        <v>713.84</v>
      </c>
      <c r="AI35" s="250"/>
      <c r="AJ35" s="250"/>
      <c r="AK35" s="35"/>
      <c r="AL35" s="66"/>
      <c r="AM35" s="66"/>
      <c r="AN35" s="66"/>
      <c r="AO35" s="35"/>
      <c r="AP35" s="35"/>
      <c r="AQ35" s="67"/>
      <c r="AR35" s="67"/>
      <c r="AS35" s="67"/>
      <c r="AT35" s="68"/>
      <c r="AU35" s="67"/>
      <c r="AV35" s="67"/>
      <c r="AW35" s="67"/>
      <c r="AX35" s="130"/>
      <c r="AY35" s="35"/>
      <c r="AZ35" s="30"/>
    </row>
    <row r="36" spans="1:52" s="124" customFormat="1" x14ac:dyDescent="0.25">
      <c r="A36" s="16">
        <f t="shared" si="13"/>
        <v>28</v>
      </c>
      <c r="B36" s="587">
        <v>42491</v>
      </c>
      <c r="C36" s="424" t="s">
        <v>84</v>
      </c>
      <c r="D36" s="675">
        <v>1963</v>
      </c>
      <c r="E36" s="675">
        <v>1</v>
      </c>
      <c r="F36" s="675">
        <v>2</v>
      </c>
      <c r="G36" s="675">
        <v>8</v>
      </c>
      <c r="H36" s="770">
        <v>88</v>
      </c>
      <c r="I36" s="770">
        <v>0</v>
      </c>
      <c r="J36" s="770">
        <v>0</v>
      </c>
      <c r="K36" s="521">
        <v>3600.96</v>
      </c>
      <c r="L36" s="521">
        <v>3600.96</v>
      </c>
      <c r="M36" s="521">
        <f t="shared" si="0"/>
        <v>3600.96</v>
      </c>
      <c r="N36" s="521">
        <f t="shared" si="0"/>
        <v>3600.96</v>
      </c>
      <c r="O36" s="521">
        <f t="shared" si="1"/>
        <v>2235.947981459225</v>
      </c>
      <c r="P36" s="524"/>
      <c r="Q36" s="521"/>
      <c r="R36" s="522"/>
      <c r="S36" s="522"/>
      <c r="T36" s="522">
        <f t="shared" si="2"/>
        <v>44.85932297367895</v>
      </c>
      <c r="U36" s="522"/>
      <c r="V36" s="522">
        <f t="shared" si="3"/>
        <v>1189.3042313841229</v>
      </c>
      <c r="W36" s="522"/>
      <c r="X36" s="522"/>
      <c r="Y36" s="522">
        <f t="shared" si="5"/>
        <v>0</v>
      </c>
      <c r="Z36" s="522">
        <f t="shared" si="6"/>
        <v>172.43178667130536</v>
      </c>
      <c r="AA36" s="522">
        <f t="shared" si="7"/>
        <v>829.35264043011796</v>
      </c>
      <c r="AB36" s="522"/>
      <c r="AC36" s="522">
        <f t="shared" si="8"/>
        <v>1365.012018540775</v>
      </c>
      <c r="AD36" s="522">
        <f t="shared" si="9"/>
        <v>100</v>
      </c>
      <c r="AE36" s="522">
        <v>0</v>
      </c>
      <c r="AF36" s="522">
        <f t="shared" si="11"/>
        <v>4.2347499648848954</v>
      </c>
      <c r="AG36" s="523">
        <v>6.82</v>
      </c>
      <c r="AH36" s="467">
        <f t="shared" si="12"/>
        <v>0</v>
      </c>
      <c r="AI36" s="250"/>
      <c r="AJ36" s="250"/>
      <c r="AK36" s="35"/>
      <c r="AL36" s="66"/>
      <c r="AM36" s="66"/>
      <c r="AN36" s="66"/>
      <c r="AO36" s="35"/>
      <c r="AP36" s="35"/>
      <c r="AQ36" s="67"/>
      <c r="AR36" s="67"/>
      <c r="AS36" s="67"/>
      <c r="AT36" s="68"/>
      <c r="AU36" s="67"/>
      <c r="AV36" s="67"/>
      <c r="AW36" s="67"/>
      <c r="AX36" s="130"/>
      <c r="AY36" s="35"/>
      <c r="AZ36" s="30"/>
    </row>
    <row r="37" spans="1:52" s="124" customFormat="1" ht="13.5" customHeight="1" x14ac:dyDescent="0.25">
      <c r="A37" s="16">
        <f t="shared" si="13"/>
        <v>29</v>
      </c>
      <c r="B37" s="587">
        <v>42491</v>
      </c>
      <c r="C37" s="424" t="s">
        <v>85</v>
      </c>
      <c r="D37" s="675">
        <v>1962</v>
      </c>
      <c r="E37" s="675">
        <v>1</v>
      </c>
      <c r="F37" s="675">
        <v>1</v>
      </c>
      <c r="G37" s="675">
        <v>2</v>
      </c>
      <c r="H37" s="770">
        <v>44</v>
      </c>
      <c r="I37" s="770">
        <v>0</v>
      </c>
      <c r="J37" s="770">
        <v>0</v>
      </c>
      <c r="K37" s="521">
        <v>1800.48</v>
      </c>
      <c r="L37" s="521">
        <v>972.13</v>
      </c>
      <c r="M37" s="521">
        <f t="shared" si="0"/>
        <v>1800.48</v>
      </c>
      <c r="N37" s="521">
        <f t="shared" si="0"/>
        <v>972.13</v>
      </c>
      <c r="O37" s="521">
        <f t="shared" si="1"/>
        <v>1117.9739907296125</v>
      </c>
      <c r="P37" s="524"/>
      <c r="Q37" s="521"/>
      <c r="R37" s="522"/>
      <c r="S37" s="522"/>
      <c r="T37" s="522">
        <f t="shared" si="2"/>
        <v>22.429661486839475</v>
      </c>
      <c r="U37" s="522"/>
      <c r="V37" s="522">
        <f t="shared" si="3"/>
        <v>594.65211569206144</v>
      </c>
      <c r="W37" s="522"/>
      <c r="X37" s="522"/>
      <c r="Y37" s="522">
        <f t="shared" si="5"/>
        <v>0</v>
      </c>
      <c r="Z37" s="522">
        <f t="shared" si="6"/>
        <v>86.21589333565268</v>
      </c>
      <c r="AA37" s="522">
        <f t="shared" si="7"/>
        <v>414.67632021505898</v>
      </c>
      <c r="AB37" s="522"/>
      <c r="AC37" s="522">
        <f t="shared" si="8"/>
        <v>682.50600927038749</v>
      </c>
      <c r="AD37" s="522">
        <f t="shared" si="9"/>
        <v>53.992824135786009</v>
      </c>
      <c r="AE37" s="522">
        <v>0</v>
      </c>
      <c r="AF37" s="522">
        <f t="shared" si="11"/>
        <v>4.2347499648848954</v>
      </c>
      <c r="AG37" s="523">
        <v>6.82</v>
      </c>
      <c r="AH37" s="467">
        <f t="shared" si="12"/>
        <v>828.35</v>
      </c>
      <c r="AI37" s="250"/>
      <c r="AJ37" s="250"/>
      <c r="AK37" s="35"/>
      <c r="AL37" s="66"/>
      <c r="AM37" s="66"/>
      <c r="AN37" s="66"/>
      <c r="AO37" s="35"/>
      <c r="AP37" s="35"/>
      <c r="AQ37" s="67"/>
      <c r="AR37" s="67"/>
      <c r="AS37" s="67"/>
      <c r="AT37" s="68"/>
      <c r="AU37" s="67"/>
      <c r="AV37" s="67"/>
      <c r="AW37" s="67"/>
      <c r="AX37" s="130"/>
      <c r="AY37" s="35"/>
      <c r="AZ37" s="30"/>
    </row>
    <row r="38" spans="1:52" s="124" customFormat="1" x14ac:dyDescent="0.25">
      <c r="A38" s="16">
        <f t="shared" si="13"/>
        <v>30</v>
      </c>
      <c r="B38" s="587">
        <v>42491</v>
      </c>
      <c r="C38" s="424" t="s">
        <v>86</v>
      </c>
      <c r="D38" s="675">
        <v>1943</v>
      </c>
      <c r="E38" s="675">
        <v>1</v>
      </c>
      <c r="F38" s="675">
        <v>2</v>
      </c>
      <c r="G38" s="675">
        <v>4</v>
      </c>
      <c r="H38" s="770">
        <v>31.3</v>
      </c>
      <c r="I38" s="770">
        <v>0</v>
      </c>
      <c r="J38" s="770">
        <v>0</v>
      </c>
      <c r="K38" s="521">
        <v>413.16</v>
      </c>
      <c r="L38" s="521">
        <v>413.16</v>
      </c>
      <c r="M38" s="521">
        <f t="shared" si="0"/>
        <v>413.16</v>
      </c>
      <c r="N38" s="521">
        <f t="shared" si="0"/>
        <v>413.16</v>
      </c>
      <c r="O38" s="521">
        <f t="shared" si="1"/>
        <v>508.72824601213426</v>
      </c>
      <c r="P38" s="524"/>
      <c r="Q38" s="521"/>
      <c r="R38" s="522"/>
      <c r="S38" s="522"/>
      <c r="T38" s="522">
        <f t="shared" si="2"/>
        <v>15.955645557683537</v>
      </c>
      <c r="U38" s="522"/>
      <c r="V38" s="522">
        <f t="shared" si="3"/>
        <v>136.45609399678537</v>
      </c>
      <c r="W38" s="522"/>
      <c r="X38" s="522"/>
      <c r="Y38" s="522">
        <f t="shared" si="5"/>
        <v>0</v>
      </c>
      <c r="Z38" s="522">
        <f t="shared" si="6"/>
        <v>61.330851395589299</v>
      </c>
      <c r="AA38" s="522">
        <f t="shared" si="7"/>
        <v>294.98565506207609</v>
      </c>
      <c r="AB38" s="522"/>
      <c r="AC38" s="522">
        <f t="shared" si="8"/>
        <v>-95.568246012134239</v>
      </c>
      <c r="AD38" s="522">
        <f t="shared" si="9"/>
        <v>100</v>
      </c>
      <c r="AE38" s="522">
        <v>0</v>
      </c>
      <c r="AF38" s="522">
        <f t="shared" si="11"/>
        <v>2.7088830991061461</v>
      </c>
      <c r="AG38" s="523">
        <v>2.2000000000000002</v>
      </c>
      <c r="AH38" s="467">
        <f t="shared" si="12"/>
        <v>0</v>
      </c>
      <c r="AI38" s="250"/>
      <c r="AJ38" s="250"/>
      <c r="AK38" s="35"/>
      <c r="AL38" s="66"/>
      <c r="AM38" s="66"/>
      <c r="AN38" s="66"/>
      <c r="AO38" s="35"/>
      <c r="AP38" s="35"/>
      <c r="AQ38" s="67"/>
      <c r="AR38" s="67"/>
      <c r="AS38" s="67"/>
      <c r="AT38" s="68"/>
      <c r="AU38" s="67"/>
      <c r="AV38" s="67"/>
      <c r="AW38" s="67"/>
      <c r="AX38" s="130"/>
      <c r="AY38" s="35"/>
      <c r="AZ38" s="30"/>
    </row>
    <row r="39" spans="1:52" s="124" customFormat="1" x14ac:dyDescent="0.25">
      <c r="A39" s="16">
        <f t="shared" si="13"/>
        <v>31</v>
      </c>
      <c r="B39" s="586">
        <v>42461</v>
      </c>
      <c r="C39" s="424" t="s">
        <v>87</v>
      </c>
      <c r="D39" s="675">
        <v>1943</v>
      </c>
      <c r="E39" s="675">
        <v>1</v>
      </c>
      <c r="F39" s="675">
        <v>1</v>
      </c>
      <c r="G39" s="675">
        <v>1</v>
      </c>
      <c r="H39" s="770">
        <v>22</v>
      </c>
      <c r="I39" s="770">
        <v>0</v>
      </c>
      <c r="J39" s="770">
        <v>0</v>
      </c>
      <c r="K39" s="521">
        <v>604.55999999999995</v>
      </c>
      <c r="L39" s="521">
        <v>1108.3599999999999</v>
      </c>
      <c r="M39" s="521">
        <f t="shared" si="0"/>
        <v>604.55999999999995</v>
      </c>
      <c r="N39" s="521">
        <f t="shared" si="0"/>
        <v>1108.3599999999999</v>
      </c>
      <c r="O39" s="521">
        <f t="shared" si="1"/>
        <v>461.33151595496622</v>
      </c>
      <c r="P39" s="524"/>
      <c r="Q39" s="521"/>
      <c r="R39" s="522"/>
      <c r="S39" s="522"/>
      <c r="T39" s="522">
        <f t="shared" si="2"/>
        <v>11.214830743419737</v>
      </c>
      <c r="U39" s="522"/>
      <c r="V39" s="522">
        <f t="shared" si="3"/>
        <v>199.67057843619071</v>
      </c>
      <c r="W39" s="522"/>
      <c r="X39" s="522"/>
      <c r="Y39" s="522">
        <f t="shared" si="5"/>
        <v>0</v>
      </c>
      <c r="Z39" s="522">
        <f t="shared" si="6"/>
        <v>43.10794666782634</v>
      </c>
      <c r="AA39" s="522">
        <f t="shared" si="7"/>
        <v>207.33816010752949</v>
      </c>
      <c r="AB39" s="522"/>
      <c r="AC39" s="522">
        <f t="shared" si="8"/>
        <v>143.22848404503372</v>
      </c>
      <c r="AD39" s="522">
        <f t="shared" si="9"/>
        <v>183.33333333333331</v>
      </c>
      <c r="AE39" s="522">
        <v>0</v>
      </c>
      <c r="AF39" s="522">
        <f t="shared" si="11"/>
        <v>3.4949357269315624</v>
      </c>
      <c r="AG39" s="523">
        <v>4.58</v>
      </c>
      <c r="AH39" s="467">
        <f t="shared" si="12"/>
        <v>-503.79999999999995</v>
      </c>
      <c r="AI39" s="250"/>
      <c r="AJ39" s="250"/>
      <c r="AK39" s="35"/>
      <c r="AL39" s="66"/>
      <c r="AM39" s="66"/>
      <c r="AN39" s="66"/>
      <c r="AO39" s="35"/>
      <c r="AP39" s="35"/>
      <c r="AQ39" s="67"/>
      <c r="AR39" s="67"/>
      <c r="AS39" s="67"/>
      <c r="AT39" s="68"/>
      <c r="AU39" s="67"/>
      <c r="AV39" s="67"/>
      <c r="AW39" s="67"/>
      <c r="AX39" s="130"/>
      <c r="AY39" s="35"/>
      <c r="AZ39" s="30"/>
    </row>
    <row r="40" spans="1:52" s="124" customFormat="1" x14ac:dyDescent="0.25">
      <c r="A40" s="257">
        <v>32</v>
      </c>
      <c r="B40" s="589"/>
      <c r="C40" s="526" t="s">
        <v>88</v>
      </c>
      <c r="D40" s="813">
        <v>1969</v>
      </c>
      <c r="E40" s="813">
        <v>2</v>
      </c>
      <c r="F40" s="813">
        <v>16</v>
      </c>
      <c r="G40" s="813">
        <v>34</v>
      </c>
      <c r="H40" s="689">
        <v>649.16</v>
      </c>
      <c r="I40" s="689">
        <v>1584.61</v>
      </c>
      <c r="J40" s="689">
        <v>1424.12</v>
      </c>
      <c r="K40" s="527">
        <v>32149.17</v>
      </c>
      <c r="L40" s="527">
        <v>30809.61</v>
      </c>
      <c r="M40" s="521">
        <f t="shared" si="0"/>
        <v>33733.78</v>
      </c>
      <c r="N40" s="521">
        <f t="shared" si="0"/>
        <v>32233.73</v>
      </c>
      <c r="O40" s="521">
        <f t="shared" si="1"/>
        <v>33308.272938420501</v>
      </c>
      <c r="P40" s="528"/>
      <c r="Q40" s="521"/>
      <c r="R40" s="522"/>
      <c r="S40" s="529"/>
      <c r="T40" s="522">
        <f t="shared" si="2"/>
        <v>330.91906933628894</v>
      </c>
      <c r="U40" s="529">
        <v>2268.84</v>
      </c>
      <c r="V40" s="522">
        <f t="shared" si="3"/>
        <v>10618.041832313467</v>
      </c>
      <c r="W40" s="522"/>
      <c r="X40" s="522">
        <f t="shared" ref="X40" si="15">266260.63/16358.47*H40</f>
        <v>10566.131830837479</v>
      </c>
      <c r="Y40" s="522">
        <f t="shared" si="5"/>
        <v>2134.3586298291712</v>
      </c>
      <c r="Z40" s="522">
        <f t="shared" si="6"/>
        <v>1271.9979390402793</v>
      </c>
      <c r="AA40" s="522">
        <f t="shared" si="7"/>
        <v>6117.9836370638113</v>
      </c>
      <c r="AB40" s="522"/>
      <c r="AC40" s="522">
        <f t="shared" si="8"/>
        <v>425.50706157949753</v>
      </c>
      <c r="AD40" s="522">
        <f t="shared" si="9"/>
        <v>95.833298340205985</v>
      </c>
      <c r="AE40" s="522">
        <f t="shared" si="10"/>
        <v>89.871955875578209</v>
      </c>
      <c r="AF40" s="522">
        <f t="shared" si="11"/>
        <v>8.55163414731358</v>
      </c>
      <c r="AG40" s="530">
        <v>8.27</v>
      </c>
      <c r="AH40" s="467">
        <f t="shared" si="12"/>
        <v>1500.0499999999993</v>
      </c>
      <c r="AI40" s="250"/>
      <c r="AJ40" s="250"/>
      <c r="AK40" s="35"/>
      <c r="AL40" s="66"/>
      <c r="AM40" s="66"/>
      <c r="AN40" s="66"/>
      <c r="AO40" s="35"/>
      <c r="AP40" s="35"/>
      <c r="AQ40" s="67"/>
      <c r="AR40" s="67"/>
      <c r="AS40" s="67"/>
      <c r="AT40" s="68"/>
      <c r="AU40" s="67"/>
      <c r="AV40" s="68"/>
      <c r="AW40" s="67"/>
      <c r="AX40" s="130"/>
      <c r="AY40" s="35"/>
      <c r="AZ40" s="30"/>
    </row>
    <row r="41" spans="1:52" s="34" customFormat="1" x14ac:dyDescent="0.25">
      <c r="A41" s="386"/>
      <c r="B41" s="386"/>
      <c r="C41" s="531" t="s">
        <v>89</v>
      </c>
      <c r="D41" s="815"/>
      <c r="E41" s="387">
        <f t="shared" ref="E41:AC41" si="16">SUM(E10:E40)</f>
        <v>53</v>
      </c>
      <c r="F41" s="387">
        <f t="shared" si="16"/>
        <v>337</v>
      </c>
      <c r="G41" s="387">
        <f t="shared" si="16"/>
        <v>1035</v>
      </c>
      <c r="H41" s="387">
        <f t="shared" si="16"/>
        <v>17476.130000000005</v>
      </c>
      <c r="I41" s="387">
        <f>SUM(I10:I40)</f>
        <v>41961.01</v>
      </c>
      <c r="J41" s="387">
        <f>SUM(J10:J40)</f>
        <v>34182.620000000003</v>
      </c>
      <c r="K41" s="537">
        <f t="shared" si="16"/>
        <v>870759.1399999999</v>
      </c>
      <c r="L41" s="537">
        <f t="shared" si="16"/>
        <v>799104.49000000011</v>
      </c>
      <c r="M41" s="537">
        <f t="shared" si="16"/>
        <v>912720.14999999979</v>
      </c>
      <c r="N41" s="537">
        <f t="shared" si="16"/>
        <v>833287.11</v>
      </c>
      <c r="O41" s="537">
        <f t="shared" si="16"/>
        <v>865019.52726</v>
      </c>
      <c r="P41" s="535">
        <f t="shared" si="16"/>
        <v>1576.2199999999998</v>
      </c>
      <c r="Q41" s="537">
        <f t="shared" si="16"/>
        <v>0</v>
      </c>
      <c r="R41" s="537">
        <f t="shared" si="16"/>
        <v>0</v>
      </c>
      <c r="S41" s="537">
        <f t="shared" si="16"/>
        <v>3291.3</v>
      </c>
      <c r="T41" s="537">
        <f t="shared" si="16"/>
        <v>8908.720000000003</v>
      </c>
      <c r="U41" s="537">
        <f t="shared" si="16"/>
        <v>44661.960000000006</v>
      </c>
      <c r="V41" s="537">
        <f t="shared" si="16"/>
        <v>287589.28999999986</v>
      </c>
      <c r="W41" s="537">
        <f t="shared" si="16"/>
        <v>0</v>
      </c>
      <c r="X41" s="537">
        <f t="shared" si="16"/>
        <v>266260.63</v>
      </c>
      <c r="Y41" s="537">
        <f t="shared" si="16"/>
        <v>53784.647260000012</v>
      </c>
      <c r="Z41" s="537">
        <f t="shared" si="16"/>
        <v>34243.640000000007</v>
      </c>
      <c r="AA41" s="537">
        <f t="shared" si="16"/>
        <v>164703.11999999994</v>
      </c>
      <c r="AB41" s="537">
        <f t="shared" si="16"/>
        <v>0</v>
      </c>
      <c r="AC41" s="535">
        <f t="shared" si="16"/>
        <v>47700.62274000005</v>
      </c>
      <c r="AD41" s="539">
        <f t="shared" si="9"/>
        <v>91.771013738655697</v>
      </c>
      <c r="AE41" s="539">
        <f t="shared" si="10"/>
        <v>81.462815122896231</v>
      </c>
      <c r="AF41" s="539">
        <f>O41/H41/6</f>
        <v>8.2495335757973844</v>
      </c>
      <c r="AG41" s="387"/>
      <c r="AH41" s="1027">
        <f t="shared" si="12"/>
        <v>79433.039999999804</v>
      </c>
      <c r="AI41" s="250" t="s">
        <v>180</v>
      </c>
      <c r="AJ41" s="250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127"/>
      <c r="AY41" s="83"/>
      <c r="AZ41" s="86"/>
    </row>
    <row r="42" spans="1:52" x14ac:dyDescent="0.25">
      <c r="C42" s="816"/>
      <c r="D42" s="816"/>
      <c r="E42" s="816"/>
      <c r="F42" s="816"/>
      <c r="G42" s="816"/>
      <c r="H42" s="817"/>
      <c r="I42" s="817"/>
      <c r="J42" s="817"/>
      <c r="K42" s="816"/>
      <c r="L42" s="816"/>
      <c r="M42" s="816"/>
      <c r="N42" s="816"/>
      <c r="O42" s="816"/>
      <c r="P42" s="818" t="s">
        <v>180</v>
      </c>
      <c r="Q42" s="819"/>
      <c r="R42" s="816"/>
      <c r="S42" s="816" t="s">
        <v>180</v>
      </c>
      <c r="T42" s="816" t="s">
        <v>180</v>
      </c>
      <c r="U42" s="816" t="s">
        <v>180</v>
      </c>
      <c r="V42" s="816" t="s">
        <v>180</v>
      </c>
      <c r="W42" s="816"/>
      <c r="X42" s="820">
        <f>X41+Y41</f>
        <v>320045.27726</v>
      </c>
      <c r="Y42" s="816"/>
      <c r="Z42" s="816" t="s">
        <v>180</v>
      </c>
      <c r="AA42" s="816"/>
      <c r="AB42" s="816"/>
      <c r="AC42" s="816"/>
      <c r="AD42" s="816"/>
      <c r="AE42" s="816"/>
      <c r="AF42" s="532"/>
      <c r="AG42" s="533"/>
      <c r="AH42" s="9"/>
      <c r="AI42" s="9"/>
      <c r="AJ42" s="9"/>
      <c r="AK42" s="9"/>
      <c r="AL42" s="9"/>
      <c r="AM42" s="9"/>
      <c r="AN42" s="9"/>
      <c r="AO42" s="9"/>
      <c r="AP42" s="86"/>
      <c r="AQ42" s="9"/>
      <c r="AR42" s="9"/>
      <c r="AS42" s="9"/>
      <c r="AT42" s="9"/>
      <c r="AU42" s="9"/>
      <c r="AV42" s="9"/>
      <c r="AW42" s="9"/>
      <c r="AX42" s="128"/>
      <c r="AY42" s="9"/>
      <c r="AZ42" s="9"/>
    </row>
    <row r="43" spans="1:52" x14ac:dyDescent="0.25">
      <c r="C43" s="821" t="s">
        <v>579</v>
      </c>
      <c r="D43" s="816"/>
      <c r="E43" s="816"/>
      <c r="F43" s="816"/>
      <c r="G43" s="816"/>
      <c r="H43" s="816"/>
      <c r="I43" s="816"/>
      <c r="J43" s="816"/>
      <c r="K43" s="816"/>
      <c r="L43" s="816"/>
      <c r="M43" s="816"/>
      <c r="N43" s="816"/>
      <c r="O43" s="816"/>
      <c r="P43" s="822"/>
      <c r="Q43" s="823"/>
      <c r="R43" s="823"/>
      <c r="S43" s="816"/>
      <c r="T43" s="816"/>
      <c r="U43" s="816"/>
      <c r="V43" s="816"/>
      <c r="W43" s="816"/>
      <c r="X43" s="816"/>
      <c r="Y43" s="816"/>
      <c r="Z43" s="816"/>
      <c r="AA43" s="816"/>
      <c r="AB43" s="816"/>
      <c r="AC43" s="816"/>
      <c r="AD43" s="816"/>
      <c r="AE43" s="816"/>
      <c r="AF43" s="532"/>
      <c r="AG43" s="532"/>
      <c r="AH43" s="9"/>
      <c r="AI43" s="9"/>
      <c r="AJ43" s="9"/>
      <c r="AK43" s="9"/>
      <c r="AL43" s="9"/>
      <c r="AM43" s="9"/>
      <c r="AN43" s="9"/>
      <c r="AO43" s="9"/>
      <c r="AP43" s="86"/>
      <c r="AQ43" s="9"/>
      <c r="AR43" s="9"/>
      <c r="AS43" s="9"/>
      <c r="AT43" s="9"/>
      <c r="AU43" s="9"/>
      <c r="AV43" s="9"/>
      <c r="AW43" s="9"/>
      <c r="AX43" s="128"/>
      <c r="AY43" s="9"/>
      <c r="AZ43" s="9"/>
    </row>
    <row r="44" spans="1:52" x14ac:dyDescent="0.25">
      <c r="C44" s="816"/>
      <c r="D44" s="816"/>
      <c r="E44" s="816"/>
      <c r="F44" s="816"/>
      <c r="G44" s="816"/>
      <c r="H44" s="816"/>
      <c r="I44" s="816"/>
      <c r="J44" s="816"/>
      <c r="K44" s="816"/>
      <c r="L44" s="816"/>
      <c r="M44" s="816"/>
      <c r="N44" s="816"/>
      <c r="O44" s="816"/>
      <c r="P44" s="816"/>
      <c r="Q44" s="816"/>
      <c r="R44" s="816"/>
      <c r="S44" s="816"/>
      <c r="T44" s="816"/>
      <c r="U44" s="816"/>
      <c r="V44" s="816"/>
      <c r="W44" s="816"/>
      <c r="X44" s="816"/>
      <c r="Y44" s="816"/>
      <c r="Z44" s="816"/>
      <c r="AA44" s="816"/>
      <c r="AB44" s="816"/>
      <c r="AC44" s="816"/>
      <c r="AD44" s="816"/>
      <c r="AE44" s="816"/>
      <c r="AF44" s="532"/>
      <c r="AG44" s="532"/>
      <c r="AH44" s="9"/>
      <c r="AI44" s="9"/>
      <c r="AJ44" s="9"/>
      <c r="AK44" s="9"/>
      <c r="AL44" s="9"/>
      <c r="AM44" s="9"/>
      <c r="AN44" s="9"/>
      <c r="AO44" s="9"/>
      <c r="AP44" s="86"/>
      <c r="AQ44" s="9"/>
      <c r="AR44" s="9"/>
      <c r="AS44" s="9"/>
      <c r="AT44" s="9"/>
      <c r="AU44" s="9"/>
      <c r="AV44" s="9"/>
      <c r="AW44" s="9"/>
      <c r="AX44" s="128"/>
      <c r="AY44" s="9"/>
      <c r="AZ44" s="9"/>
    </row>
    <row r="45" spans="1:52" ht="18" x14ac:dyDescent="0.25">
      <c r="A45" s="9"/>
      <c r="B45" s="9"/>
      <c r="C45" s="824"/>
      <c r="D45" s="824"/>
      <c r="E45" s="824"/>
      <c r="F45" s="824"/>
      <c r="G45" s="824"/>
      <c r="H45" s="824"/>
      <c r="I45" s="824"/>
      <c r="J45" s="824"/>
      <c r="K45" s="824"/>
      <c r="L45" s="824"/>
      <c r="M45" s="824"/>
      <c r="N45" s="824"/>
      <c r="O45" s="824"/>
      <c r="P45" s="824"/>
      <c r="Q45" s="824"/>
      <c r="R45" s="816"/>
      <c r="S45" s="816"/>
      <c r="T45" s="816"/>
      <c r="U45" s="816"/>
      <c r="V45" s="816"/>
      <c r="W45" s="816"/>
      <c r="X45" s="816"/>
      <c r="Y45" s="816"/>
      <c r="Z45" s="816"/>
      <c r="AA45" s="816"/>
      <c r="AB45" s="816"/>
      <c r="AC45" s="816"/>
      <c r="AD45" s="816"/>
      <c r="AE45" s="816"/>
      <c r="AF45" s="532"/>
      <c r="AG45" s="532"/>
      <c r="AH45" s="9"/>
      <c r="AI45" s="9"/>
      <c r="AJ45" s="9"/>
      <c r="AK45" s="9"/>
      <c r="AL45" s="9"/>
      <c r="AM45" s="9"/>
      <c r="AN45" s="9"/>
      <c r="AO45" s="9"/>
      <c r="AP45" s="86"/>
      <c r="AQ45" s="9"/>
      <c r="AR45" s="9"/>
      <c r="AS45" s="9"/>
      <c r="AT45" s="9"/>
      <c r="AU45" s="9"/>
      <c r="AV45" s="9"/>
      <c r="AW45" s="9"/>
      <c r="AX45" s="128"/>
      <c r="AY45" s="9"/>
      <c r="AZ45" s="9"/>
    </row>
    <row r="46" spans="1:52" ht="18.75" x14ac:dyDescent="0.3">
      <c r="C46" s="2205" t="s">
        <v>633</v>
      </c>
      <c r="D46" s="2206"/>
      <c r="E46" s="2206"/>
      <c r="F46" s="2206"/>
      <c r="G46" s="2206"/>
      <c r="H46" s="2206"/>
      <c r="I46" s="2206"/>
      <c r="J46" s="2206"/>
      <c r="K46" s="2206"/>
      <c r="L46" s="2206"/>
      <c r="M46" s="2206"/>
      <c r="N46" s="2206"/>
      <c r="O46" s="2206"/>
      <c r="P46" s="2206"/>
      <c r="Q46" s="2206"/>
      <c r="R46" s="816"/>
      <c r="S46" s="816"/>
      <c r="T46" s="816"/>
      <c r="U46" s="816"/>
      <c r="V46" s="816"/>
      <c r="W46" s="816"/>
      <c r="X46" s="816"/>
      <c r="Y46" s="816"/>
      <c r="Z46" s="816"/>
      <c r="AA46" s="816"/>
      <c r="AB46" s="816"/>
      <c r="AC46" s="816"/>
      <c r="AD46" s="816"/>
      <c r="AE46" s="816"/>
      <c r="AF46" s="532"/>
      <c r="AG46" s="532"/>
    </row>
    <row r="47" spans="1:52" ht="21.75" customHeight="1" x14ac:dyDescent="0.25">
      <c r="C47" s="825" t="s">
        <v>53</v>
      </c>
      <c r="D47" s="825"/>
      <c r="E47" s="825"/>
      <c r="F47" s="825"/>
      <c r="G47" s="825"/>
      <c r="H47" s="825"/>
      <c r="I47" s="825"/>
      <c r="J47" s="825"/>
      <c r="K47" s="825"/>
      <c r="L47" s="825"/>
      <c r="M47" s="825"/>
      <c r="N47" s="825"/>
      <c r="O47" s="825"/>
      <c r="P47" s="825"/>
      <c r="Q47" s="825"/>
      <c r="R47" s="816"/>
      <c r="S47" s="816"/>
      <c r="T47" s="816"/>
      <c r="U47" s="816"/>
      <c r="V47" s="816"/>
      <c r="W47" s="816"/>
      <c r="X47" s="816"/>
      <c r="Y47" s="816"/>
      <c r="Z47" s="816"/>
      <c r="AA47" s="816"/>
      <c r="AB47" s="816"/>
      <c r="AC47" s="816"/>
      <c r="AD47" s="816"/>
      <c r="AE47" s="816"/>
      <c r="AF47" s="532"/>
      <c r="AG47" s="532"/>
      <c r="AH47" s="2193"/>
      <c r="AI47" s="2193"/>
      <c r="AJ47" s="2193"/>
      <c r="AK47" s="2193"/>
      <c r="AL47" s="1220"/>
      <c r="AM47" s="1220"/>
      <c r="AN47" s="1220"/>
      <c r="AO47" s="1220"/>
      <c r="AP47" s="78"/>
      <c r="AQ47" s="1220"/>
      <c r="AR47" s="1221"/>
      <c r="AS47" s="1221"/>
      <c r="AT47" s="2192"/>
      <c r="AU47" s="2192"/>
      <c r="AV47" s="2192"/>
      <c r="AW47" s="2192"/>
      <c r="AX47" s="1218"/>
      <c r="AY47" s="1219"/>
    </row>
    <row r="48" spans="1:52" s="124" customFormat="1" ht="18" x14ac:dyDescent="0.25">
      <c r="A48"/>
      <c r="B48"/>
      <c r="C48" s="825"/>
      <c r="D48" s="825"/>
      <c r="E48" s="825"/>
      <c r="F48" s="825"/>
      <c r="G48" s="825"/>
      <c r="H48" s="825"/>
      <c r="I48" s="825"/>
      <c r="J48" s="825"/>
      <c r="K48" s="825"/>
      <c r="L48" s="825"/>
      <c r="M48" s="825"/>
      <c r="N48" s="825"/>
      <c r="O48" s="825"/>
      <c r="P48" s="825"/>
      <c r="Q48" s="825"/>
      <c r="R48" s="816"/>
      <c r="S48" s="816"/>
      <c r="T48" s="816"/>
      <c r="U48" s="816"/>
      <c r="V48" s="816"/>
      <c r="W48" s="816"/>
      <c r="X48" s="816"/>
      <c r="Y48" s="816"/>
      <c r="Z48" s="816"/>
      <c r="AA48" s="816"/>
      <c r="AB48" s="816"/>
      <c r="AC48" s="816"/>
      <c r="AD48" s="816"/>
      <c r="AE48" s="816"/>
      <c r="AF48" s="534"/>
      <c r="AG48" s="534"/>
      <c r="AH48" s="66"/>
      <c r="AI48" s="66"/>
      <c r="AJ48" s="66"/>
      <c r="AK48" s="66"/>
      <c r="AL48" s="66"/>
      <c r="AM48" s="66"/>
      <c r="AN48" s="66"/>
      <c r="AO48" s="30"/>
      <c r="AP48" s="35"/>
      <c r="AQ48" s="30"/>
      <c r="AR48" s="67"/>
      <c r="AS48" s="67"/>
      <c r="AT48" s="68"/>
      <c r="AU48" s="67"/>
      <c r="AV48" s="68"/>
      <c r="AW48" s="67"/>
      <c r="AX48" s="126"/>
      <c r="AY48" s="35"/>
    </row>
    <row r="49" spans="1:51" s="124" customFormat="1" ht="27.75" customHeight="1" x14ac:dyDescent="0.25">
      <c r="A49" s="2017" t="s">
        <v>0</v>
      </c>
      <c r="B49" s="2020"/>
      <c r="C49" s="2197" t="s">
        <v>184</v>
      </c>
      <c r="D49" s="2197" t="s">
        <v>54</v>
      </c>
      <c r="E49" s="2197" t="s">
        <v>55</v>
      </c>
      <c r="F49" s="2197" t="s">
        <v>56</v>
      </c>
      <c r="G49" s="2197" t="s">
        <v>57</v>
      </c>
      <c r="H49" s="2197" t="s">
        <v>6</v>
      </c>
      <c r="I49" s="969"/>
      <c r="J49" s="969"/>
      <c r="K49" s="2198" t="s">
        <v>284</v>
      </c>
      <c r="L49" s="2199"/>
      <c r="M49" s="972"/>
      <c r="N49" s="972"/>
      <c r="O49" s="2186" t="s">
        <v>457</v>
      </c>
      <c r="P49" s="2197" t="s">
        <v>370</v>
      </c>
      <c r="Q49" s="2186" t="s">
        <v>460</v>
      </c>
      <c r="R49" s="2186" t="s">
        <v>459</v>
      </c>
      <c r="S49" s="2186" t="s">
        <v>314</v>
      </c>
      <c r="T49" s="2186"/>
      <c r="U49" s="2188" t="s">
        <v>375</v>
      </c>
      <c r="V49" s="2186" t="s">
        <v>175</v>
      </c>
      <c r="W49" s="2186" t="s">
        <v>183</v>
      </c>
      <c r="X49" s="2188" t="s">
        <v>182</v>
      </c>
      <c r="Y49" s="2190" t="s">
        <v>544</v>
      </c>
      <c r="Z49" s="2184" t="s">
        <v>566</v>
      </c>
      <c r="AA49" s="816"/>
      <c r="AB49" s="816"/>
      <c r="AC49" s="816"/>
      <c r="AD49" s="816"/>
      <c r="AE49" s="816"/>
      <c r="AF49" s="534"/>
      <c r="AG49" s="534"/>
      <c r="AH49" s="66"/>
      <c r="AI49" s="66"/>
      <c r="AJ49" s="66"/>
      <c r="AK49" s="35"/>
      <c r="AL49" s="66"/>
      <c r="AM49" s="66"/>
      <c r="AN49" s="66"/>
      <c r="AO49" s="30"/>
      <c r="AP49" s="35"/>
      <c r="AQ49" s="30"/>
      <c r="AR49" s="67"/>
      <c r="AS49" s="67"/>
      <c r="AT49" s="68"/>
      <c r="AU49" s="67"/>
      <c r="AV49" s="68"/>
      <c r="AW49" s="67"/>
      <c r="AX49" s="126"/>
      <c r="AY49" s="35"/>
    </row>
    <row r="50" spans="1:51" s="124" customFormat="1" ht="15" customHeight="1" x14ac:dyDescent="0.25">
      <c r="A50" s="2017"/>
      <c r="B50" s="2021"/>
      <c r="C50" s="2197"/>
      <c r="D50" s="2197"/>
      <c r="E50" s="2197"/>
      <c r="F50" s="2197"/>
      <c r="G50" s="2197"/>
      <c r="H50" s="2197"/>
      <c r="I50" s="970"/>
      <c r="J50" s="970"/>
      <c r="K50" s="826" t="s">
        <v>15</v>
      </c>
      <c r="L50" s="827" t="s">
        <v>16</v>
      </c>
      <c r="M50" s="973"/>
      <c r="N50" s="973"/>
      <c r="O50" s="2187"/>
      <c r="P50" s="2197"/>
      <c r="Q50" s="2187"/>
      <c r="R50" s="2187"/>
      <c r="S50" s="2187"/>
      <c r="T50" s="2187"/>
      <c r="U50" s="2189"/>
      <c r="V50" s="2187"/>
      <c r="W50" s="2187"/>
      <c r="X50" s="2189"/>
      <c r="Y50" s="2191"/>
      <c r="Z50" s="2185"/>
      <c r="AA50" s="816"/>
      <c r="AB50" s="816"/>
      <c r="AC50" s="816"/>
      <c r="AD50" s="816"/>
      <c r="AE50" s="816"/>
      <c r="AF50" s="534"/>
      <c r="AG50" s="534"/>
      <c r="AH50" s="66"/>
      <c r="AI50" s="66"/>
      <c r="AJ50" s="66"/>
      <c r="AK50" s="35"/>
      <c r="AL50" s="66"/>
      <c r="AM50" s="66"/>
      <c r="AN50" s="66"/>
      <c r="AO50" s="30"/>
      <c r="AP50" s="35"/>
      <c r="AQ50" s="30"/>
      <c r="AR50" s="67"/>
      <c r="AS50" s="67"/>
      <c r="AT50" s="68"/>
      <c r="AU50" s="67"/>
      <c r="AV50" s="68"/>
      <c r="AW50" s="67"/>
      <c r="AX50" s="126"/>
      <c r="AY50" s="35"/>
    </row>
    <row r="51" spans="1:51" s="124" customFormat="1" x14ac:dyDescent="0.25">
      <c r="A51" s="16">
        <v>1</v>
      </c>
      <c r="B51" s="574">
        <v>42491</v>
      </c>
      <c r="C51" s="424" t="s">
        <v>58</v>
      </c>
      <c r="D51" s="675">
        <v>1976</v>
      </c>
      <c r="E51" s="675">
        <v>3</v>
      </c>
      <c r="F51" s="675">
        <v>24</v>
      </c>
      <c r="G51" s="675">
        <v>97</v>
      </c>
      <c r="H51" s="676">
        <v>1461.2</v>
      </c>
      <c r="I51" s="951"/>
      <c r="J51" s="951"/>
      <c r="K51" s="541">
        <v>48193.440000000002</v>
      </c>
      <c r="L51" s="521">
        <v>41422.97</v>
      </c>
      <c r="M51" s="974"/>
      <c r="N51" s="974"/>
      <c r="O51" s="521">
        <f>P51+Q51+R51+S51+U51</f>
        <v>0</v>
      </c>
      <c r="P51" s="524"/>
      <c r="Q51" s="521"/>
      <c r="R51" s="522"/>
      <c r="S51" s="522"/>
      <c r="T51" s="522"/>
      <c r="U51" s="522"/>
      <c r="V51" s="522">
        <f>K51-O51</f>
        <v>48193.440000000002</v>
      </c>
      <c r="W51" s="522">
        <f>L51/K51*100</f>
        <v>85.951469743599958</v>
      </c>
      <c r="X51" s="522">
        <f>O51/H51/6</f>
        <v>0</v>
      </c>
      <c r="Y51" s="522">
        <v>5.5</v>
      </c>
      <c r="Z51" s="525">
        <f>K51-L51</f>
        <v>6770.4700000000012</v>
      </c>
      <c r="AA51" s="816"/>
      <c r="AB51" s="816"/>
      <c r="AC51" s="816"/>
      <c r="AD51" s="816"/>
      <c r="AE51" s="816"/>
      <c r="AF51" s="534"/>
      <c r="AG51" s="534"/>
      <c r="AH51" s="66"/>
      <c r="AI51" s="66"/>
      <c r="AJ51" s="66"/>
      <c r="AK51" s="35"/>
      <c r="AL51" s="66"/>
      <c r="AM51" s="66"/>
      <c r="AN51" s="66"/>
      <c r="AO51" s="30"/>
      <c r="AP51" s="35"/>
      <c r="AQ51" s="30"/>
      <c r="AR51" s="67"/>
      <c r="AS51" s="67"/>
      <c r="AT51" s="68"/>
      <c r="AU51" s="67"/>
      <c r="AV51" s="68"/>
      <c r="AW51" s="67"/>
      <c r="AX51" s="126"/>
      <c r="AY51" s="35"/>
    </row>
    <row r="52" spans="1:51" s="124" customFormat="1" x14ac:dyDescent="0.25">
      <c r="A52" s="16">
        <v>2</v>
      </c>
      <c r="B52" s="16"/>
      <c r="C52" s="424" t="s">
        <v>59</v>
      </c>
      <c r="D52" s="675">
        <v>1977</v>
      </c>
      <c r="E52" s="675">
        <v>3</v>
      </c>
      <c r="F52" s="675">
        <v>24</v>
      </c>
      <c r="G52" s="675">
        <v>81</v>
      </c>
      <c r="H52" s="676">
        <v>1456.7</v>
      </c>
      <c r="I52" s="951"/>
      <c r="J52" s="951"/>
      <c r="K52" s="541">
        <v>48071.23</v>
      </c>
      <c r="L52" s="521">
        <v>46199.82</v>
      </c>
      <c r="M52" s="974"/>
      <c r="N52" s="974"/>
      <c r="O52" s="521">
        <f t="shared" ref="O52:O64" si="17">P52+Q52+R52+S52+U52</f>
        <v>87112.09</v>
      </c>
      <c r="P52" s="524"/>
      <c r="Q52" s="521"/>
      <c r="R52" s="522"/>
      <c r="S52" s="522"/>
      <c r="T52" s="522"/>
      <c r="U52" s="522">
        <v>87112.09</v>
      </c>
      <c r="V52" s="522">
        <f t="shared" ref="V52:V64" si="18">K52-O52</f>
        <v>-39040.859999999993</v>
      </c>
      <c r="W52" s="522">
        <f t="shared" ref="W52:W65" si="19">L52/K52*100</f>
        <v>96.107006207247025</v>
      </c>
      <c r="X52" s="522">
        <f t="shared" ref="X52:X65" si="20">O52/H52/6</f>
        <v>9.9668302784833287</v>
      </c>
      <c r="Y52" s="522">
        <v>5.5</v>
      </c>
      <c r="Z52" s="525">
        <f t="shared" ref="Z52:Z64" si="21">K52-L52</f>
        <v>1871.4100000000035</v>
      </c>
      <c r="AA52" s="816"/>
      <c r="AB52" s="816"/>
      <c r="AC52" s="816"/>
      <c r="AD52" s="816"/>
      <c r="AE52" s="816"/>
      <c r="AF52" s="534"/>
      <c r="AG52" s="534"/>
      <c r="AH52" s="66"/>
      <c r="AI52" s="66"/>
      <c r="AJ52" s="66"/>
      <c r="AK52" s="35"/>
      <c r="AL52" s="66"/>
      <c r="AM52" s="66"/>
      <c r="AN52" s="66"/>
      <c r="AO52" s="30"/>
      <c r="AP52" s="35"/>
      <c r="AQ52" s="30"/>
      <c r="AR52" s="67"/>
      <c r="AS52" s="67"/>
      <c r="AT52" s="68"/>
      <c r="AU52" s="67"/>
      <c r="AV52" s="68"/>
      <c r="AW52" s="67"/>
      <c r="AX52" s="126"/>
      <c r="AY52" s="35"/>
    </row>
    <row r="53" spans="1:51" s="124" customFormat="1" x14ac:dyDescent="0.25">
      <c r="A53" s="16">
        <v>3</v>
      </c>
      <c r="B53" s="16"/>
      <c r="C53" s="424" t="s">
        <v>60</v>
      </c>
      <c r="D53" s="675">
        <v>1972</v>
      </c>
      <c r="E53" s="675">
        <v>2</v>
      </c>
      <c r="F53" s="675">
        <v>18</v>
      </c>
      <c r="G53" s="675">
        <v>57</v>
      </c>
      <c r="H53" s="676">
        <v>776.8</v>
      </c>
      <c r="I53" s="951"/>
      <c r="J53" s="951"/>
      <c r="K53" s="541">
        <v>25634.46</v>
      </c>
      <c r="L53" s="521">
        <v>22162.68</v>
      </c>
      <c r="M53" s="974"/>
      <c r="N53" s="974"/>
      <c r="O53" s="521">
        <f t="shared" si="17"/>
        <v>0</v>
      </c>
      <c r="P53" s="524"/>
      <c r="Q53" s="521"/>
      <c r="R53" s="522"/>
      <c r="S53" s="522"/>
      <c r="T53" s="522"/>
      <c r="U53" s="522"/>
      <c r="V53" s="522">
        <f t="shared" si="18"/>
        <v>25634.46</v>
      </c>
      <c r="W53" s="522">
        <f t="shared" si="19"/>
        <v>86.456590074454468</v>
      </c>
      <c r="X53" s="522">
        <f t="shared" si="20"/>
        <v>0</v>
      </c>
      <c r="Y53" s="522">
        <v>5.5</v>
      </c>
      <c r="Z53" s="525">
        <f t="shared" si="21"/>
        <v>3471.7799999999988</v>
      </c>
      <c r="AA53" s="816"/>
      <c r="AB53" s="816"/>
      <c r="AC53" s="816"/>
      <c r="AD53" s="816"/>
      <c r="AE53" s="816"/>
      <c r="AF53" s="534"/>
      <c r="AG53" s="534"/>
      <c r="AH53" s="66"/>
      <c r="AI53" s="66"/>
      <c r="AJ53" s="66"/>
      <c r="AK53" s="35"/>
      <c r="AL53" s="66"/>
      <c r="AM53" s="66"/>
      <c r="AN53" s="66"/>
      <c r="AO53" s="30"/>
      <c r="AP53" s="35"/>
      <c r="AQ53" s="30"/>
      <c r="AR53" s="67"/>
      <c r="AS53" s="67"/>
      <c r="AT53" s="68"/>
      <c r="AU53" s="67"/>
      <c r="AV53" s="68"/>
      <c r="AW53" s="67"/>
      <c r="AX53" s="126"/>
      <c r="AY53" s="35"/>
    </row>
    <row r="54" spans="1:51" s="124" customFormat="1" x14ac:dyDescent="0.25">
      <c r="A54" s="16">
        <v>4</v>
      </c>
      <c r="B54" s="16"/>
      <c r="C54" s="424" t="s">
        <v>318</v>
      </c>
      <c r="D54" s="675">
        <v>1973</v>
      </c>
      <c r="E54" s="675">
        <v>2</v>
      </c>
      <c r="F54" s="675">
        <v>18</v>
      </c>
      <c r="G54" s="675">
        <v>49</v>
      </c>
      <c r="H54" s="676">
        <v>773.51</v>
      </c>
      <c r="I54" s="951"/>
      <c r="J54" s="951"/>
      <c r="K54" s="541">
        <v>25555.56</v>
      </c>
      <c r="L54" s="521">
        <v>25175.25</v>
      </c>
      <c r="M54" s="974"/>
      <c r="N54" s="974"/>
      <c r="O54" s="521">
        <f t="shared" si="17"/>
        <v>0</v>
      </c>
      <c r="P54" s="524"/>
      <c r="Q54" s="521"/>
      <c r="R54" s="522"/>
      <c r="S54" s="522"/>
      <c r="T54" s="522"/>
      <c r="U54" s="522"/>
      <c r="V54" s="522">
        <f t="shared" si="18"/>
        <v>25555.56</v>
      </c>
      <c r="W54" s="522">
        <f t="shared" si="19"/>
        <v>98.511830693594661</v>
      </c>
      <c r="X54" s="522">
        <f t="shared" si="20"/>
        <v>0</v>
      </c>
      <c r="Y54" s="522">
        <v>5.5</v>
      </c>
      <c r="Z54" s="525">
        <f t="shared" si="21"/>
        <v>380.31000000000131</v>
      </c>
      <c r="AA54" s="816"/>
      <c r="AB54" s="816"/>
      <c r="AC54" s="816"/>
      <c r="AD54" s="816"/>
      <c r="AE54" s="816"/>
      <c r="AF54" s="534"/>
      <c r="AG54" s="534"/>
      <c r="AH54" s="66"/>
      <c r="AI54" s="66"/>
      <c r="AJ54" s="66"/>
      <c r="AK54" s="35"/>
      <c r="AL54" s="66"/>
      <c r="AM54" s="66"/>
      <c r="AN54" s="66"/>
      <c r="AO54" s="30"/>
      <c r="AP54" s="35"/>
      <c r="AQ54" s="30"/>
      <c r="AR54" s="67"/>
      <c r="AS54" s="67"/>
      <c r="AT54" s="68"/>
      <c r="AU54" s="67"/>
      <c r="AV54" s="68"/>
      <c r="AW54" s="67"/>
      <c r="AX54" s="126"/>
      <c r="AY54" s="35"/>
    </row>
    <row r="55" spans="1:51" s="124" customFormat="1" x14ac:dyDescent="0.25">
      <c r="A55" s="16">
        <v>5</v>
      </c>
      <c r="B55" s="16"/>
      <c r="C55" s="424" t="s">
        <v>62</v>
      </c>
      <c r="D55" s="675">
        <v>1980</v>
      </c>
      <c r="E55" s="675">
        <v>3</v>
      </c>
      <c r="F55" s="675">
        <v>36</v>
      </c>
      <c r="G55" s="675">
        <v>93</v>
      </c>
      <c r="H55" s="676">
        <v>1799.9</v>
      </c>
      <c r="I55" s="951"/>
      <c r="J55" s="951"/>
      <c r="K55" s="541">
        <v>59330.7</v>
      </c>
      <c r="L55" s="521">
        <v>54760.06</v>
      </c>
      <c r="M55" s="974"/>
      <c r="N55" s="974"/>
      <c r="O55" s="521">
        <f t="shared" si="17"/>
        <v>0</v>
      </c>
      <c r="P55" s="524"/>
      <c r="Q55" s="521"/>
      <c r="R55" s="522"/>
      <c r="S55" s="522"/>
      <c r="T55" s="522"/>
      <c r="U55" s="522"/>
      <c r="V55" s="522">
        <f t="shared" si="18"/>
        <v>59330.7</v>
      </c>
      <c r="W55" s="522">
        <f t="shared" si="19"/>
        <v>92.296332252948304</v>
      </c>
      <c r="X55" s="522">
        <f t="shared" si="20"/>
        <v>0</v>
      </c>
      <c r="Y55" s="522">
        <v>5.5</v>
      </c>
      <c r="Z55" s="525">
        <f t="shared" si="21"/>
        <v>4570.6399999999994</v>
      </c>
      <c r="AA55" s="816"/>
      <c r="AB55" s="816"/>
      <c r="AC55" s="816"/>
      <c r="AD55" s="816"/>
      <c r="AE55" s="816"/>
      <c r="AF55" s="534"/>
      <c r="AG55" s="534"/>
      <c r="AH55" s="66"/>
      <c r="AI55" s="66"/>
      <c r="AJ55" s="66"/>
      <c r="AK55" s="35"/>
      <c r="AL55" s="66"/>
      <c r="AM55" s="66"/>
      <c r="AN55" s="66"/>
      <c r="AO55" s="30"/>
      <c r="AP55" s="35"/>
      <c r="AQ55" s="30"/>
      <c r="AR55" s="67"/>
      <c r="AS55" s="67"/>
      <c r="AT55" s="68"/>
      <c r="AU55" s="67"/>
      <c r="AV55" s="68"/>
      <c r="AW55" s="67"/>
      <c r="AX55" s="126"/>
      <c r="AY55" s="35"/>
    </row>
    <row r="56" spans="1:51" s="124" customFormat="1" x14ac:dyDescent="0.25">
      <c r="A56" s="16">
        <v>6</v>
      </c>
      <c r="B56" s="16"/>
      <c r="C56" s="424" t="s">
        <v>63</v>
      </c>
      <c r="D56" s="675">
        <v>1982</v>
      </c>
      <c r="E56" s="675">
        <v>3</v>
      </c>
      <c r="F56" s="675">
        <v>24</v>
      </c>
      <c r="G56" s="675">
        <v>84</v>
      </c>
      <c r="H56" s="676">
        <v>1454.5</v>
      </c>
      <c r="I56" s="951"/>
      <c r="J56" s="951"/>
      <c r="K56" s="541">
        <v>47988.66</v>
      </c>
      <c r="L56" s="521">
        <v>39693.379999999997</v>
      </c>
      <c r="M56" s="974"/>
      <c r="N56" s="974"/>
      <c r="O56" s="521">
        <f t="shared" si="17"/>
        <v>0</v>
      </c>
      <c r="P56" s="524"/>
      <c r="Q56" s="521"/>
      <c r="R56" s="522"/>
      <c r="S56" s="522"/>
      <c r="T56" s="522"/>
      <c r="U56" s="522"/>
      <c r="V56" s="522">
        <f t="shared" si="18"/>
        <v>47988.66</v>
      </c>
      <c r="W56" s="522">
        <f t="shared" si="19"/>
        <v>82.714082868744399</v>
      </c>
      <c r="X56" s="522">
        <f t="shared" si="20"/>
        <v>0</v>
      </c>
      <c r="Y56" s="522">
        <v>5.5</v>
      </c>
      <c r="Z56" s="525">
        <f t="shared" si="21"/>
        <v>8295.2800000000061</v>
      </c>
      <c r="AA56" s="816"/>
      <c r="AB56" s="816"/>
      <c r="AC56" s="816"/>
      <c r="AD56" s="816"/>
      <c r="AE56" s="816"/>
      <c r="AF56" s="534"/>
      <c r="AG56" s="534"/>
      <c r="AH56" s="66"/>
      <c r="AI56" s="66"/>
      <c r="AJ56" s="66"/>
      <c r="AK56" s="35"/>
      <c r="AL56" s="66"/>
      <c r="AM56" s="66"/>
      <c r="AN56" s="66"/>
      <c r="AO56" s="30"/>
      <c r="AP56" s="35"/>
      <c r="AQ56" s="30"/>
      <c r="AR56" s="67"/>
      <c r="AS56" s="67"/>
      <c r="AT56" s="68"/>
      <c r="AU56" s="67"/>
      <c r="AV56" s="68"/>
      <c r="AW56" s="67"/>
      <c r="AX56" s="126"/>
      <c r="AY56" s="35"/>
    </row>
    <row r="57" spans="1:51" s="124" customFormat="1" x14ac:dyDescent="0.25">
      <c r="A57" s="16">
        <v>7</v>
      </c>
      <c r="B57" s="16"/>
      <c r="C57" s="424" t="s">
        <v>64</v>
      </c>
      <c r="D57" s="675">
        <v>1982</v>
      </c>
      <c r="E57" s="675">
        <v>3</v>
      </c>
      <c r="F57" s="675">
        <v>24</v>
      </c>
      <c r="G57" s="675">
        <v>95</v>
      </c>
      <c r="H57" s="676">
        <v>1458.3</v>
      </c>
      <c r="I57" s="951"/>
      <c r="J57" s="951"/>
      <c r="K57" s="541">
        <v>48104.160000000003</v>
      </c>
      <c r="L57" s="521">
        <v>45715.63</v>
      </c>
      <c r="M57" s="974"/>
      <c r="N57" s="974"/>
      <c r="O57" s="521">
        <f t="shared" si="17"/>
        <v>0</v>
      </c>
      <c r="P57" s="524"/>
      <c r="Q57" s="521"/>
      <c r="R57" s="522"/>
      <c r="S57" s="522"/>
      <c r="T57" s="522"/>
      <c r="U57" s="522"/>
      <c r="V57" s="522">
        <f t="shared" si="18"/>
        <v>48104.160000000003</v>
      </c>
      <c r="W57" s="522">
        <f t="shared" si="19"/>
        <v>95.034670598135364</v>
      </c>
      <c r="X57" s="522">
        <f t="shared" si="20"/>
        <v>0</v>
      </c>
      <c r="Y57" s="522">
        <v>5.5</v>
      </c>
      <c r="Z57" s="525">
        <f t="shared" si="21"/>
        <v>2388.5300000000061</v>
      </c>
      <c r="AA57" s="816"/>
      <c r="AB57" s="816"/>
      <c r="AC57" s="816"/>
      <c r="AD57" s="816"/>
      <c r="AE57" s="816"/>
      <c r="AF57" s="534"/>
      <c r="AG57" s="534"/>
      <c r="AH57" s="66"/>
      <c r="AI57" s="66"/>
      <c r="AJ57" s="66"/>
      <c r="AK57" s="35"/>
      <c r="AL57" s="66"/>
      <c r="AM57" s="66"/>
      <c r="AN57" s="66"/>
      <c r="AO57" s="30"/>
      <c r="AP57" s="35"/>
      <c r="AQ57" s="30"/>
      <c r="AR57" s="67"/>
      <c r="AS57" s="67"/>
      <c r="AT57" s="68"/>
      <c r="AU57" s="67"/>
      <c r="AV57" s="68"/>
      <c r="AW57" s="67"/>
      <c r="AX57" s="126"/>
      <c r="AY57" s="35"/>
    </row>
    <row r="58" spans="1:51" s="124" customFormat="1" x14ac:dyDescent="0.25">
      <c r="A58" s="16">
        <v>8</v>
      </c>
      <c r="B58" s="16"/>
      <c r="C58" s="424" t="s">
        <v>65</v>
      </c>
      <c r="D58" s="675">
        <v>1983</v>
      </c>
      <c r="E58" s="675">
        <v>3</v>
      </c>
      <c r="F58" s="675">
        <v>24</v>
      </c>
      <c r="G58" s="675">
        <v>83</v>
      </c>
      <c r="H58" s="676">
        <v>1446.6</v>
      </c>
      <c r="I58" s="951"/>
      <c r="J58" s="951"/>
      <c r="K58" s="541">
        <v>47734.5</v>
      </c>
      <c r="L58" s="521">
        <v>44800.7</v>
      </c>
      <c r="M58" s="974"/>
      <c r="N58" s="974"/>
      <c r="O58" s="521">
        <f t="shared" si="17"/>
        <v>0</v>
      </c>
      <c r="P58" s="524"/>
      <c r="Q58" s="521"/>
      <c r="R58" s="522"/>
      <c r="S58" s="522"/>
      <c r="T58" s="522"/>
      <c r="U58" s="522"/>
      <c r="V58" s="522">
        <f t="shared" si="18"/>
        <v>47734.5</v>
      </c>
      <c r="W58" s="522">
        <f t="shared" si="19"/>
        <v>93.853921168127869</v>
      </c>
      <c r="X58" s="522">
        <f t="shared" si="20"/>
        <v>0</v>
      </c>
      <c r="Y58" s="522">
        <v>5.5</v>
      </c>
      <c r="Z58" s="525">
        <f t="shared" si="21"/>
        <v>2933.8000000000029</v>
      </c>
      <c r="AA58" s="816"/>
      <c r="AB58" s="816"/>
      <c r="AC58" s="816"/>
      <c r="AD58" s="816"/>
      <c r="AE58" s="816"/>
      <c r="AF58" s="534"/>
      <c r="AG58" s="534"/>
      <c r="AH58" s="66"/>
      <c r="AI58" s="66"/>
      <c r="AJ58" s="66"/>
      <c r="AK58" s="35"/>
      <c r="AL58" s="66"/>
      <c r="AM58" s="66"/>
      <c r="AN58" s="66"/>
      <c r="AO58" s="30"/>
      <c r="AP58" s="35"/>
      <c r="AQ58" s="30"/>
      <c r="AR58" s="67"/>
      <c r="AS58" s="67"/>
      <c r="AT58" s="68"/>
      <c r="AU58" s="67"/>
      <c r="AV58" s="30"/>
      <c r="AW58" s="67"/>
      <c r="AX58" s="126"/>
      <c r="AY58" s="35"/>
    </row>
    <row r="59" spans="1:51" s="124" customFormat="1" x14ac:dyDescent="0.25">
      <c r="A59" s="16">
        <v>9</v>
      </c>
      <c r="B59" s="16"/>
      <c r="C59" s="424" t="s">
        <v>66</v>
      </c>
      <c r="D59" s="675">
        <v>1984</v>
      </c>
      <c r="E59" s="675">
        <v>3</v>
      </c>
      <c r="F59" s="675">
        <v>24</v>
      </c>
      <c r="G59" s="675">
        <v>68</v>
      </c>
      <c r="H59" s="676">
        <v>1448</v>
      </c>
      <c r="I59" s="951"/>
      <c r="J59" s="951"/>
      <c r="K59" s="541">
        <v>47784</v>
      </c>
      <c r="L59" s="521">
        <v>47646.11</v>
      </c>
      <c r="M59" s="974"/>
      <c r="N59" s="974"/>
      <c r="O59" s="521">
        <f t="shared" si="17"/>
        <v>0</v>
      </c>
      <c r="P59" s="524"/>
      <c r="Q59" s="521"/>
      <c r="R59" s="522"/>
      <c r="S59" s="522"/>
      <c r="T59" s="522"/>
      <c r="U59" s="522"/>
      <c r="V59" s="522">
        <f t="shared" si="18"/>
        <v>47784</v>
      </c>
      <c r="W59" s="522">
        <f t="shared" si="19"/>
        <v>99.711430604386408</v>
      </c>
      <c r="X59" s="522">
        <f t="shared" si="20"/>
        <v>0</v>
      </c>
      <c r="Y59" s="522">
        <v>5.5</v>
      </c>
      <c r="Z59" s="525">
        <f t="shared" si="21"/>
        <v>137.88999999999942</v>
      </c>
      <c r="AA59" s="816"/>
      <c r="AB59" s="816"/>
      <c r="AC59" s="816"/>
      <c r="AD59" s="816"/>
      <c r="AE59" s="816"/>
      <c r="AF59" s="534"/>
      <c r="AG59" s="534"/>
      <c r="AH59" s="66"/>
      <c r="AI59" s="66"/>
      <c r="AJ59" s="66"/>
      <c r="AK59" s="35"/>
      <c r="AL59" s="66"/>
      <c r="AM59" s="66"/>
      <c r="AN59" s="66"/>
      <c r="AO59" s="30"/>
      <c r="AP59" s="35"/>
      <c r="AQ59" s="30"/>
      <c r="AR59" s="67"/>
      <c r="AS59" s="67"/>
      <c r="AT59" s="68"/>
      <c r="AU59" s="67"/>
      <c r="AV59" s="68"/>
      <c r="AW59" s="67"/>
      <c r="AX59" s="126"/>
      <c r="AY59" s="35"/>
    </row>
    <row r="60" spans="1:51" s="124" customFormat="1" x14ac:dyDescent="0.25">
      <c r="A60" s="16">
        <v>10</v>
      </c>
      <c r="B60" s="16"/>
      <c r="C60" s="424" t="s">
        <v>67</v>
      </c>
      <c r="D60" s="675">
        <v>1987</v>
      </c>
      <c r="E60" s="675">
        <v>3</v>
      </c>
      <c r="F60" s="675">
        <v>27</v>
      </c>
      <c r="G60" s="675">
        <v>82</v>
      </c>
      <c r="H60" s="676">
        <v>1459.2</v>
      </c>
      <c r="I60" s="951"/>
      <c r="J60" s="951"/>
      <c r="K60" s="541">
        <v>48185.5</v>
      </c>
      <c r="L60" s="521">
        <v>47312.37</v>
      </c>
      <c r="M60" s="974"/>
      <c r="N60" s="974"/>
      <c r="O60" s="521">
        <f t="shared" si="17"/>
        <v>0</v>
      </c>
      <c r="P60" s="524"/>
      <c r="Q60" s="521"/>
      <c r="R60" s="522"/>
      <c r="S60" s="522"/>
      <c r="T60" s="522"/>
      <c r="U60" s="522"/>
      <c r="V60" s="522">
        <f t="shared" si="18"/>
        <v>48185.5</v>
      </c>
      <c r="W60" s="522">
        <f t="shared" si="19"/>
        <v>98.18798186176339</v>
      </c>
      <c r="X60" s="522">
        <f t="shared" si="20"/>
        <v>0</v>
      </c>
      <c r="Y60" s="522">
        <v>5.5</v>
      </c>
      <c r="Z60" s="525">
        <f t="shared" si="21"/>
        <v>873.12999999999738</v>
      </c>
      <c r="AA60" s="816"/>
      <c r="AB60" s="816"/>
      <c r="AC60" s="816"/>
      <c r="AD60" s="816"/>
      <c r="AE60" s="816"/>
      <c r="AF60" s="534"/>
      <c r="AG60" s="534"/>
      <c r="AH60" s="66"/>
      <c r="AI60" s="66"/>
      <c r="AJ60" s="66"/>
      <c r="AK60" s="35"/>
      <c r="AL60" s="66"/>
      <c r="AM60" s="66"/>
      <c r="AN60" s="66"/>
      <c r="AO60" s="30"/>
      <c r="AP60" s="35"/>
      <c r="AQ60" s="30"/>
      <c r="AR60" s="67"/>
      <c r="AS60" s="67"/>
      <c r="AT60" s="68"/>
      <c r="AU60" s="67"/>
      <c r="AV60" s="68"/>
      <c r="AW60" s="67"/>
      <c r="AX60" s="126"/>
      <c r="AY60" s="35"/>
    </row>
    <row r="61" spans="1:51" s="124" customFormat="1" x14ac:dyDescent="0.25">
      <c r="A61" s="16">
        <v>11</v>
      </c>
      <c r="B61" s="16"/>
      <c r="C61" s="424" t="s">
        <v>72</v>
      </c>
      <c r="D61" s="675">
        <v>1968</v>
      </c>
      <c r="E61" s="675">
        <v>2</v>
      </c>
      <c r="F61" s="675">
        <v>16</v>
      </c>
      <c r="G61" s="675">
        <v>36</v>
      </c>
      <c r="H61" s="676">
        <v>722.8</v>
      </c>
      <c r="I61" s="951"/>
      <c r="J61" s="951"/>
      <c r="K61" s="541">
        <v>23760.06</v>
      </c>
      <c r="L61" s="521">
        <v>19484.95</v>
      </c>
      <c r="M61" s="974"/>
      <c r="N61" s="974"/>
      <c r="O61" s="521">
        <f t="shared" si="17"/>
        <v>0</v>
      </c>
      <c r="P61" s="524"/>
      <c r="Q61" s="521"/>
      <c r="R61" s="522"/>
      <c r="S61" s="522"/>
      <c r="T61" s="522"/>
      <c r="U61" s="522"/>
      <c r="V61" s="522">
        <f t="shared" si="18"/>
        <v>23760.06</v>
      </c>
      <c r="W61" s="522">
        <f t="shared" si="19"/>
        <v>82.007158231081917</v>
      </c>
      <c r="X61" s="522">
        <f t="shared" si="20"/>
        <v>0</v>
      </c>
      <c r="Y61" s="522">
        <v>5.5</v>
      </c>
      <c r="Z61" s="525">
        <f t="shared" si="21"/>
        <v>4275.1100000000006</v>
      </c>
      <c r="AA61" s="816"/>
      <c r="AB61" s="816"/>
      <c r="AC61" s="816"/>
      <c r="AD61" s="816"/>
      <c r="AE61" s="816"/>
      <c r="AF61" s="534"/>
      <c r="AG61" s="534"/>
      <c r="AH61" s="66"/>
      <c r="AI61" s="66"/>
      <c r="AJ61" s="66"/>
      <c r="AK61" s="35"/>
      <c r="AL61" s="66"/>
      <c r="AM61" s="66"/>
      <c r="AN61" s="66"/>
      <c r="AO61" s="30"/>
      <c r="AP61" s="35"/>
      <c r="AQ61" s="30"/>
      <c r="AR61" s="67"/>
      <c r="AS61" s="67"/>
      <c r="AT61" s="68"/>
      <c r="AU61" s="67"/>
      <c r="AV61" s="30"/>
      <c r="AW61" s="67"/>
      <c r="AX61" s="126"/>
      <c r="AY61" s="35"/>
    </row>
    <row r="62" spans="1:51" s="124" customFormat="1" x14ac:dyDescent="0.25">
      <c r="A62" s="16">
        <v>12</v>
      </c>
      <c r="B62" s="16"/>
      <c r="C62" s="424" t="s">
        <v>73</v>
      </c>
      <c r="D62" s="675">
        <v>1971</v>
      </c>
      <c r="E62" s="675">
        <v>2</v>
      </c>
      <c r="F62" s="675">
        <v>16</v>
      </c>
      <c r="G62" s="675">
        <v>47</v>
      </c>
      <c r="H62" s="676">
        <v>727.4</v>
      </c>
      <c r="I62" s="951"/>
      <c r="J62" s="951"/>
      <c r="K62" s="541">
        <v>24000.9</v>
      </c>
      <c r="L62" s="521">
        <v>20100.3</v>
      </c>
      <c r="M62" s="974"/>
      <c r="N62" s="974"/>
      <c r="O62" s="521">
        <f t="shared" si="17"/>
        <v>0</v>
      </c>
      <c r="P62" s="524"/>
      <c r="Q62" s="521"/>
      <c r="R62" s="522"/>
      <c r="S62" s="522"/>
      <c r="T62" s="522"/>
      <c r="U62" s="522"/>
      <c r="V62" s="522">
        <f t="shared" si="18"/>
        <v>24000.9</v>
      </c>
      <c r="W62" s="522">
        <f t="shared" si="19"/>
        <v>83.748109445895764</v>
      </c>
      <c r="X62" s="522">
        <f t="shared" si="20"/>
        <v>0</v>
      </c>
      <c r="Y62" s="522">
        <v>5.5</v>
      </c>
      <c r="Z62" s="525">
        <f t="shared" si="21"/>
        <v>3900.6000000000022</v>
      </c>
      <c r="AA62" s="816"/>
      <c r="AB62" s="816"/>
      <c r="AC62" s="816"/>
      <c r="AD62" s="816"/>
      <c r="AE62" s="816"/>
      <c r="AF62" s="534"/>
      <c r="AG62" s="534"/>
      <c r="AH62" s="66"/>
      <c r="AI62" s="66"/>
      <c r="AJ62" s="66"/>
      <c r="AK62" s="35"/>
      <c r="AL62" s="66"/>
      <c r="AM62" s="66"/>
      <c r="AN62" s="66"/>
      <c r="AO62" s="30"/>
      <c r="AP62" s="35"/>
      <c r="AQ62" s="30"/>
      <c r="AR62" s="67"/>
      <c r="AS62" s="67"/>
      <c r="AT62" s="68"/>
      <c r="AU62" s="67"/>
      <c r="AV62" s="30"/>
      <c r="AW62" s="67"/>
      <c r="AX62" s="126"/>
      <c r="AY62" s="35"/>
    </row>
    <row r="63" spans="1:51" s="124" customFormat="1" x14ac:dyDescent="0.25">
      <c r="A63" s="257">
        <v>13</v>
      </c>
      <c r="B63" s="257"/>
      <c r="C63" s="424" t="s">
        <v>74</v>
      </c>
      <c r="D63" s="675">
        <v>1960</v>
      </c>
      <c r="E63" s="675">
        <v>2</v>
      </c>
      <c r="F63" s="675">
        <v>16</v>
      </c>
      <c r="G63" s="675">
        <v>44</v>
      </c>
      <c r="H63" s="676">
        <v>724.7</v>
      </c>
      <c r="I63" s="971"/>
      <c r="J63" s="971"/>
      <c r="K63" s="542">
        <v>23915.1</v>
      </c>
      <c r="L63" s="527">
        <v>22691.23</v>
      </c>
      <c r="M63" s="975"/>
      <c r="N63" s="975"/>
      <c r="O63" s="521">
        <f t="shared" si="17"/>
        <v>0</v>
      </c>
      <c r="P63" s="528"/>
      <c r="Q63" s="527"/>
      <c r="R63" s="522"/>
      <c r="S63" s="522"/>
      <c r="T63" s="522"/>
      <c r="U63" s="522"/>
      <c r="V63" s="522">
        <f t="shared" si="18"/>
        <v>23915.1</v>
      </c>
      <c r="W63" s="522">
        <f t="shared" si="19"/>
        <v>94.882438292125059</v>
      </c>
      <c r="X63" s="522">
        <f t="shared" si="20"/>
        <v>0</v>
      </c>
      <c r="Y63" s="529">
        <v>5.5</v>
      </c>
      <c r="Z63" s="525">
        <f t="shared" si="21"/>
        <v>1223.869999999999</v>
      </c>
      <c r="AA63" s="816"/>
      <c r="AB63" s="816"/>
      <c r="AC63" s="816"/>
      <c r="AD63" s="816"/>
      <c r="AE63" s="816"/>
      <c r="AF63" s="534"/>
      <c r="AG63" s="534"/>
      <c r="AH63" s="66"/>
      <c r="AI63" s="66"/>
      <c r="AJ63" s="66"/>
      <c r="AK63" s="35"/>
      <c r="AL63" s="66"/>
      <c r="AM63" s="66"/>
      <c r="AN63" s="66"/>
      <c r="AO63" s="30"/>
      <c r="AP63" s="35"/>
      <c r="AQ63" s="30"/>
      <c r="AR63" s="67"/>
      <c r="AS63" s="67"/>
      <c r="AT63" s="68"/>
      <c r="AU63" s="67"/>
      <c r="AV63" s="30"/>
      <c r="AW63" s="67"/>
      <c r="AX63" s="126"/>
      <c r="AY63" s="35"/>
    </row>
    <row r="64" spans="1:51" s="34" customFormat="1" x14ac:dyDescent="0.25">
      <c r="A64" s="257">
        <v>14</v>
      </c>
      <c r="B64" s="257"/>
      <c r="C64" s="526" t="s">
        <v>88</v>
      </c>
      <c r="D64" s="813">
        <v>1969</v>
      </c>
      <c r="E64" s="813">
        <v>2</v>
      </c>
      <c r="F64" s="813">
        <v>16</v>
      </c>
      <c r="G64" s="813">
        <v>34</v>
      </c>
      <c r="H64" s="689">
        <v>649.16</v>
      </c>
      <c r="I64" s="971"/>
      <c r="J64" s="971"/>
      <c r="K64" s="542">
        <v>21381.03</v>
      </c>
      <c r="L64" s="527">
        <v>20490.169999999998</v>
      </c>
      <c r="M64" s="975"/>
      <c r="N64" s="975"/>
      <c r="O64" s="521">
        <f t="shared" si="17"/>
        <v>0</v>
      </c>
      <c r="P64" s="528"/>
      <c r="Q64" s="527"/>
      <c r="R64" s="529"/>
      <c r="S64" s="529"/>
      <c r="T64" s="529"/>
      <c r="U64" s="529"/>
      <c r="V64" s="522">
        <f t="shared" si="18"/>
        <v>21381.03</v>
      </c>
      <c r="W64" s="522">
        <f t="shared" si="19"/>
        <v>95.833409335284585</v>
      </c>
      <c r="X64" s="522">
        <f t="shared" si="20"/>
        <v>0</v>
      </c>
      <c r="Y64" s="529">
        <v>5.5</v>
      </c>
      <c r="Z64" s="525">
        <f t="shared" si="21"/>
        <v>890.86000000000058</v>
      </c>
      <c r="AA64" s="816"/>
      <c r="AB64" s="816"/>
      <c r="AC64" s="816"/>
      <c r="AD64" s="816"/>
      <c r="AE64" s="816"/>
      <c r="AF64" s="534"/>
      <c r="AG64" s="534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127"/>
      <c r="AY64" s="83"/>
    </row>
    <row r="65" spans="1:51" x14ac:dyDescent="0.25">
      <c r="A65" s="386"/>
      <c r="B65" s="386"/>
      <c r="C65" s="531" t="s">
        <v>89</v>
      </c>
      <c r="D65" s="815"/>
      <c r="E65" s="387"/>
      <c r="F65" s="387">
        <f t="shared" ref="F65:P65" si="22">SUM(F51:F64)</f>
        <v>307</v>
      </c>
      <c r="G65" s="387">
        <f t="shared" si="22"/>
        <v>950</v>
      </c>
      <c r="H65" s="387">
        <f t="shared" si="22"/>
        <v>16358.77</v>
      </c>
      <c r="I65" s="955"/>
      <c r="J65" s="955"/>
      <c r="K65" s="537">
        <f t="shared" si="22"/>
        <v>539639.30000000005</v>
      </c>
      <c r="L65" s="537">
        <f t="shared" si="22"/>
        <v>497655.61999999994</v>
      </c>
      <c r="M65" s="976"/>
      <c r="N65" s="976"/>
      <c r="O65" s="538">
        <f t="shared" si="22"/>
        <v>87112.09</v>
      </c>
      <c r="P65" s="535">
        <f t="shared" si="22"/>
        <v>0</v>
      </c>
      <c r="Q65" s="537">
        <f>SUM(Q52:Q64)</f>
        <v>0</v>
      </c>
      <c r="R65" s="539">
        <f>SUM(R52:R64)</f>
        <v>0</v>
      </c>
      <c r="S65" s="539">
        <f>SUM(S52:S64)</f>
        <v>0</v>
      </c>
      <c r="T65" s="539"/>
      <c r="U65" s="539">
        <f>SUM(U51:U64)</f>
        <v>87112.09</v>
      </c>
      <c r="V65" s="540">
        <f>SUM(V51:V64)</f>
        <v>452527.20999999996</v>
      </c>
      <c r="W65" s="540">
        <f t="shared" si="19"/>
        <v>92.22004772447076</v>
      </c>
      <c r="X65" s="539">
        <f t="shared" si="20"/>
        <v>0.8875167061256235</v>
      </c>
      <c r="Y65" s="535"/>
      <c r="Z65" s="654">
        <f>SUM(Z51:Z64)</f>
        <v>41983.680000000022</v>
      </c>
      <c r="AA65" s="816" t="s">
        <v>180</v>
      </c>
      <c r="AB65" s="816"/>
      <c r="AC65" s="816"/>
      <c r="AD65" s="816"/>
      <c r="AE65" s="816"/>
      <c r="AF65" s="534"/>
      <c r="AG65" s="534"/>
      <c r="AH65" s="9"/>
      <c r="AI65" s="9"/>
      <c r="AJ65" s="9"/>
      <c r="AK65" s="9"/>
      <c r="AL65" s="9"/>
      <c r="AM65" s="9"/>
      <c r="AN65" s="9"/>
      <c r="AO65" s="9"/>
      <c r="AP65" s="86"/>
      <c r="AQ65" s="9"/>
      <c r="AR65" s="9"/>
      <c r="AS65" s="9"/>
      <c r="AT65" s="9"/>
      <c r="AU65" s="9"/>
      <c r="AV65" s="9"/>
      <c r="AW65" s="9"/>
      <c r="AX65" s="128"/>
      <c r="AY65" s="9"/>
    </row>
    <row r="66" spans="1:51" x14ac:dyDescent="0.25">
      <c r="C66" s="816"/>
      <c r="D66" s="816"/>
      <c r="E66" s="816"/>
      <c r="F66" s="816"/>
      <c r="G66" s="816"/>
      <c r="H66" s="816"/>
      <c r="I66" s="816"/>
      <c r="J66" s="816"/>
      <c r="K66" s="816"/>
      <c r="L66" s="816"/>
      <c r="M66" s="816"/>
      <c r="N66" s="816"/>
      <c r="O66" s="816"/>
      <c r="P66" s="816"/>
      <c r="Q66" s="819"/>
      <c r="R66" s="816"/>
      <c r="S66" s="816"/>
      <c r="T66" s="816"/>
      <c r="U66" s="816"/>
      <c r="V66" s="816"/>
      <c r="W66" s="816"/>
      <c r="X66" s="816"/>
      <c r="Y66" s="816"/>
      <c r="Z66" s="816"/>
      <c r="AA66" s="816"/>
      <c r="AB66" s="816"/>
      <c r="AC66" s="816"/>
      <c r="AD66" s="816"/>
      <c r="AE66" s="816"/>
      <c r="AF66" s="534"/>
      <c r="AG66" s="534"/>
      <c r="AH66" s="9"/>
      <c r="AI66" s="9"/>
      <c r="AJ66" s="9"/>
      <c r="AK66" s="9"/>
      <c r="AL66" s="9"/>
      <c r="AM66" s="9"/>
      <c r="AN66" s="9"/>
      <c r="AO66" s="9"/>
      <c r="AP66" s="86"/>
      <c r="AQ66" s="9"/>
      <c r="AR66" s="9"/>
      <c r="AS66" s="9"/>
      <c r="AT66" s="9"/>
      <c r="AU66" s="9"/>
      <c r="AV66" s="9"/>
      <c r="AW66" s="9"/>
      <c r="AX66" s="128"/>
      <c r="AY66" s="9"/>
    </row>
    <row r="67" spans="1:51" x14ac:dyDescent="0.25">
      <c r="C67" s="828" t="s">
        <v>432</v>
      </c>
      <c r="D67" s="816"/>
      <c r="E67" s="816"/>
      <c r="F67" s="816"/>
      <c r="G67" s="816"/>
      <c r="H67" s="816"/>
      <c r="I67" s="816"/>
      <c r="J67" s="816"/>
      <c r="K67" s="816"/>
      <c r="L67" s="816"/>
      <c r="M67" s="816"/>
      <c r="N67" s="816"/>
      <c r="O67" s="816"/>
      <c r="P67" s="816"/>
      <c r="Q67" s="816"/>
      <c r="R67" s="816"/>
      <c r="S67" s="816"/>
      <c r="T67" s="816"/>
      <c r="U67" s="816"/>
      <c r="V67" s="816"/>
      <c r="W67" s="816"/>
      <c r="X67" s="816"/>
      <c r="Y67" s="816"/>
      <c r="Z67" s="816"/>
      <c r="AA67" s="816"/>
      <c r="AB67" s="816"/>
      <c r="AC67" s="816"/>
      <c r="AD67" s="816"/>
      <c r="AE67" s="816"/>
      <c r="AF67" s="534"/>
      <c r="AG67" s="534"/>
      <c r="AH67" s="9"/>
      <c r="AI67" s="9"/>
      <c r="AJ67" s="9"/>
      <c r="AK67" s="9"/>
      <c r="AL67" s="9"/>
      <c r="AM67" s="9"/>
      <c r="AN67" s="9"/>
      <c r="AO67" s="9"/>
      <c r="AP67" s="86"/>
      <c r="AQ67" s="9"/>
      <c r="AR67" s="9"/>
      <c r="AS67" s="9"/>
      <c r="AT67" s="9"/>
      <c r="AU67" s="9"/>
      <c r="AV67" s="9"/>
      <c r="AW67" s="9"/>
      <c r="AX67" s="128"/>
      <c r="AY67" s="9"/>
    </row>
    <row r="68" spans="1:51" x14ac:dyDescent="0.25">
      <c r="C68" s="816"/>
      <c r="D68" s="816"/>
      <c r="E68" s="816"/>
      <c r="F68" s="816"/>
      <c r="G68" s="816"/>
      <c r="H68" s="816"/>
      <c r="I68" s="816"/>
      <c r="J68" s="816"/>
      <c r="K68" s="816"/>
      <c r="L68" s="816"/>
      <c r="M68" s="816"/>
      <c r="N68" s="816"/>
      <c r="O68" s="816"/>
      <c r="P68" s="816"/>
      <c r="Q68" s="816"/>
      <c r="R68" s="829"/>
      <c r="S68" s="816"/>
      <c r="T68" s="816"/>
      <c r="U68" s="816"/>
      <c r="V68" s="816"/>
      <c r="W68" s="816"/>
      <c r="X68" s="816"/>
      <c r="Y68" s="816"/>
      <c r="Z68" s="816"/>
      <c r="AA68" s="816"/>
      <c r="AB68" s="816"/>
      <c r="AC68" s="816"/>
      <c r="AD68" s="816"/>
      <c r="AE68" s="816"/>
      <c r="AF68" s="534"/>
      <c r="AG68" s="534"/>
      <c r="AH68" s="9"/>
      <c r="AI68" s="9"/>
      <c r="AJ68" s="9"/>
      <c r="AK68" s="9"/>
      <c r="AL68" s="9"/>
      <c r="AM68" s="9"/>
      <c r="AN68" s="9"/>
      <c r="AO68" s="9"/>
      <c r="AP68" s="86"/>
      <c r="AQ68" s="9"/>
      <c r="AR68" s="9"/>
      <c r="AS68" s="9"/>
      <c r="AT68" s="9"/>
      <c r="AU68" s="9"/>
      <c r="AV68" s="9"/>
      <c r="AW68" s="9"/>
      <c r="AX68" s="128"/>
      <c r="AY68" s="9"/>
    </row>
    <row r="69" spans="1:51" x14ac:dyDescent="0.25">
      <c r="C69" s="816"/>
      <c r="D69" s="816"/>
      <c r="E69" s="816"/>
      <c r="F69" s="816"/>
      <c r="G69" s="816"/>
      <c r="H69" s="816"/>
      <c r="I69" s="816"/>
      <c r="J69" s="816"/>
      <c r="K69" s="816"/>
      <c r="L69" s="816"/>
      <c r="M69" s="816"/>
      <c r="N69" s="816"/>
      <c r="O69" s="816"/>
      <c r="P69" s="816"/>
      <c r="Q69" s="816"/>
      <c r="R69" s="830"/>
      <c r="S69" s="830"/>
      <c r="T69" s="830"/>
      <c r="U69" s="830"/>
      <c r="V69" s="830"/>
      <c r="W69" s="830"/>
      <c r="X69" s="830"/>
      <c r="Y69" s="830"/>
      <c r="Z69" s="816"/>
      <c r="AA69" s="816"/>
      <c r="AB69" s="816"/>
      <c r="AC69" s="816"/>
      <c r="AD69" s="816"/>
      <c r="AE69" s="816"/>
      <c r="AF69" s="534"/>
      <c r="AG69" s="534"/>
      <c r="AH69" s="9"/>
      <c r="AI69" s="9"/>
      <c r="AJ69" s="9"/>
      <c r="AK69" s="9"/>
      <c r="AL69" s="9"/>
      <c r="AM69" s="9"/>
      <c r="AN69" s="9"/>
      <c r="AO69" s="9"/>
      <c r="AP69" s="86"/>
      <c r="AQ69" s="9"/>
      <c r="AR69" s="9"/>
      <c r="AS69" s="9"/>
      <c r="AT69" s="9"/>
      <c r="AU69" s="9"/>
      <c r="AV69" s="9"/>
      <c r="AW69" s="9"/>
      <c r="AX69" s="128"/>
      <c r="AY69" s="9"/>
    </row>
    <row r="70" spans="1:51" x14ac:dyDescent="0.25">
      <c r="C70" s="816"/>
      <c r="D70" s="816"/>
      <c r="E70" s="816"/>
      <c r="F70" s="816"/>
      <c r="G70" s="816"/>
      <c r="H70" s="816"/>
      <c r="I70" s="816"/>
      <c r="J70" s="816"/>
      <c r="K70" s="816"/>
      <c r="L70" s="816"/>
      <c r="M70" s="816"/>
      <c r="N70" s="816"/>
      <c r="O70" s="816"/>
      <c r="P70" s="816"/>
      <c r="Q70" s="816"/>
      <c r="R70" s="816"/>
      <c r="S70" s="816"/>
      <c r="T70" s="816"/>
      <c r="U70" s="816"/>
      <c r="V70" s="816"/>
      <c r="W70" s="816"/>
      <c r="X70" s="816"/>
      <c r="Y70" s="816"/>
      <c r="Z70" s="816"/>
      <c r="AA70" s="816"/>
      <c r="AB70" s="816"/>
      <c r="AC70" s="816"/>
      <c r="AD70" s="816"/>
      <c r="AE70" s="816"/>
      <c r="AF70" s="534"/>
      <c r="AG70" s="534"/>
    </row>
    <row r="71" spans="1:51" x14ac:dyDescent="0.25">
      <c r="C71" s="816"/>
      <c r="D71" s="816"/>
      <c r="E71" s="816"/>
      <c r="F71" s="816"/>
      <c r="G71" s="816"/>
      <c r="H71" s="816"/>
      <c r="I71" s="816"/>
      <c r="J71" s="816"/>
      <c r="K71" s="816"/>
      <c r="L71" s="816"/>
      <c r="M71" s="816"/>
      <c r="N71" s="816"/>
      <c r="O71" s="816"/>
      <c r="P71" s="816"/>
      <c r="Q71" s="816"/>
      <c r="R71" s="816"/>
      <c r="S71" s="816"/>
      <c r="T71" s="816"/>
      <c r="U71" s="816"/>
      <c r="V71" s="816"/>
      <c r="W71" s="816"/>
      <c r="X71" s="816"/>
      <c r="Y71" s="816"/>
      <c r="Z71" s="816"/>
      <c r="AA71" s="816"/>
      <c r="AB71" s="816"/>
      <c r="AC71" s="816"/>
      <c r="AD71" s="816"/>
      <c r="AE71" s="816"/>
      <c r="AF71" s="532"/>
      <c r="AG71" s="532"/>
    </row>
    <row r="72" spans="1:51" x14ac:dyDescent="0.25">
      <c r="C72" s="816"/>
      <c r="D72" s="816"/>
      <c r="E72" s="816"/>
      <c r="F72" s="816"/>
      <c r="G72" s="816"/>
      <c r="H72" s="816"/>
      <c r="I72" s="816"/>
      <c r="J72" s="816"/>
      <c r="K72" s="816"/>
      <c r="L72" s="816"/>
      <c r="M72" s="816"/>
      <c r="N72" s="816"/>
      <c r="O72" s="816"/>
      <c r="P72" s="816"/>
      <c r="Q72" s="816"/>
      <c r="R72" s="816"/>
      <c r="S72" s="816"/>
      <c r="T72" s="816"/>
      <c r="U72" s="816"/>
      <c r="V72" s="816"/>
      <c r="W72" s="816"/>
      <c r="X72" s="816"/>
      <c r="Y72" s="816"/>
      <c r="Z72" s="816"/>
      <c r="AA72" s="816"/>
      <c r="AB72" s="816"/>
      <c r="AC72" s="816"/>
      <c r="AD72" s="816"/>
      <c r="AE72" s="816"/>
      <c r="AF72" s="532"/>
      <c r="AG72" s="532"/>
    </row>
    <row r="73" spans="1:51" ht="15.75" x14ac:dyDescent="0.25">
      <c r="C73" s="2200" t="s">
        <v>634</v>
      </c>
      <c r="D73" s="2201"/>
      <c r="E73" s="2201"/>
      <c r="F73" s="2201"/>
      <c r="G73" s="2201"/>
      <c r="H73" s="2201"/>
      <c r="I73" s="2201"/>
      <c r="J73" s="2201"/>
      <c r="K73" s="2201"/>
      <c r="L73" s="2201"/>
      <c r="M73" s="2201"/>
      <c r="N73" s="2201"/>
      <c r="O73" s="2201"/>
      <c r="P73" s="2201"/>
      <c r="Q73" s="2201"/>
      <c r="R73" s="831"/>
      <c r="S73" s="831"/>
      <c r="T73" s="831"/>
      <c r="U73" s="831"/>
      <c r="V73" s="831"/>
      <c r="W73" s="831"/>
      <c r="X73" s="831"/>
      <c r="Y73" s="816"/>
      <c r="Z73" s="816"/>
      <c r="AA73" s="816"/>
      <c r="AB73" s="816"/>
      <c r="AC73" s="816"/>
      <c r="AD73" s="816"/>
      <c r="AE73" s="816"/>
      <c r="AF73" s="532"/>
      <c r="AG73" s="532"/>
    </row>
    <row r="74" spans="1:51" ht="21.75" customHeight="1" x14ac:dyDescent="0.25">
      <c r="C74" s="832" t="s">
        <v>53</v>
      </c>
      <c r="D74" s="832"/>
      <c r="E74" s="832"/>
      <c r="F74" s="832"/>
      <c r="G74" s="832"/>
      <c r="H74" s="832"/>
      <c r="I74" s="832"/>
      <c r="J74" s="832"/>
      <c r="K74" s="832"/>
      <c r="L74" s="832"/>
      <c r="M74" s="832"/>
      <c r="N74" s="832"/>
      <c r="O74" s="832"/>
      <c r="P74" s="832"/>
      <c r="Q74" s="832"/>
      <c r="R74" s="831"/>
      <c r="S74" s="831"/>
      <c r="T74" s="831"/>
      <c r="U74" s="831"/>
      <c r="V74" s="831"/>
      <c r="W74" s="831"/>
      <c r="X74" s="831"/>
      <c r="Y74" s="816"/>
      <c r="Z74" s="816"/>
      <c r="AA74" s="816"/>
      <c r="AB74" s="816"/>
      <c r="AC74" s="816"/>
      <c r="AD74" s="816"/>
      <c r="AE74" s="816"/>
      <c r="AF74" s="532"/>
      <c r="AG74" s="532"/>
      <c r="AH74" s="2193"/>
      <c r="AI74" s="2193"/>
      <c r="AJ74" s="2193"/>
      <c r="AK74" s="2193"/>
      <c r="AL74" s="2209"/>
      <c r="AM74" s="1220"/>
      <c r="AN74" s="1220"/>
      <c r="AO74" s="2209"/>
      <c r="AP74" s="78"/>
      <c r="AQ74" s="1220"/>
      <c r="AR74" s="2210"/>
      <c r="AS74" s="2210"/>
      <c r="AT74" s="2192"/>
      <c r="AU74" s="2192"/>
      <c r="AV74" s="2192"/>
      <c r="AW74" s="2192"/>
      <c r="AX74" s="2207"/>
      <c r="AY74" s="2208"/>
    </row>
    <row r="75" spans="1:51" ht="29.25" customHeight="1" x14ac:dyDescent="0.25">
      <c r="C75" s="832"/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  <c r="O75" s="832"/>
      <c r="P75" s="832"/>
      <c r="Q75" s="832"/>
      <c r="R75" s="831"/>
      <c r="S75" s="831"/>
      <c r="T75" s="831"/>
      <c r="U75" s="831"/>
      <c r="V75" s="831"/>
      <c r="W75" s="831"/>
      <c r="X75" s="831"/>
      <c r="Y75" s="816"/>
      <c r="Z75" s="816"/>
      <c r="AA75" s="816"/>
      <c r="AB75" s="816"/>
      <c r="AC75" s="816"/>
      <c r="AD75" s="816"/>
      <c r="AE75" s="816"/>
      <c r="AF75" s="532"/>
      <c r="AG75" s="532"/>
      <c r="AH75" s="1217"/>
      <c r="AI75" s="1217"/>
      <c r="AJ75" s="1217"/>
      <c r="AK75" s="1217"/>
      <c r="AL75" s="2209"/>
      <c r="AM75" s="1220"/>
      <c r="AN75" s="1220"/>
      <c r="AO75" s="2209"/>
      <c r="AP75" s="78"/>
      <c r="AQ75" s="1220"/>
      <c r="AR75" s="2210"/>
      <c r="AS75" s="2210"/>
      <c r="AT75" s="1221"/>
      <c r="AU75" s="1221"/>
      <c r="AV75" s="1221"/>
      <c r="AW75" s="1221"/>
      <c r="AX75" s="2207"/>
      <c r="AY75" s="2208"/>
    </row>
    <row r="76" spans="1:51" s="124" customFormat="1" x14ac:dyDescent="0.25">
      <c r="A76"/>
      <c r="B76"/>
      <c r="C76" s="832"/>
      <c r="D76" s="832"/>
      <c r="E76" s="832"/>
      <c r="F76" s="832"/>
      <c r="G76" s="832"/>
      <c r="H76" s="832"/>
      <c r="I76" s="832"/>
      <c r="J76" s="832"/>
      <c r="K76" s="832"/>
      <c r="L76" s="832"/>
      <c r="M76" s="832"/>
      <c r="N76" s="832"/>
      <c r="O76" s="832"/>
      <c r="P76" s="832"/>
      <c r="Q76" s="832"/>
      <c r="R76" s="831"/>
      <c r="S76" s="831"/>
      <c r="T76" s="831"/>
      <c r="U76" s="831"/>
      <c r="V76" s="831"/>
      <c r="W76" s="831"/>
      <c r="X76" s="831"/>
      <c r="Y76" s="816"/>
      <c r="Z76" s="816"/>
      <c r="AA76" s="816"/>
      <c r="AB76" s="816"/>
      <c r="AC76" s="816"/>
      <c r="AD76" s="816"/>
      <c r="AE76" s="816"/>
      <c r="AF76" s="534"/>
      <c r="AG76" s="534"/>
      <c r="AH76" s="250"/>
      <c r="AI76" s="66"/>
      <c r="AJ76" s="66"/>
      <c r="AK76" s="66"/>
      <c r="AL76" s="66"/>
      <c r="AM76" s="66"/>
      <c r="AN76" s="66"/>
      <c r="AO76" s="30"/>
      <c r="AP76" s="35"/>
      <c r="AQ76" s="30"/>
      <c r="AR76" s="67"/>
      <c r="AS76" s="67"/>
      <c r="AT76" s="68"/>
      <c r="AU76" s="67"/>
      <c r="AV76" s="68"/>
      <c r="AW76" s="67"/>
      <c r="AX76" s="126"/>
      <c r="AY76" s="35"/>
    </row>
    <row r="77" spans="1:51" s="124" customFormat="1" ht="37.5" customHeight="1" x14ac:dyDescent="0.25">
      <c r="A77" s="2017" t="s">
        <v>0</v>
      </c>
      <c r="B77" s="2020"/>
      <c r="C77" s="2197" t="s">
        <v>184</v>
      </c>
      <c r="D77" s="2197" t="s">
        <v>54</v>
      </c>
      <c r="E77" s="2197" t="s">
        <v>55</v>
      </c>
      <c r="F77" s="2197" t="s">
        <v>56</v>
      </c>
      <c r="G77" s="2197" t="s">
        <v>57</v>
      </c>
      <c r="H77" s="1224" t="s">
        <v>6</v>
      </c>
      <c r="I77" s="969"/>
      <c r="J77" s="969"/>
      <c r="K77" s="2198" t="s">
        <v>290</v>
      </c>
      <c r="L77" s="2199"/>
      <c r="M77" s="972"/>
      <c r="N77" s="972"/>
      <c r="O77" s="2186" t="s">
        <v>457</v>
      </c>
      <c r="P77" s="2197" t="s">
        <v>332</v>
      </c>
      <c r="Q77" s="2186" t="s">
        <v>333</v>
      </c>
      <c r="R77" s="2202" t="s">
        <v>313</v>
      </c>
      <c r="S77" s="2204" t="s">
        <v>554</v>
      </c>
      <c r="T77" s="2211"/>
      <c r="U77" s="2186" t="s">
        <v>175</v>
      </c>
      <c r="V77" s="2186" t="s">
        <v>183</v>
      </c>
      <c r="W77" s="2188" t="s">
        <v>182</v>
      </c>
      <c r="X77" s="2190" t="s">
        <v>544</v>
      </c>
      <c r="Y77" s="2188" t="s">
        <v>545</v>
      </c>
      <c r="Z77" s="2184" t="s">
        <v>566</v>
      </c>
      <c r="AA77" s="816"/>
      <c r="AB77" s="816"/>
      <c r="AC77" s="816"/>
      <c r="AD77" s="816"/>
      <c r="AE77" s="816"/>
      <c r="AF77" s="534"/>
      <c r="AG77" s="534"/>
      <c r="AH77" s="250"/>
      <c r="AI77" s="66"/>
      <c r="AJ77" s="66"/>
      <c r="AK77" s="35"/>
      <c r="AL77" s="66"/>
      <c r="AM77" s="66"/>
      <c r="AN77" s="66"/>
      <c r="AO77" s="30"/>
      <c r="AP77" s="35"/>
      <c r="AQ77" s="30"/>
      <c r="AR77" s="67"/>
      <c r="AS77" s="67"/>
      <c r="AT77" s="68"/>
      <c r="AU77" s="67"/>
      <c r="AV77" s="68"/>
      <c r="AW77" s="67"/>
      <c r="AX77" s="126"/>
      <c r="AY77" s="35"/>
    </row>
    <row r="78" spans="1:51" s="124" customFormat="1" ht="27.75" customHeight="1" x14ac:dyDescent="0.25">
      <c r="A78" s="2017"/>
      <c r="B78" s="2021"/>
      <c r="C78" s="2197"/>
      <c r="D78" s="2197"/>
      <c r="E78" s="2197"/>
      <c r="F78" s="2197"/>
      <c r="G78" s="2197"/>
      <c r="H78" s="1224"/>
      <c r="I78" s="970"/>
      <c r="J78" s="970"/>
      <c r="K78" s="833" t="s">
        <v>15</v>
      </c>
      <c r="L78" s="834" t="s">
        <v>16</v>
      </c>
      <c r="M78" s="978"/>
      <c r="N78" s="978"/>
      <c r="O78" s="2187"/>
      <c r="P78" s="2197"/>
      <c r="Q78" s="2187"/>
      <c r="R78" s="2203"/>
      <c r="S78" s="2189"/>
      <c r="T78" s="2212"/>
      <c r="U78" s="2187"/>
      <c r="V78" s="2187"/>
      <c r="W78" s="2189"/>
      <c r="X78" s="2191"/>
      <c r="Y78" s="2189"/>
      <c r="Z78" s="2185"/>
      <c r="AA78" s="816"/>
      <c r="AB78" s="816"/>
      <c r="AC78" s="816"/>
      <c r="AD78" s="816"/>
      <c r="AE78" s="816"/>
      <c r="AF78" s="534"/>
      <c r="AG78" s="534"/>
      <c r="AH78" s="250"/>
      <c r="AI78" s="66"/>
      <c r="AJ78" s="66"/>
      <c r="AK78" s="35"/>
      <c r="AL78" s="66"/>
      <c r="AM78" s="66"/>
      <c r="AN78" s="66"/>
      <c r="AO78" s="30"/>
      <c r="AP78" s="35"/>
      <c r="AQ78" s="30"/>
      <c r="AR78" s="67"/>
      <c r="AS78" s="67"/>
      <c r="AT78" s="68"/>
      <c r="AU78" s="67"/>
      <c r="AV78" s="68"/>
      <c r="AW78" s="67"/>
      <c r="AX78" s="126"/>
      <c r="AY78" s="35"/>
    </row>
    <row r="79" spans="1:51" s="124" customFormat="1" x14ac:dyDescent="0.25">
      <c r="A79" s="16">
        <v>1</v>
      </c>
      <c r="B79" s="574">
        <v>42491</v>
      </c>
      <c r="C79" s="424" t="s">
        <v>58</v>
      </c>
      <c r="D79" s="675">
        <v>1976</v>
      </c>
      <c r="E79" s="675">
        <v>3</v>
      </c>
      <c r="F79" s="675">
        <v>24</v>
      </c>
      <c r="G79" s="675">
        <v>97</v>
      </c>
      <c r="H79" s="676">
        <v>1461.2</v>
      </c>
      <c r="I79" s="951"/>
      <c r="J79" s="951"/>
      <c r="K79" s="521">
        <v>22519.56</v>
      </c>
      <c r="L79" s="521">
        <v>19359.599999999999</v>
      </c>
      <c r="M79" s="974"/>
      <c r="N79" s="974"/>
      <c r="O79" s="521">
        <f>P79+Q79+R79+S79+T79</f>
        <v>17306.348939555461</v>
      </c>
      <c r="P79" s="591"/>
      <c r="Q79" s="521">
        <f>1116/15709.31*H79</f>
        <v>103.80463559507071</v>
      </c>
      <c r="R79" s="522">
        <f>153863.52/15709.31*H79</f>
        <v>14311.600918436265</v>
      </c>
      <c r="S79" s="522">
        <f>R79*0.202</f>
        <v>2890.9433855241255</v>
      </c>
      <c r="T79" s="592"/>
      <c r="U79" s="522">
        <f>K79-O79</f>
        <v>5213.2110604445406</v>
      </c>
      <c r="V79" s="522">
        <f>L79/K79*100</f>
        <v>85.96793187788748</v>
      </c>
      <c r="W79" s="522">
        <f>O79/H79/6</f>
        <v>1.9739881535217014</v>
      </c>
      <c r="X79" s="522">
        <v>2.57</v>
      </c>
      <c r="Y79" s="525">
        <v>178.8</v>
      </c>
      <c r="Z79" s="835">
        <f>K79-L79</f>
        <v>3159.9600000000028</v>
      </c>
      <c r="AA79" s="816"/>
      <c r="AB79" s="816"/>
      <c r="AC79" s="816"/>
      <c r="AD79" s="816"/>
      <c r="AE79" s="816"/>
      <c r="AF79" s="534"/>
      <c r="AG79" s="534"/>
      <c r="AH79" s="250"/>
      <c r="AI79" s="66"/>
      <c r="AJ79" s="66"/>
      <c r="AK79" s="35"/>
      <c r="AL79" s="66"/>
      <c r="AM79" s="66"/>
      <c r="AN79" s="66"/>
      <c r="AO79" s="30"/>
      <c r="AP79" s="35"/>
      <c r="AQ79" s="30"/>
      <c r="AR79" s="67"/>
      <c r="AS79" s="67"/>
      <c r="AT79" s="68"/>
      <c r="AU79" s="67"/>
      <c r="AV79" s="68"/>
      <c r="AW79" s="67"/>
      <c r="AX79" s="126"/>
      <c r="AY79" s="35"/>
    </row>
    <row r="80" spans="1:51" s="124" customFormat="1" x14ac:dyDescent="0.25">
      <c r="A80" s="16">
        <v>2</v>
      </c>
      <c r="B80" s="16"/>
      <c r="C80" s="424" t="s">
        <v>59</v>
      </c>
      <c r="D80" s="675">
        <v>1977</v>
      </c>
      <c r="E80" s="675">
        <v>3</v>
      </c>
      <c r="F80" s="675">
        <v>24</v>
      </c>
      <c r="G80" s="675">
        <v>81</v>
      </c>
      <c r="H80" s="676">
        <v>1456.7</v>
      </c>
      <c r="I80" s="951"/>
      <c r="J80" s="951"/>
      <c r="K80" s="521">
        <v>6467.73</v>
      </c>
      <c r="L80" s="521">
        <v>9888.56</v>
      </c>
      <c r="M80" s="974"/>
      <c r="N80" s="974"/>
      <c r="O80" s="521">
        <f t="shared" ref="O80:O91" si="23">P80+Q80+R80+S80+T80</f>
        <v>17253.051259410378</v>
      </c>
      <c r="P80" s="591"/>
      <c r="Q80" s="521">
        <f t="shared" ref="Q80:Q91" si="24">1116/15709.31*H80</f>
        <v>103.48495255361313</v>
      </c>
      <c r="R80" s="522">
        <f t="shared" ref="R80:R91" si="25">153863.52/15709.31*H80</f>
        <v>14267.526045637906</v>
      </c>
      <c r="S80" s="522">
        <f>R80*0.202</f>
        <v>2882.0402612188573</v>
      </c>
      <c r="T80" s="592"/>
      <c r="U80" s="522">
        <f t="shared" ref="U80:U92" si="26">K80-O80</f>
        <v>-10785.321259410379</v>
      </c>
      <c r="V80" s="522">
        <f t="shared" ref="V80:V92" si="27">L80/K80*100</f>
        <v>152.89073600784201</v>
      </c>
      <c r="W80" s="522">
        <f t="shared" ref="W80:W92" si="28">O80/H80/6</f>
        <v>1.9739881535217016</v>
      </c>
      <c r="X80" s="522">
        <v>2.2200000000000002</v>
      </c>
      <c r="Y80" s="525">
        <v>178.8</v>
      </c>
      <c r="Z80" s="835">
        <f t="shared" ref="Z80:Z91" si="29">K80-L80</f>
        <v>-3420.83</v>
      </c>
      <c r="AA80" s="816"/>
      <c r="AB80" s="816"/>
      <c r="AC80" s="816"/>
      <c r="AD80" s="816"/>
      <c r="AE80" s="816"/>
      <c r="AF80" s="534"/>
      <c r="AG80" s="534"/>
      <c r="AH80" s="250"/>
      <c r="AI80" s="66"/>
      <c r="AJ80" s="66"/>
      <c r="AK80" s="35"/>
      <c r="AL80" s="66"/>
      <c r="AM80" s="66"/>
      <c r="AN80" s="66"/>
      <c r="AO80" s="30"/>
      <c r="AP80" s="35"/>
      <c r="AQ80" s="30"/>
      <c r="AR80" s="67"/>
      <c r="AS80" s="67"/>
      <c r="AT80" s="68"/>
      <c r="AU80" s="67"/>
      <c r="AV80" s="68"/>
      <c r="AW80" s="67"/>
      <c r="AX80" s="126"/>
      <c r="AY80" s="35"/>
    </row>
    <row r="81" spans="1:51" s="124" customFormat="1" x14ac:dyDescent="0.25">
      <c r="A81" s="16">
        <v>3</v>
      </c>
      <c r="B81" s="16"/>
      <c r="C81" s="424" t="s">
        <v>60</v>
      </c>
      <c r="D81" s="675">
        <v>1972</v>
      </c>
      <c r="E81" s="675">
        <v>2</v>
      </c>
      <c r="F81" s="675">
        <v>18</v>
      </c>
      <c r="G81" s="675">
        <v>57</v>
      </c>
      <c r="H81" s="676">
        <v>776.8</v>
      </c>
      <c r="I81" s="951"/>
      <c r="J81" s="951"/>
      <c r="K81" s="521">
        <v>10347.06</v>
      </c>
      <c r="L81" s="521">
        <v>8944.81</v>
      </c>
      <c r="M81" s="974"/>
      <c r="N81" s="974"/>
      <c r="O81" s="521">
        <f t="shared" si="23"/>
        <v>9200.3639859339455</v>
      </c>
      <c r="P81" s="591"/>
      <c r="Q81" s="521">
        <f t="shared" si="24"/>
        <v>55.184397023166518</v>
      </c>
      <c r="R81" s="522">
        <f t="shared" si="25"/>
        <v>7608.3024866146252</v>
      </c>
      <c r="S81" s="522">
        <f t="shared" ref="S81:S91" si="30">R81*0.202</f>
        <v>1536.8771022961544</v>
      </c>
      <c r="T81" s="592"/>
      <c r="U81" s="522">
        <f t="shared" si="26"/>
        <v>1146.696014066054</v>
      </c>
      <c r="V81" s="522">
        <f t="shared" si="27"/>
        <v>86.44784122253084</v>
      </c>
      <c r="W81" s="522">
        <f t="shared" si="28"/>
        <v>1.9739881535217014</v>
      </c>
      <c r="X81" s="522">
        <v>2.2200000000000002</v>
      </c>
      <c r="Y81" s="525">
        <v>48.8</v>
      </c>
      <c r="Z81" s="835">
        <f t="shared" si="29"/>
        <v>1402.25</v>
      </c>
      <c r="AA81" s="816"/>
      <c r="AB81" s="816"/>
      <c r="AC81" s="816"/>
      <c r="AD81" s="816"/>
      <c r="AE81" s="816"/>
      <c r="AF81" s="534"/>
      <c r="AG81" s="534"/>
      <c r="AH81" s="250"/>
      <c r="AI81" s="66"/>
      <c r="AJ81" s="66"/>
      <c r="AK81" s="35"/>
      <c r="AL81" s="66"/>
      <c r="AM81" s="66"/>
      <c r="AN81" s="66"/>
      <c r="AO81" s="30"/>
      <c r="AP81" s="35"/>
      <c r="AQ81" s="30"/>
      <c r="AR81" s="67"/>
      <c r="AS81" s="67"/>
      <c r="AT81" s="68"/>
      <c r="AU81" s="67"/>
      <c r="AV81" s="68"/>
      <c r="AW81" s="67"/>
      <c r="AX81" s="126"/>
      <c r="AY81" s="35"/>
    </row>
    <row r="82" spans="1:51" s="124" customFormat="1" x14ac:dyDescent="0.25">
      <c r="A82" s="16">
        <v>4</v>
      </c>
      <c r="B82" s="16"/>
      <c r="C82" s="424" t="s">
        <v>61</v>
      </c>
      <c r="D82" s="675">
        <v>1973</v>
      </c>
      <c r="E82" s="675">
        <v>2</v>
      </c>
      <c r="F82" s="675">
        <v>18</v>
      </c>
      <c r="G82" s="675">
        <v>49</v>
      </c>
      <c r="H82" s="676">
        <v>773.51</v>
      </c>
      <c r="I82" s="951"/>
      <c r="J82" s="951"/>
      <c r="K82" s="521">
        <v>10315.32</v>
      </c>
      <c r="L82" s="521">
        <v>10167.700000000001</v>
      </c>
      <c r="M82" s="974"/>
      <c r="N82" s="974"/>
      <c r="O82" s="521">
        <f t="shared" si="23"/>
        <v>9161.3974597834276</v>
      </c>
      <c r="P82" s="591"/>
      <c r="Q82" s="521">
        <f t="shared" si="24"/>
        <v>54.950673199523095</v>
      </c>
      <c r="R82" s="522">
        <f t="shared" si="25"/>
        <v>7576.0788573909358</v>
      </c>
      <c r="S82" s="522">
        <f t="shared" si="30"/>
        <v>1530.3679291929691</v>
      </c>
      <c r="T82" s="592"/>
      <c r="U82" s="522">
        <f t="shared" si="26"/>
        <v>1153.9225402165721</v>
      </c>
      <c r="V82" s="522">
        <f t="shared" si="27"/>
        <v>98.568924667387932</v>
      </c>
      <c r="W82" s="522">
        <f t="shared" si="28"/>
        <v>1.9739881535217014</v>
      </c>
      <c r="X82" s="522">
        <v>2.2200000000000002</v>
      </c>
      <c r="Y82" s="525">
        <v>89.2</v>
      </c>
      <c r="Z82" s="835">
        <f t="shared" si="29"/>
        <v>147.61999999999898</v>
      </c>
      <c r="AA82" s="816"/>
      <c r="AB82" s="816"/>
      <c r="AC82" s="816"/>
      <c r="AD82" s="816"/>
      <c r="AE82" s="816"/>
      <c r="AF82" s="534"/>
      <c r="AG82" s="534"/>
      <c r="AH82" s="250"/>
      <c r="AI82" s="66"/>
      <c r="AJ82" s="66"/>
      <c r="AK82" s="35"/>
      <c r="AL82" s="66"/>
      <c r="AM82" s="66"/>
      <c r="AN82" s="66"/>
      <c r="AO82" s="30"/>
      <c r="AP82" s="35"/>
      <c r="AQ82" s="30"/>
      <c r="AR82" s="67"/>
      <c r="AS82" s="67"/>
      <c r="AT82" s="68"/>
      <c r="AU82" s="67"/>
      <c r="AV82" s="68"/>
      <c r="AW82" s="67"/>
      <c r="AX82" s="126"/>
      <c r="AY82" s="35"/>
    </row>
    <row r="83" spans="1:51" s="124" customFormat="1" x14ac:dyDescent="0.25">
      <c r="A83" s="16">
        <v>5</v>
      </c>
      <c r="B83" s="16"/>
      <c r="C83" s="424" t="s">
        <v>62</v>
      </c>
      <c r="D83" s="675">
        <v>1980</v>
      </c>
      <c r="E83" s="675">
        <v>3</v>
      </c>
      <c r="F83" s="675">
        <v>36</v>
      </c>
      <c r="G83" s="675">
        <v>93</v>
      </c>
      <c r="H83" s="676">
        <v>1799.9</v>
      </c>
      <c r="I83" s="951"/>
      <c r="J83" s="951"/>
      <c r="K83" s="521">
        <v>27615.78</v>
      </c>
      <c r="L83" s="521">
        <v>25546.13</v>
      </c>
      <c r="M83" s="974"/>
      <c r="N83" s="974"/>
      <c r="O83" s="521">
        <f t="shared" si="23"/>
        <v>21317.887665142262</v>
      </c>
      <c r="P83" s="591"/>
      <c r="Q83" s="521">
        <f t="shared" si="24"/>
        <v>127.86611251544468</v>
      </c>
      <c r="R83" s="522">
        <f t="shared" si="25"/>
        <v>17628.969677726138</v>
      </c>
      <c r="S83" s="522">
        <f t="shared" si="30"/>
        <v>3561.0518749006801</v>
      </c>
      <c r="T83" s="592"/>
      <c r="U83" s="522">
        <f t="shared" si="26"/>
        <v>6297.8923348577373</v>
      </c>
      <c r="V83" s="522">
        <f t="shared" si="27"/>
        <v>92.505552984561731</v>
      </c>
      <c r="W83" s="522">
        <f t="shared" si="28"/>
        <v>1.9739881535217012</v>
      </c>
      <c r="X83" s="522">
        <v>2.56</v>
      </c>
      <c r="Y83" s="525">
        <v>168.1</v>
      </c>
      <c r="Z83" s="835">
        <f t="shared" si="29"/>
        <v>2069.6499999999978</v>
      </c>
      <c r="AA83" s="816"/>
      <c r="AB83" s="816"/>
      <c r="AC83" s="816"/>
      <c r="AD83" s="816"/>
      <c r="AE83" s="816"/>
      <c r="AF83" s="534"/>
      <c r="AG83" s="534"/>
      <c r="AH83" s="250"/>
      <c r="AI83" s="66"/>
      <c r="AJ83" s="66"/>
      <c r="AK83" s="35"/>
      <c r="AL83" s="66"/>
      <c r="AM83" s="66"/>
      <c r="AN83" s="66"/>
      <c r="AO83" s="30"/>
      <c r="AP83" s="35"/>
      <c r="AQ83" s="30"/>
      <c r="AR83" s="67"/>
      <c r="AS83" s="67"/>
      <c r="AT83" s="68"/>
      <c r="AU83" s="67"/>
      <c r="AV83" s="68"/>
      <c r="AW83" s="67"/>
      <c r="AX83" s="126"/>
      <c r="AY83" s="35"/>
    </row>
    <row r="84" spans="1:51" s="124" customFormat="1" x14ac:dyDescent="0.25">
      <c r="A84" s="16">
        <v>6</v>
      </c>
      <c r="B84" s="16"/>
      <c r="C84" s="424" t="s">
        <v>63</v>
      </c>
      <c r="D84" s="675">
        <v>1982</v>
      </c>
      <c r="E84" s="675">
        <v>3</v>
      </c>
      <c r="F84" s="675">
        <v>24</v>
      </c>
      <c r="G84" s="675">
        <v>84</v>
      </c>
      <c r="H84" s="676">
        <v>1454.2</v>
      </c>
      <c r="I84" s="951"/>
      <c r="J84" s="951"/>
      <c r="K84" s="521">
        <v>21114.959999999999</v>
      </c>
      <c r="L84" s="521">
        <v>17467.25</v>
      </c>
      <c r="M84" s="974"/>
      <c r="N84" s="974"/>
      <c r="O84" s="521">
        <f t="shared" si="23"/>
        <v>17223.441437107551</v>
      </c>
      <c r="P84" s="591"/>
      <c r="Q84" s="521">
        <f t="shared" si="24"/>
        <v>103.30735086391448</v>
      </c>
      <c r="R84" s="522">
        <f t="shared" si="25"/>
        <v>14243.040005194372</v>
      </c>
      <c r="S84" s="522">
        <f t="shared" si="30"/>
        <v>2877.0940810492634</v>
      </c>
      <c r="T84" s="592"/>
      <c r="U84" s="522">
        <f t="shared" si="26"/>
        <v>3891.5185628924482</v>
      </c>
      <c r="V84" s="522">
        <f t="shared" si="27"/>
        <v>82.724523276387927</v>
      </c>
      <c r="W84" s="522">
        <f t="shared" si="28"/>
        <v>1.9739881535217014</v>
      </c>
      <c r="X84" s="522">
        <v>2.42</v>
      </c>
      <c r="Y84" s="525">
        <v>177.8</v>
      </c>
      <c r="Z84" s="835">
        <f t="shared" si="29"/>
        <v>3647.7099999999991</v>
      </c>
      <c r="AA84" s="816"/>
      <c r="AB84" s="816"/>
      <c r="AC84" s="816"/>
      <c r="AD84" s="816"/>
      <c r="AE84" s="816"/>
      <c r="AF84" s="534"/>
      <c r="AG84" s="534"/>
      <c r="AH84" s="250"/>
      <c r="AI84" s="66"/>
      <c r="AJ84" s="66"/>
      <c r="AK84" s="35"/>
      <c r="AL84" s="66"/>
      <c r="AM84" s="66"/>
      <c r="AN84" s="66"/>
      <c r="AO84" s="30"/>
      <c r="AP84" s="35"/>
      <c r="AQ84" s="30"/>
      <c r="AR84" s="67"/>
      <c r="AS84" s="67"/>
      <c r="AT84" s="68"/>
      <c r="AU84" s="67"/>
      <c r="AV84" s="68"/>
      <c r="AW84" s="67"/>
      <c r="AX84" s="126"/>
      <c r="AY84" s="35"/>
    </row>
    <row r="85" spans="1:51" s="124" customFormat="1" x14ac:dyDescent="0.25">
      <c r="A85" s="16">
        <v>7</v>
      </c>
      <c r="B85" s="16"/>
      <c r="C85" s="424" t="s">
        <v>64</v>
      </c>
      <c r="D85" s="675">
        <v>1982</v>
      </c>
      <c r="E85" s="675">
        <v>3</v>
      </c>
      <c r="F85" s="675">
        <v>24</v>
      </c>
      <c r="G85" s="675">
        <v>95</v>
      </c>
      <c r="H85" s="676">
        <v>1458.3</v>
      </c>
      <c r="I85" s="951"/>
      <c r="J85" s="951"/>
      <c r="K85" s="521">
        <v>21165.78</v>
      </c>
      <c r="L85" s="521">
        <v>20012.87</v>
      </c>
      <c r="M85" s="974"/>
      <c r="N85" s="974"/>
      <c r="O85" s="521">
        <f t="shared" si="23"/>
        <v>17272.001545684183</v>
      </c>
      <c r="P85" s="591"/>
      <c r="Q85" s="521">
        <f t="shared" si="24"/>
        <v>103.59861763502026</v>
      </c>
      <c r="R85" s="522">
        <f t="shared" si="25"/>
        <v>14283.197111521766</v>
      </c>
      <c r="S85" s="522">
        <f t="shared" si="30"/>
        <v>2885.205816527397</v>
      </c>
      <c r="T85" s="592"/>
      <c r="U85" s="522">
        <f t="shared" si="26"/>
        <v>3893.7784543158159</v>
      </c>
      <c r="V85" s="522">
        <f t="shared" si="27"/>
        <v>94.552952926847013</v>
      </c>
      <c r="W85" s="522">
        <f t="shared" si="28"/>
        <v>1.9739881535217014</v>
      </c>
      <c r="X85" s="522">
        <v>2.42</v>
      </c>
      <c r="Y85" s="525">
        <v>177.9</v>
      </c>
      <c r="Z85" s="835">
        <f t="shared" si="29"/>
        <v>1152.9099999999999</v>
      </c>
      <c r="AA85" s="816"/>
      <c r="AB85" s="816"/>
      <c r="AC85" s="816"/>
      <c r="AD85" s="816"/>
      <c r="AE85" s="816"/>
      <c r="AF85" s="534"/>
      <c r="AG85" s="534"/>
      <c r="AH85" s="250"/>
      <c r="AI85" s="66"/>
      <c r="AJ85" s="66"/>
      <c r="AK85" s="35"/>
      <c r="AL85" s="66"/>
      <c r="AM85" s="66"/>
      <c r="AN85" s="66"/>
      <c r="AO85" s="30"/>
      <c r="AP85" s="35"/>
      <c r="AQ85" s="30"/>
      <c r="AR85" s="67"/>
      <c r="AS85" s="67"/>
      <c r="AT85" s="68"/>
      <c r="AU85" s="67"/>
      <c r="AV85" s="68"/>
      <c r="AW85" s="67"/>
      <c r="AX85" s="126"/>
      <c r="AY85" s="35"/>
    </row>
    <row r="86" spans="1:51" s="124" customFormat="1" x14ac:dyDescent="0.25">
      <c r="A86" s="16">
        <v>8</v>
      </c>
      <c r="B86" s="16"/>
      <c r="C86" s="424" t="s">
        <v>65</v>
      </c>
      <c r="D86" s="675">
        <v>1983</v>
      </c>
      <c r="E86" s="675">
        <v>3</v>
      </c>
      <c r="F86" s="675">
        <v>24</v>
      </c>
      <c r="G86" s="675">
        <v>83</v>
      </c>
      <c r="H86" s="676">
        <v>1446.6</v>
      </c>
      <c r="I86" s="951"/>
      <c r="J86" s="951"/>
      <c r="K86" s="521">
        <v>20829.599999999999</v>
      </c>
      <c r="L86" s="521">
        <v>19552.310000000001</v>
      </c>
      <c r="M86" s="974"/>
      <c r="N86" s="974"/>
      <c r="O86" s="521">
        <f t="shared" si="23"/>
        <v>17133.42757730696</v>
      </c>
      <c r="P86" s="591"/>
      <c r="Q86" s="521">
        <f t="shared" si="24"/>
        <v>102.76744172723055</v>
      </c>
      <c r="R86" s="522">
        <f t="shared" si="25"/>
        <v>14168.60244224603</v>
      </c>
      <c r="S86" s="522">
        <f t="shared" si="30"/>
        <v>2862.0576933336984</v>
      </c>
      <c r="T86" s="592"/>
      <c r="U86" s="522">
        <f t="shared" si="26"/>
        <v>3696.1724226930382</v>
      </c>
      <c r="V86" s="522">
        <f t="shared" si="27"/>
        <v>93.86790912931599</v>
      </c>
      <c r="W86" s="522">
        <f t="shared" si="28"/>
        <v>1.9739881535217016</v>
      </c>
      <c r="X86" s="522">
        <v>2.4</v>
      </c>
      <c r="Y86" s="525">
        <v>177.7</v>
      </c>
      <c r="Z86" s="835">
        <f t="shared" si="29"/>
        <v>1277.2899999999972</v>
      </c>
      <c r="AA86" s="816"/>
      <c r="AB86" s="816"/>
      <c r="AC86" s="816"/>
      <c r="AD86" s="816"/>
      <c r="AE86" s="816"/>
      <c r="AF86" s="534"/>
      <c r="AG86" s="534"/>
      <c r="AH86" s="250"/>
      <c r="AI86" s="66"/>
      <c r="AJ86" s="66"/>
      <c r="AK86" s="35"/>
      <c r="AL86" s="66"/>
      <c r="AM86" s="66"/>
      <c r="AN86" s="66"/>
      <c r="AO86" s="30"/>
      <c r="AP86" s="35"/>
      <c r="AQ86" s="30"/>
      <c r="AR86" s="67"/>
      <c r="AS86" s="67"/>
      <c r="AT86" s="68"/>
      <c r="AU86" s="67"/>
      <c r="AV86" s="30"/>
      <c r="AW86" s="67"/>
      <c r="AX86" s="126"/>
      <c r="AY86" s="35"/>
    </row>
    <row r="87" spans="1:51" s="124" customFormat="1" x14ac:dyDescent="0.25">
      <c r="A87" s="16">
        <v>9</v>
      </c>
      <c r="B87" s="16"/>
      <c r="C87" s="424" t="s">
        <v>66</v>
      </c>
      <c r="D87" s="675">
        <v>1984</v>
      </c>
      <c r="E87" s="675">
        <v>3</v>
      </c>
      <c r="F87" s="675">
        <v>24</v>
      </c>
      <c r="G87" s="675">
        <v>68</v>
      </c>
      <c r="H87" s="676">
        <v>1448</v>
      </c>
      <c r="I87" s="951"/>
      <c r="J87" s="951"/>
      <c r="K87" s="521">
        <v>20851.2</v>
      </c>
      <c r="L87" s="521">
        <v>20795.060000000001</v>
      </c>
      <c r="M87" s="974"/>
      <c r="N87" s="974"/>
      <c r="O87" s="521">
        <f t="shared" si="23"/>
        <v>17150.009077796542</v>
      </c>
      <c r="P87" s="591"/>
      <c r="Q87" s="521">
        <f t="shared" si="24"/>
        <v>102.8668986734618</v>
      </c>
      <c r="R87" s="522">
        <f t="shared" si="25"/>
        <v>14182.31462489441</v>
      </c>
      <c r="S87" s="522">
        <f t="shared" si="30"/>
        <v>2864.827554228671</v>
      </c>
      <c r="T87" s="592"/>
      <c r="U87" s="522">
        <f t="shared" si="26"/>
        <v>3701.1909222034592</v>
      </c>
      <c r="V87" s="522">
        <f t="shared" si="27"/>
        <v>99.730758901166354</v>
      </c>
      <c r="W87" s="522">
        <f t="shared" si="28"/>
        <v>1.9739881535217014</v>
      </c>
      <c r="X87" s="522">
        <v>2.4</v>
      </c>
      <c r="Y87" s="525">
        <v>176.3</v>
      </c>
      <c r="Z87" s="835">
        <f t="shared" si="29"/>
        <v>56.139999999999418</v>
      </c>
      <c r="AA87" s="816"/>
      <c r="AB87" s="816"/>
      <c r="AC87" s="816"/>
      <c r="AD87" s="816"/>
      <c r="AE87" s="816"/>
      <c r="AF87" s="534"/>
      <c r="AG87" s="534"/>
      <c r="AH87" s="250"/>
      <c r="AI87" s="66"/>
      <c r="AJ87" s="66"/>
      <c r="AK87" s="35"/>
      <c r="AL87" s="66"/>
      <c r="AM87" s="66"/>
      <c r="AN87" s="66"/>
      <c r="AO87" s="30"/>
      <c r="AP87" s="35"/>
      <c r="AQ87" s="30"/>
      <c r="AR87" s="67"/>
      <c r="AS87" s="67"/>
      <c r="AT87" s="68"/>
      <c r="AU87" s="67"/>
      <c r="AV87" s="68"/>
      <c r="AW87" s="67"/>
      <c r="AX87" s="126"/>
      <c r="AY87" s="35"/>
    </row>
    <row r="88" spans="1:51" s="124" customFormat="1" x14ac:dyDescent="0.25">
      <c r="A88" s="16">
        <v>10</v>
      </c>
      <c r="B88" s="16"/>
      <c r="C88" s="424" t="s">
        <v>67</v>
      </c>
      <c r="D88" s="675">
        <v>1987</v>
      </c>
      <c r="E88" s="675">
        <v>3</v>
      </c>
      <c r="F88" s="675">
        <v>27</v>
      </c>
      <c r="G88" s="675">
        <v>82</v>
      </c>
      <c r="H88" s="676">
        <v>1459.2</v>
      </c>
      <c r="I88" s="951"/>
      <c r="J88" s="951"/>
      <c r="K88" s="521">
        <v>21026.400000000001</v>
      </c>
      <c r="L88" s="521">
        <v>20658.5</v>
      </c>
      <c r="M88" s="974"/>
      <c r="N88" s="974"/>
      <c r="O88" s="521">
        <f t="shared" si="23"/>
        <v>17282.661081713202</v>
      </c>
      <c r="P88" s="591"/>
      <c r="Q88" s="521">
        <f t="shared" si="24"/>
        <v>103.66255424331179</v>
      </c>
      <c r="R88" s="522">
        <f t="shared" si="25"/>
        <v>14292.012086081439</v>
      </c>
      <c r="S88" s="522">
        <f t="shared" si="30"/>
        <v>2886.9864413884507</v>
      </c>
      <c r="T88" s="592"/>
      <c r="U88" s="522">
        <f t="shared" si="26"/>
        <v>3743.7389182867992</v>
      </c>
      <c r="V88" s="522">
        <f t="shared" si="27"/>
        <v>98.250294867404776</v>
      </c>
      <c r="W88" s="522">
        <f t="shared" si="28"/>
        <v>1.9739881535217016</v>
      </c>
      <c r="X88" s="522">
        <v>2.4</v>
      </c>
      <c r="Y88" s="525">
        <v>176.3</v>
      </c>
      <c r="Z88" s="835">
        <f t="shared" si="29"/>
        <v>367.90000000000146</v>
      </c>
      <c r="AA88" s="816"/>
      <c r="AB88" s="816"/>
      <c r="AC88" s="816"/>
      <c r="AD88" s="816"/>
      <c r="AE88" s="816"/>
      <c r="AF88" s="534"/>
      <c r="AG88" s="534"/>
      <c r="AH88" s="250"/>
      <c r="AI88" s="66"/>
      <c r="AJ88" s="66"/>
      <c r="AK88" s="35"/>
      <c r="AL88" s="66"/>
      <c r="AM88" s="66"/>
      <c r="AN88" s="66"/>
      <c r="AO88" s="30"/>
      <c r="AP88" s="35"/>
      <c r="AQ88" s="30"/>
      <c r="AR88" s="67"/>
      <c r="AS88" s="67"/>
      <c r="AT88" s="68"/>
      <c r="AU88" s="67"/>
      <c r="AV88" s="68"/>
      <c r="AW88" s="67"/>
      <c r="AX88" s="126"/>
      <c r="AY88" s="35"/>
    </row>
    <row r="89" spans="1:51" s="124" customFormat="1" x14ac:dyDescent="0.25">
      <c r="A89" s="16">
        <v>11</v>
      </c>
      <c r="B89" s="16"/>
      <c r="C89" s="424" t="s">
        <v>72</v>
      </c>
      <c r="D89" s="675">
        <v>1968</v>
      </c>
      <c r="E89" s="675">
        <v>2</v>
      </c>
      <c r="F89" s="675">
        <v>16</v>
      </c>
      <c r="G89" s="675">
        <v>36</v>
      </c>
      <c r="H89" s="676">
        <v>722.8</v>
      </c>
      <c r="I89" s="951"/>
      <c r="J89" s="951"/>
      <c r="K89" s="521">
        <v>9590.4</v>
      </c>
      <c r="L89" s="521">
        <v>7865.09</v>
      </c>
      <c r="M89" s="974"/>
      <c r="N89" s="974"/>
      <c r="O89" s="521">
        <f t="shared" si="23"/>
        <v>8560.7918241929146</v>
      </c>
      <c r="P89" s="591"/>
      <c r="Q89" s="521">
        <f t="shared" si="24"/>
        <v>51.348200525675544</v>
      </c>
      <c r="R89" s="522">
        <f t="shared" si="25"/>
        <v>7079.4040130343083</v>
      </c>
      <c r="S89" s="522">
        <f t="shared" si="30"/>
        <v>1430.0396106329304</v>
      </c>
      <c r="T89" s="592"/>
      <c r="U89" s="522">
        <f t="shared" si="26"/>
        <v>1029.608175807085</v>
      </c>
      <c r="V89" s="522">
        <f t="shared" si="27"/>
        <v>82.010030864197532</v>
      </c>
      <c r="W89" s="522">
        <f t="shared" si="28"/>
        <v>1.9739881535217014</v>
      </c>
      <c r="X89" s="522">
        <v>2.2200000000000002</v>
      </c>
      <c r="Y89" s="525">
        <v>59.6</v>
      </c>
      <c r="Z89" s="835">
        <f t="shared" si="29"/>
        <v>1725.3099999999995</v>
      </c>
      <c r="AA89" s="816"/>
      <c r="AB89" s="816"/>
      <c r="AC89" s="816"/>
      <c r="AD89" s="816"/>
      <c r="AE89" s="816"/>
      <c r="AF89" s="534"/>
      <c r="AG89" s="534"/>
      <c r="AH89" s="250"/>
      <c r="AI89" s="66"/>
      <c r="AJ89" s="66"/>
      <c r="AK89" s="35"/>
      <c r="AL89" s="66"/>
      <c r="AM89" s="66"/>
      <c r="AN89" s="66"/>
      <c r="AO89" s="30"/>
      <c r="AP89" s="35"/>
      <c r="AQ89" s="30"/>
      <c r="AR89" s="67"/>
      <c r="AS89" s="67"/>
      <c r="AT89" s="68"/>
      <c r="AU89" s="67"/>
      <c r="AV89" s="30"/>
      <c r="AW89" s="67"/>
      <c r="AX89" s="126"/>
      <c r="AY89" s="35"/>
    </row>
    <row r="90" spans="1:51" s="124" customFormat="1" x14ac:dyDescent="0.25">
      <c r="A90" s="16">
        <v>12</v>
      </c>
      <c r="B90" s="16"/>
      <c r="C90" s="424" t="s">
        <v>73</v>
      </c>
      <c r="D90" s="675">
        <v>1971</v>
      </c>
      <c r="E90" s="675">
        <v>2</v>
      </c>
      <c r="F90" s="675">
        <v>16</v>
      </c>
      <c r="G90" s="675">
        <v>47</v>
      </c>
      <c r="H90" s="676">
        <v>727.4</v>
      </c>
      <c r="I90" s="951"/>
      <c r="J90" s="951"/>
      <c r="K90" s="521">
        <v>9687.66</v>
      </c>
      <c r="L90" s="521">
        <v>8305.73</v>
      </c>
      <c r="M90" s="974"/>
      <c r="N90" s="974"/>
      <c r="O90" s="521">
        <f t="shared" si="23"/>
        <v>8615.273897230114</v>
      </c>
      <c r="P90" s="591"/>
      <c r="Q90" s="521">
        <f t="shared" si="24"/>
        <v>51.67498763472107</v>
      </c>
      <c r="R90" s="522">
        <f t="shared" si="25"/>
        <v>7124.4583274504093</v>
      </c>
      <c r="S90" s="522">
        <f t="shared" si="30"/>
        <v>1439.1405821449828</v>
      </c>
      <c r="T90" s="592"/>
      <c r="U90" s="522">
        <f t="shared" si="26"/>
        <v>1072.3861027698858</v>
      </c>
      <c r="V90" s="522">
        <f t="shared" si="27"/>
        <v>85.735151729106917</v>
      </c>
      <c r="W90" s="522">
        <f t="shared" si="28"/>
        <v>1.9739881535217014</v>
      </c>
      <c r="X90" s="522">
        <v>2.2200000000000002</v>
      </c>
      <c r="Y90" s="525">
        <v>59.6</v>
      </c>
      <c r="Z90" s="835">
        <f t="shared" si="29"/>
        <v>1381.9300000000003</v>
      </c>
      <c r="AA90" s="816"/>
      <c r="AB90" s="816"/>
      <c r="AC90" s="816"/>
      <c r="AD90" s="816"/>
      <c r="AE90" s="816"/>
      <c r="AF90" s="534"/>
      <c r="AG90" s="534"/>
      <c r="AH90" s="250"/>
      <c r="AI90" s="66"/>
      <c r="AJ90" s="66"/>
      <c r="AK90" s="35"/>
      <c r="AL90" s="66"/>
      <c r="AM90" s="66"/>
      <c r="AN90" s="66"/>
      <c r="AO90" s="30"/>
      <c r="AP90" s="35"/>
      <c r="AQ90" s="30"/>
      <c r="AR90" s="67"/>
      <c r="AS90" s="67"/>
      <c r="AT90" s="68"/>
      <c r="AU90" s="67"/>
      <c r="AV90" s="30"/>
      <c r="AW90" s="67"/>
      <c r="AX90" s="126"/>
      <c r="AY90" s="35"/>
    </row>
    <row r="91" spans="1:51" s="124" customFormat="1" x14ac:dyDescent="0.25">
      <c r="A91" s="257">
        <v>13</v>
      </c>
      <c r="B91" s="257"/>
      <c r="C91" s="526" t="s">
        <v>74</v>
      </c>
      <c r="D91" s="813">
        <v>1960</v>
      </c>
      <c r="E91" s="813">
        <v>2</v>
      </c>
      <c r="F91" s="813">
        <v>16</v>
      </c>
      <c r="G91" s="813">
        <v>44</v>
      </c>
      <c r="H91" s="689">
        <v>724.7</v>
      </c>
      <c r="I91" s="971"/>
      <c r="J91" s="971"/>
      <c r="K91" s="527">
        <v>9653.0400000000009</v>
      </c>
      <c r="L91" s="527">
        <v>10535.65</v>
      </c>
      <c r="M91" s="975"/>
      <c r="N91" s="975"/>
      <c r="O91" s="521">
        <f t="shared" si="23"/>
        <v>8583.2952891430632</v>
      </c>
      <c r="P91" s="591"/>
      <c r="Q91" s="521">
        <f t="shared" si="24"/>
        <v>51.483177809846531</v>
      </c>
      <c r="R91" s="522">
        <f t="shared" si="25"/>
        <v>7098.0134037713942</v>
      </c>
      <c r="S91" s="522">
        <f t="shared" si="30"/>
        <v>1433.7987075618216</v>
      </c>
      <c r="T91" s="592"/>
      <c r="U91" s="522">
        <f t="shared" si="26"/>
        <v>1069.7447108569377</v>
      </c>
      <c r="V91" s="522">
        <f t="shared" si="27"/>
        <v>109.14333722847931</v>
      </c>
      <c r="W91" s="522">
        <f t="shared" si="28"/>
        <v>1.9739881535217014</v>
      </c>
      <c r="X91" s="529">
        <v>2.2200000000000002</v>
      </c>
      <c r="Y91" s="525">
        <v>58.6</v>
      </c>
      <c r="Z91" s="835">
        <f t="shared" si="29"/>
        <v>-882.60999999999876</v>
      </c>
      <c r="AA91" s="816"/>
      <c r="AB91" s="816"/>
      <c r="AC91" s="816"/>
      <c r="AD91" s="816"/>
      <c r="AE91" s="816"/>
      <c r="AF91" s="534"/>
      <c r="AG91" s="534"/>
      <c r="AH91" s="250"/>
      <c r="AI91" s="66"/>
      <c r="AJ91" s="66"/>
      <c r="AK91" s="35"/>
      <c r="AL91" s="66"/>
      <c r="AM91" s="66"/>
      <c r="AN91" s="66"/>
      <c r="AO91" s="30"/>
      <c r="AP91" s="35"/>
      <c r="AQ91" s="30"/>
      <c r="AR91" s="67"/>
      <c r="AS91" s="67"/>
      <c r="AT91" s="68"/>
      <c r="AU91" s="67"/>
      <c r="AV91" s="68"/>
      <c r="AW91" s="67"/>
      <c r="AX91" s="126"/>
      <c r="AY91" s="35"/>
    </row>
    <row r="92" spans="1:51" x14ac:dyDescent="0.25">
      <c r="A92" s="386"/>
      <c r="B92" s="386"/>
      <c r="C92" s="531" t="s">
        <v>89</v>
      </c>
      <c r="D92" s="815"/>
      <c r="E92" s="387">
        <f t="shared" ref="E92:L92" si="31">SUM(E79:E91)</f>
        <v>34</v>
      </c>
      <c r="F92" s="387">
        <f t="shared" si="31"/>
        <v>291</v>
      </c>
      <c r="G92" s="387">
        <f t="shared" si="31"/>
        <v>916</v>
      </c>
      <c r="H92" s="836">
        <f t="shared" si="31"/>
        <v>15709.310000000001</v>
      </c>
      <c r="I92" s="977"/>
      <c r="J92" s="977"/>
      <c r="K92" s="537">
        <f t="shared" si="31"/>
        <v>211184.49000000002</v>
      </c>
      <c r="L92" s="537">
        <f t="shared" si="31"/>
        <v>199099.26</v>
      </c>
      <c r="M92" s="976"/>
      <c r="N92" s="976"/>
      <c r="O92" s="537">
        <f>SUM(O79:O91)</f>
        <v>186059.95103999999</v>
      </c>
      <c r="P92" s="568">
        <f>SUM(P79:P91)</f>
        <v>0</v>
      </c>
      <c r="Q92" s="537">
        <f>SUM(Q79:Q91)</f>
        <v>1116</v>
      </c>
      <c r="R92" s="537">
        <f t="shared" ref="R92:T92" si="32">SUM(R79:R91)</f>
        <v>153863.51999999999</v>
      </c>
      <c r="S92" s="537">
        <f t="shared" si="32"/>
        <v>31080.431040000007</v>
      </c>
      <c r="T92" s="593">
        <f t="shared" si="32"/>
        <v>0</v>
      </c>
      <c r="U92" s="540">
        <f t="shared" si="26"/>
        <v>25124.538960000034</v>
      </c>
      <c r="V92" s="540">
        <f t="shared" si="27"/>
        <v>94.27740645158174</v>
      </c>
      <c r="W92" s="539">
        <f t="shared" si="28"/>
        <v>1.9739881535217012</v>
      </c>
      <c r="X92" s="539"/>
      <c r="Y92" s="837">
        <f>SUM(Y79:Y91)</f>
        <v>1727.4999999999995</v>
      </c>
      <c r="Z92" s="838">
        <f>SUM(Z79:Z91)</f>
        <v>12085.229999999998</v>
      </c>
      <c r="AA92" s="816"/>
      <c r="AB92" s="816"/>
      <c r="AC92" s="816"/>
      <c r="AD92" s="816"/>
      <c r="AE92" s="816"/>
      <c r="AF92" s="534"/>
      <c r="AG92" s="534"/>
      <c r="AH92" s="250"/>
      <c r="AI92" s="9"/>
      <c r="AJ92" s="9"/>
      <c r="AK92" s="9"/>
      <c r="AL92" s="9"/>
      <c r="AM92" s="9"/>
      <c r="AN92" s="9"/>
      <c r="AO92" s="9"/>
      <c r="AP92" s="86"/>
      <c r="AQ92" s="9"/>
      <c r="AR92" s="9"/>
      <c r="AS92" s="9"/>
      <c r="AT92" s="9"/>
      <c r="AU92" s="9"/>
      <c r="AV92" s="9"/>
      <c r="AW92" s="9"/>
      <c r="AX92" s="128"/>
      <c r="AY92" s="9"/>
    </row>
    <row r="93" spans="1:51" x14ac:dyDescent="0.25">
      <c r="C93" s="831"/>
      <c r="D93" s="831"/>
      <c r="E93" s="831"/>
      <c r="F93" s="831"/>
      <c r="G93" s="831"/>
      <c r="H93" s="831"/>
      <c r="I93" s="831"/>
      <c r="J93" s="831"/>
      <c r="K93" s="831"/>
      <c r="L93" s="831"/>
      <c r="M93" s="831"/>
      <c r="N93" s="831"/>
      <c r="O93" s="831"/>
      <c r="P93" s="536"/>
      <c r="Q93" s="839"/>
      <c r="R93" s="820">
        <f>R92+S92</f>
        <v>184943.95103999999</v>
      </c>
      <c r="S93" s="820"/>
      <c r="T93" s="831"/>
      <c r="U93" s="831"/>
      <c r="V93" s="831"/>
      <c r="W93" s="831"/>
      <c r="X93" s="831"/>
      <c r="Y93" s="816"/>
      <c r="Z93" s="816"/>
      <c r="AA93" s="816"/>
      <c r="AB93" s="816"/>
      <c r="AC93" s="816"/>
      <c r="AD93" s="816"/>
      <c r="AE93" s="816"/>
      <c r="AF93" s="534"/>
      <c r="AG93" s="534"/>
      <c r="AH93" s="250"/>
      <c r="AI93" s="9"/>
      <c r="AJ93" s="9"/>
      <c r="AK93" s="9"/>
      <c r="AL93" s="9"/>
      <c r="AM93" s="9"/>
      <c r="AN93" s="9"/>
      <c r="AO93" s="9"/>
      <c r="AP93" s="86"/>
      <c r="AQ93" s="9"/>
      <c r="AR93" s="9"/>
      <c r="AS93" s="9"/>
      <c r="AT93" s="9"/>
      <c r="AU93" s="9"/>
      <c r="AV93" s="9"/>
      <c r="AW93" s="9"/>
      <c r="AX93" s="128"/>
      <c r="AY93" s="9"/>
    </row>
    <row r="94" spans="1:51" x14ac:dyDescent="0.25">
      <c r="C94" s="828"/>
      <c r="D94" s="816"/>
      <c r="E94" s="816"/>
      <c r="F94" s="816"/>
      <c r="G94" s="816"/>
      <c r="H94" s="816"/>
      <c r="I94" s="816"/>
      <c r="J94" s="816"/>
      <c r="K94" s="816"/>
      <c r="L94" s="816"/>
      <c r="M94" s="816"/>
      <c r="N94" s="816"/>
      <c r="O94" s="816"/>
      <c r="P94" s="816"/>
      <c r="Q94" s="816"/>
      <c r="R94" s="816"/>
      <c r="S94" s="816"/>
      <c r="T94" s="816"/>
      <c r="U94" s="816"/>
      <c r="V94" s="816"/>
      <c r="W94" s="816"/>
      <c r="X94" s="816"/>
      <c r="Y94" s="816"/>
      <c r="Z94" s="816"/>
      <c r="AA94" s="816"/>
      <c r="AB94" s="816"/>
      <c r="AC94" s="816"/>
      <c r="AD94" s="816"/>
      <c r="AE94" s="816"/>
      <c r="AF94" s="534"/>
      <c r="AG94" s="534"/>
      <c r="AH94" s="250"/>
      <c r="AI94" s="9"/>
      <c r="AJ94" s="9"/>
      <c r="AK94" s="9"/>
      <c r="AL94" s="9"/>
      <c r="AM94" s="9"/>
      <c r="AN94" s="9"/>
      <c r="AO94" s="9"/>
      <c r="AP94" s="86"/>
      <c r="AQ94" s="9"/>
      <c r="AR94" s="9"/>
      <c r="AS94" s="9"/>
      <c r="AT94" s="9"/>
      <c r="AU94" s="9"/>
      <c r="AV94" s="9"/>
      <c r="AW94" s="9"/>
      <c r="AX94" s="128"/>
      <c r="AY94" s="9"/>
    </row>
    <row r="95" spans="1:51" x14ac:dyDescent="0.25">
      <c r="C95" s="816"/>
      <c r="D95" s="816"/>
      <c r="E95" s="816"/>
      <c r="F95" s="816"/>
      <c r="G95" s="816"/>
      <c r="H95" s="816"/>
      <c r="I95" s="816"/>
      <c r="J95" s="816"/>
      <c r="K95" s="816"/>
      <c r="L95" s="816"/>
      <c r="M95" s="816"/>
      <c r="N95" s="816"/>
      <c r="O95" s="816"/>
      <c r="P95" s="816"/>
      <c r="Q95" s="816"/>
      <c r="R95" s="816"/>
      <c r="S95" s="816"/>
      <c r="T95" s="816"/>
      <c r="U95" s="816"/>
      <c r="V95" s="816"/>
      <c r="W95" s="816"/>
      <c r="X95" s="816"/>
      <c r="Y95" s="816"/>
      <c r="Z95" s="816"/>
      <c r="AA95" s="816"/>
      <c r="AB95" s="816"/>
      <c r="AC95" s="816"/>
      <c r="AD95" s="816"/>
      <c r="AE95" s="816"/>
      <c r="AF95" s="534"/>
      <c r="AG95" s="534"/>
      <c r="AH95" s="250"/>
      <c r="AI95" s="9"/>
      <c r="AJ95" s="9"/>
      <c r="AK95" s="9"/>
      <c r="AL95" s="9"/>
      <c r="AM95" s="9"/>
      <c r="AN95" s="9"/>
      <c r="AO95" s="9"/>
      <c r="AP95" s="86"/>
      <c r="AQ95" s="9"/>
      <c r="AR95" s="9"/>
      <c r="AS95" s="9"/>
      <c r="AT95" s="9"/>
      <c r="AU95" s="9"/>
      <c r="AV95" s="9"/>
      <c r="AW95" s="9"/>
      <c r="AX95" s="128"/>
      <c r="AY95" s="9"/>
    </row>
    <row r="96" spans="1:51" x14ac:dyDescent="0.25">
      <c r="C96" s="375"/>
      <c r="D96" s="375"/>
      <c r="E96" s="375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49"/>
      <c r="S96" s="349"/>
      <c r="T96" s="349"/>
      <c r="U96" s="349"/>
      <c r="V96" s="349"/>
      <c r="W96" s="349"/>
      <c r="X96" s="349"/>
      <c r="Y96" s="349"/>
      <c r="Z96" s="349"/>
      <c r="AA96" s="349"/>
      <c r="AB96" s="349"/>
      <c r="AC96" s="349"/>
      <c r="AD96" s="349"/>
      <c r="AE96" s="34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86"/>
      <c r="AQ96" s="9"/>
      <c r="AR96" s="9"/>
      <c r="AS96" s="9"/>
      <c r="AT96" s="9"/>
      <c r="AU96" s="9"/>
      <c r="AV96" s="9"/>
      <c r="AW96" s="9"/>
      <c r="AX96" s="128"/>
      <c r="AY96" s="9"/>
    </row>
    <row r="97" spans="1:31" x14ac:dyDescent="0.25">
      <c r="C97" s="375"/>
      <c r="D97" s="375"/>
      <c r="E97" s="375"/>
      <c r="F97" s="375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  <c r="AE97" s="375"/>
    </row>
    <row r="98" spans="1:31" ht="18.75" x14ac:dyDescent="0.3">
      <c r="C98" s="2205" t="s">
        <v>635</v>
      </c>
      <c r="D98" s="2206"/>
      <c r="E98" s="2206"/>
      <c r="F98" s="2206"/>
      <c r="G98" s="2206"/>
      <c r="H98" s="2206"/>
      <c r="I98" s="2206"/>
      <c r="J98" s="2206"/>
      <c r="K98" s="2206"/>
      <c r="L98" s="2206"/>
      <c r="M98" s="2206"/>
      <c r="N98" s="2206"/>
      <c r="O98" s="2206"/>
      <c r="P98" s="2206"/>
      <c r="Q98" s="2206"/>
      <c r="R98" s="816"/>
      <c r="S98" s="816"/>
      <c r="T98" s="816"/>
      <c r="U98" s="816"/>
      <c r="V98" s="816"/>
      <c r="W98" s="816"/>
      <c r="X98" s="816"/>
      <c r="Y98" s="816"/>
      <c r="Z98" s="375"/>
      <c r="AA98" s="375"/>
      <c r="AB98" s="375"/>
      <c r="AC98" s="375"/>
      <c r="AD98" s="375"/>
      <c r="AE98" s="375"/>
    </row>
    <row r="99" spans="1:31" ht="18" x14ac:dyDescent="0.25">
      <c r="C99" s="825" t="s">
        <v>53</v>
      </c>
      <c r="D99" s="825"/>
      <c r="E99" s="825"/>
      <c r="F99" s="825"/>
      <c r="G99" s="825"/>
      <c r="H99" s="825"/>
      <c r="I99" s="825"/>
      <c r="J99" s="825"/>
      <c r="K99" s="825"/>
      <c r="L99" s="825"/>
      <c r="M99" s="825"/>
      <c r="N99" s="825"/>
      <c r="O99" s="825"/>
      <c r="P99" s="825"/>
      <c r="Q99" s="825"/>
      <c r="R99" s="816"/>
      <c r="S99" s="816"/>
      <c r="T99" s="816"/>
      <c r="U99" s="816"/>
      <c r="V99" s="816"/>
      <c r="W99" s="816"/>
      <c r="X99" s="816"/>
      <c r="Y99" s="816"/>
      <c r="Z99" s="375"/>
      <c r="AA99" s="375"/>
      <c r="AB99" s="375"/>
      <c r="AC99" s="375"/>
      <c r="AD99" s="375"/>
      <c r="AE99" s="375"/>
    </row>
    <row r="100" spans="1:31" ht="18" x14ac:dyDescent="0.25">
      <c r="C100" s="825"/>
      <c r="D100" s="825"/>
      <c r="E100" s="825"/>
      <c r="F100" s="825"/>
      <c r="G100" s="825"/>
      <c r="H100" s="825"/>
      <c r="I100" s="825"/>
      <c r="J100" s="825"/>
      <c r="K100" s="825"/>
      <c r="L100" s="825"/>
      <c r="M100" s="825"/>
      <c r="N100" s="825"/>
      <c r="O100" s="825"/>
      <c r="P100" s="825"/>
      <c r="Q100" s="825"/>
      <c r="R100" s="816"/>
      <c r="S100" s="816"/>
      <c r="T100" s="816"/>
      <c r="U100" s="816"/>
      <c r="V100" s="816"/>
      <c r="W100" s="816"/>
      <c r="X100" s="816"/>
      <c r="Y100" s="816"/>
      <c r="Z100" s="375"/>
      <c r="AA100" s="375"/>
      <c r="AB100" s="375"/>
      <c r="AC100" s="375"/>
      <c r="AD100" s="375"/>
      <c r="AE100" s="375"/>
    </row>
    <row r="101" spans="1:31" ht="18" x14ac:dyDescent="0.25">
      <c r="C101" s="825"/>
      <c r="D101" s="825"/>
      <c r="E101" s="825"/>
      <c r="F101" s="825"/>
      <c r="G101" s="825"/>
      <c r="H101" s="825"/>
      <c r="I101" s="825"/>
      <c r="J101" s="825"/>
      <c r="K101" s="825"/>
      <c r="L101" s="825"/>
      <c r="M101" s="825"/>
      <c r="N101" s="825"/>
      <c r="O101" s="825"/>
      <c r="P101" s="825"/>
      <c r="Q101" s="825"/>
      <c r="R101" s="816"/>
      <c r="S101" s="816"/>
      <c r="T101" s="816"/>
      <c r="U101" s="816"/>
      <c r="V101" s="816"/>
      <c r="W101" s="816"/>
      <c r="X101" s="816"/>
      <c r="Y101" s="816"/>
      <c r="Z101" s="375"/>
      <c r="AA101" s="375"/>
      <c r="AB101" s="375"/>
      <c r="AC101" s="375"/>
      <c r="AD101" s="375"/>
      <c r="AE101" s="375"/>
    </row>
    <row r="102" spans="1:31" ht="26.25" customHeight="1" x14ac:dyDescent="0.25">
      <c r="A102" s="2017" t="s">
        <v>0</v>
      </c>
      <c r="B102" s="2020"/>
      <c r="C102" s="2197" t="s">
        <v>184</v>
      </c>
      <c r="D102" s="2197" t="s">
        <v>54</v>
      </c>
      <c r="E102" s="2197" t="s">
        <v>55</v>
      </c>
      <c r="F102" s="2197" t="s">
        <v>56</v>
      </c>
      <c r="G102" s="2197" t="s">
        <v>57</v>
      </c>
      <c r="H102" s="2197" t="s">
        <v>6</v>
      </c>
      <c r="I102" s="969"/>
      <c r="J102" s="969"/>
      <c r="K102" s="2198" t="s">
        <v>552</v>
      </c>
      <c r="L102" s="2199"/>
      <c r="M102" s="972"/>
      <c r="N102" s="972"/>
      <c r="O102" s="2186" t="s">
        <v>457</v>
      </c>
      <c r="P102" s="2197" t="s">
        <v>580</v>
      </c>
      <c r="Q102" s="2186" t="s">
        <v>333</v>
      </c>
      <c r="R102" s="2202" t="s">
        <v>313</v>
      </c>
      <c r="S102" s="2204" t="s">
        <v>554</v>
      </c>
      <c r="T102" s="2186" t="s">
        <v>555</v>
      </c>
      <c r="U102" s="2186" t="s">
        <v>175</v>
      </c>
      <c r="V102" s="2186" t="s">
        <v>183</v>
      </c>
      <c r="W102" s="2188" t="s">
        <v>182</v>
      </c>
      <c r="X102" s="2190" t="s">
        <v>544</v>
      </c>
      <c r="Y102" s="2184" t="s">
        <v>566</v>
      </c>
      <c r="Z102" s="375"/>
      <c r="AA102" s="375"/>
      <c r="AB102" s="375"/>
      <c r="AC102" s="375"/>
      <c r="AD102" s="375"/>
      <c r="AE102" s="375"/>
    </row>
    <row r="103" spans="1:31" ht="45.75" customHeight="1" x14ac:dyDescent="0.25">
      <c r="A103" s="2017"/>
      <c r="B103" s="2021"/>
      <c r="C103" s="2197"/>
      <c r="D103" s="2197"/>
      <c r="E103" s="2197"/>
      <c r="F103" s="2197"/>
      <c r="G103" s="2197"/>
      <c r="H103" s="2197"/>
      <c r="I103" s="970"/>
      <c r="J103" s="970"/>
      <c r="K103" s="826" t="s">
        <v>15</v>
      </c>
      <c r="L103" s="827" t="s">
        <v>16</v>
      </c>
      <c r="M103" s="973"/>
      <c r="N103" s="973"/>
      <c r="O103" s="2187"/>
      <c r="P103" s="2197"/>
      <c r="Q103" s="2187"/>
      <c r="R103" s="2203"/>
      <c r="S103" s="2213"/>
      <c r="T103" s="2187"/>
      <c r="U103" s="2187"/>
      <c r="V103" s="2187"/>
      <c r="W103" s="2189"/>
      <c r="X103" s="2191"/>
      <c r="Y103" s="2185"/>
      <c r="Z103" s="375"/>
      <c r="AA103" s="375"/>
      <c r="AB103" s="375"/>
      <c r="AC103" s="375"/>
      <c r="AD103" s="375"/>
      <c r="AE103" s="375"/>
    </row>
    <row r="104" spans="1:31" x14ac:dyDescent="0.25">
      <c r="A104" s="16">
        <v>1</v>
      </c>
      <c r="B104" s="16"/>
      <c r="C104" s="424" t="s">
        <v>58</v>
      </c>
      <c r="D104" s="675">
        <v>1976</v>
      </c>
      <c r="E104" s="675">
        <v>3</v>
      </c>
      <c r="F104" s="675">
        <v>24</v>
      </c>
      <c r="G104" s="675">
        <v>97</v>
      </c>
      <c r="H104" s="676">
        <v>1461.2</v>
      </c>
      <c r="I104" s="951"/>
      <c r="J104" s="951"/>
      <c r="K104" s="521">
        <v>8762.4</v>
      </c>
      <c r="L104" s="521">
        <v>7532.87</v>
      </c>
      <c r="M104" s="974"/>
      <c r="N104" s="974"/>
      <c r="O104" s="521">
        <f>P104+Q104+R104+S104+T104</f>
        <v>1094.3203743512606</v>
      </c>
      <c r="P104" s="524">
        <f>2750/15709.31*H104</f>
        <v>255.79099272978891</v>
      </c>
      <c r="Q104" s="521"/>
      <c r="R104" s="522">
        <f>7500/15709.31*H104</f>
        <v>697.61179835396979</v>
      </c>
      <c r="S104" s="522">
        <f>R104*0.202</f>
        <v>140.9175832675019</v>
      </c>
      <c r="T104" s="522"/>
      <c r="U104" s="522">
        <f>K104-O104</f>
        <v>7668.0796256487392</v>
      </c>
      <c r="V104" s="522">
        <f>L104/K104*100</f>
        <v>85.968113758787553</v>
      </c>
      <c r="W104" s="522"/>
      <c r="X104" s="522">
        <v>1</v>
      </c>
      <c r="Y104" s="525">
        <f>K104-L104</f>
        <v>1229.5299999999997</v>
      </c>
      <c r="Z104" s="375"/>
      <c r="AA104" s="375"/>
      <c r="AB104" s="375"/>
      <c r="AC104" s="375"/>
      <c r="AD104" s="375"/>
      <c r="AE104" s="375"/>
    </row>
    <row r="105" spans="1:31" x14ac:dyDescent="0.25">
      <c r="A105" s="16">
        <v>2</v>
      </c>
      <c r="B105" s="16"/>
      <c r="C105" s="424" t="s">
        <v>59</v>
      </c>
      <c r="D105" s="675">
        <v>1977</v>
      </c>
      <c r="E105" s="675">
        <v>3</v>
      </c>
      <c r="F105" s="675">
        <v>24</v>
      </c>
      <c r="G105" s="675">
        <v>81</v>
      </c>
      <c r="H105" s="676">
        <v>1456.7</v>
      </c>
      <c r="I105" s="951"/>
      <c r="J105" s="951"/>
      <c r="K105" s="521">
        <v>8740.15</v>
      </c>
      <c r="L105" s="521">
        <v>8399.5300000000007</v>
      </c>
      <c r="M105" s="974"/>
      <c r="N105" s="974"/>
      <c r="O105" s="521">
        <f t="shared" ref="O105:O116" si="33">P105+Q105+R105+S105+T105</f>
        <v>1090.9502390620594</v>
      </c>
      <c r="P105" s="524">
        <f t="shared" ref="P105:P116" si="34">2750/15709.31*H105</f>
        <v>255.0032432996739</v>
      </c>
      <c r="Q105" s="521"/>
      <c r="R105" s="522">
        <f t="shared" ref="R105:R116" si="35">7500/15709.31*H105</f>
        <v>695.46339081729252</v>
      </c>
      <c r="S105" s="522">
        <f t="shared" ref="S105:S116" si="36">R105*0.202</f>
        <v>140.48360494509311</v>
      </c>
      <c r="T105" s="522"/>
      <c r="U105" s="522">
        <f t="shared" ref="U105:U117" si="37">K105-O105</f>
        <v>7649.1997609379405</v>
      </c>
      <c r="V105" s="522">
        <f t="shared" ref="V105:V117" si="38">L105/K105*100</f>
        <v>96.10281288078582</v>
      </c>
      <c r="W105" s="522"/>
      <c r="X105" s="522">
        <v>1</v>
      </c>
      <c r="Y105" s="525">
        <f t="shared" ref="Y105:Y116" si="39">K105-L105</f>
        <v>340.61999999999898</v>
      </c>
      <c r="Z105" s="375"/>
      <c r="AA105" s="375"/>
      <c r="AB105" s="375"/>
      <c r="AC105" s="375"/>
      <c r="AD105" s="375"/>
      <c r="AE105" s="375"/>
    </row>
    <row r="106" spans="1:31" x14ac:dyDescent="0.25">
      <c r="A106" s="16">
        <v>3</v>
      </c>
      <c r="B106" s="16"/>
      <c r="C106" s="424" t="s">
        <v>60</v>
      </c>
      <c r="D106" s="675">
        <v>1972</v>
      </c>
      <c r="E106" s="675">
        <v>2</v>
      </c>
      <c r="F106" s="675">
        <v>18</v>
      </c>
      <c r="G106" s="675">
        <v>57</v>
      </c>
      <c r="H106" s="676">
        <v>776.8</v>
      </c>
      <c r="I106" s="951"/>
      <c r="J106" s="951"/>
      <c r="K106" s="521">
        <v>4660.8</v>
      </c>
      <c r="L106" s="521">
        <v>4029.17</v>
      </c>
      <c r="M106" s="974"/>
      <c r="N106" s="974"/>
      <c r="O106" s="521">
        <f t="shared" si="33"/>
        <v>581.76024281142838</v>
      </c>
      <c r="P106" s="524">
        <f t="shared" si="34"/>
        <v>135.98305718074187</v>
      </c>
      <c r="Q106" s="521"/>
      <c r="R106" s="522">
        <f t="shared" si="35"/>
        <v>370.86288322020511</v>
      </c>
      <c r="S106" s="522">
        <f t="shared" si="36"/>
        <v>74.91430241048144</v>
      </c>
      <c r="T106" s="522"/>
      <c r="U106" s="522">
        <f t="shared" si="37"/>
        <v>4079.0397571885719</v>
      </c>
      <c r="V106" s="522">
        <f t="shared" si="38"/>
        <v>86.448034672159281</v>
      </c>
      <c r="W106" s="522"/>
      <c r="X106" s="522">
        <v>1</v>
      </c>
      <c r="Y106" s="525">
        <f t="shared" si="39"/>
        <v>631.63000000000011</v>
      </c>
      <c r="Z106" s="375"/>
      <c r="AA106" s="375"/>
      <c r="AB106" s="375"/>
      <c r="AC106" s="375"/>
      <c r="AD106" s="375"/>
      <c r="AE106" s="375"/>
    </row>
    <row r="107" spans="1:31" x14ac:dyDescent="0.25">
      <c r="A107" s="16">
        <v>4</v>
      </c>
      <c r="B107" s="16"/>
      <c r="C107" s="424" t="s">
        <v>61</v>
      </c>
      <c r="D107" s="675">
        <v>1973</v>
      </c>
      <c r="E107" s="675">
        <v>2</v>
      </c>
      <c r="F107" s="675">
        <v>18</v>
      </c>
      <c r="G107" s="675">
        <v>49</v>
      </c>
      <c r="H107" s="676">
        <v>773.51</v>
      </c>
      <c r="I107" s="951"/>
      <c r="J107" s="951"/>
      <c r="K107" s="521">
        <v>4646.46</v>
      </c>
      <c r="L107" s="521">
        <v>4579.99</v>
      </c>
      <c r="M107" s="974"/>
      <c r="N107" s="974"/>
      <c r="O107" s="521">
        <f t="shared" si="33"/>
        <v>579.29629945554586</v>
      </c>
      <c r="P107" s="524">
        <f t="shared" si="34"/>
        <v>135.40712481961333</v>
      </c>
      <c r="Q107" s="521"/>
      <c r="R107" s="522">
        <f t="shared" si="35"/>
        <v>369.29215859894549</v>
      </c>
      <c r="S107" s="522">
        <f t="shared" si="36"/>
        <v>74.597016036987</v>
      </c>
      <c r="T107" s="522"/>
      <c r="U107" s="522">
        <f t="shared" si="37"/>
        <v>4067.1637005444541</v>
      </c>
      <c r="V107" s="522">
        <f t="shared" si="38"/>
        <v>98.569448569448554</v>
      </c>
      <c r="W107" s="522"/>
      <c r="X107" s="522">
        <v>1</v>
      </c>
      <c r="Y107" s="525">
        <f t="shared" si="39"/>
        <v>66.470000000000255</v>
      </c>
      <c r="Z107" s="375"/>
      <c r="AA107" s="375"/>
      <c r="AB107" s="375"/>
      <c r="AC107" s="375"/>
      <c r="AD107" s="375"/>
      <c r="AE107" s="375"/>
    </row>
    <row r="108" spans="1:31" x14ac:dyDescent="0.25">
      <c r="A108" s="16">
        <v>5</v>
      </c>
      <c r="B108" s="16"/>
      <c r="C108" s="424" t="s">
        <v>62</v>
      </c>
      <c r="D108" s="675">
        <v>1980</v>
      </c>
      <c r="E108" s="675">
        <v>3</v>
      </c>
      <c r="F108" s="675">
        <v>36</v>
      </c>
      <c r="G108" s="675">
        <v>93</v>
      </c>
      <c r="H108" s="676">
        <v>1799.9</v>
      </c>
      <c r="I108" s="951"/>
      <c r="J108" s="951"/>
      <c r="K108" s="521">
        <v>10787.4</v>
      </c>
      <c r="L108" s="521">
        <v>9977.17</v>
      </c>
      <c r="M108" s="974"/>
      <c r="N108" s="974"/>
      <c r="O108" s="521">
        <f t="shared" si="33"/>
        <v>1347.9792237851314</v>
      </c>
      <c r="P108" s="524">
        <f t="shared" si="34"/>
        <v>315.0822665031119</v>
      </c>
      <c r="Q108" s="521"/>
      <c r="R108" s="522">
        <f t="shared" si="35"/>
        <v>859.31527228121422</v>
      </c>
      <c r="S108" s="522">
        <f t="shared" si="36"/>
        <v>173.58168500080529</v>
      </c>
      <c r="T108" s="522"/>
      <c r="U108" s="522">
        <f t="shared" si="37"/>
        <v>9439.420776214869</v>
      </c>
      <c r="V108" s="522">
        <f t="shared" si="38"/>
        <v>92.489107662643448</v>
      </c>
      <c r="W108" s="522"/>
      <c r="X108" s="522">
        <v>1</v>
      </c>
      <c r="Y108" s="525">
        <f t="shared" si="39"/>
        <v>810.22999999999956</v>
      </c>
      <c r="Z108" s="375"/>
      <c r="AA108" s="375"/>
      <c r="AB108" s="375"/>
      <c r="AC108" s="375"/>
      <c r="AD108" s="375"/>
      <c r="AE108" s="375"/>
    </row>
    <row r="109" spans="1:31" x14ac:dyDescent="0.25">
      <c r="A109" s="16">
        <v>6</v>
      </c>
      <c r="B109" s="16"/>
      <c r="C109" s="424" t="s">
        <v>63</v>
      </c>
      <c r="D109" s="675">
        <v>1982</v>
      </c>
      <c r="E109" s="675">
        <v>3</v>
      </c>
      <c r="F109" s="675">
        <v>24</v>
      </c>
      <c r="G109" s="675">
        <v>84</v>
      </c>
      <c r="H109" s="676">
        <v>1454.2</v>
      </c>
      <c r="I109" s="951"/>
      <c r="J109" s="951"/>
      <c r="K109" s="521">
        <v>8725.2000000000007</v>
      </c>
      <c r="L109" s="521">
        <v>7217.9</v>
      </c>
      <c r="M109" s="974"/>
      <c r="N109" s="974"/>
      <c r="O109" s="521">
        <f t="shared" si="33"/>
        <v>1089.07794167917</v>
      </c>
      <c r="P109" s="524">
        <f t="shared" si="34"/>
        <v>254.56560472738778</v>
      </c>
      <c r="Q109" s="521"/>
      <c r="R109" s="522">
        <f t="shared" si="35"/>
        <v>694.26983107469403</v>
      </c>
      <c r="S109" s="522">
        <f t="shared" si="36"/>
        <v>140.24250587708821</v>
      </c>
      <c r="T109" s="522"/>
      <c r="U109" s="522">
        <f t="shared" si="37"/>
        <v>7636.1220583208305</v>
      </c>
      <c r="V109" s="522">
        <f t="shared" si="38"/>
        <v>82.724751295099239</v>
      </c>
      <c r="W109" s="522"/>
      <c r="X109" s="522">
        <v>1</v>
      </c>
      <c r="Y109" s="525">
        <f t="shared" si="39"/>
        <v>1507.3000000000011</v>
      </c>
      <c r="Z109" s="375"/>
      <c r="AA109" s="375"/>
      <c r="AB109" s="375"/>
      <c r="AC109" s="375"/>
      <c r="AD109" s="375"/>
      <c r="AE109" s="375"/>
    </row>
    <row r="110" spans="1:31" x14ac:dyDescent="0.25">
      <c r="A110" s="16">
        <v>7</v>
      </c>
      <c r="B110" s="16"/>
      <c r="C110" s="424" t="s">
        <v>64</v>
      </c>
      <c r="D110" s="675">
        <v>1982</v>
      </c>
      <c r="E110" s="675">
        <v>3</v>
      </c>
      <c r="F110" s="675">
        <v>24</v>
      </c>
      <c r="G110" s="675">
        <v>95</v>
      </c>
      <c r="H110" s="676">
        <v>1458.3</v>
      </c>
      <c r="I110" s="951"/>
      <c r="J110" s="951"/>
      <c r="K110" s="521">
        <v>8746.2000000000007</v>
      </c>
      <c r="L110" s="521">
        <v>8312.39</v>
      </c>
      <c r="M110" s="974"/>
      <c r="N110" s="974"/>
      <c r="O110" s="521">
        <f t="shared" si="33"/>
        <v>1092.1485093871088</v>
      </c>
      <c r="P110" s="524">
        <f t="shared" si="34"/>
        <v>255.283331985937</v>
      </c>
      <c r="Q110" s="521"/>
      <c r="R110" s="522">
        <f t="shared" si="35"/>
        <v>696.22726905255547</v>
      </c>
      <c r="S110" s="522">
        <f t="shared" si="36"/>
        <v>140.63790834861621</v>
      </c>
      <c r="T110" s="522"/>
      <c r="U110" s="522">
        <f t="shared" si="37"/>
        <v>7654.0514906128919</v>
      </c>
      <c r="V110" s="522">
        <f t="shared" si="38"/>
        <v>95.040017378975989</v>
      </c>
      <c r="W110" s="522"/>
      <c r="X110" s="522">
        <v>1</v>
      </c>
      <c r="Y110" s="525">
        <f t="shared" si="39"/>
        <v>433.81000000000131</v>
      </c>
      <c r="Z110" s="375"/>
      <c r="AA110" s="375"/>
      <c r="AB110" s="375"/>
      <c r="AC110" s="375"/>
      <c r="AD110" s="375"/>
      <c r="AE110" s="375"/>
    </row>
    <row r="111" spans="1:31" x14ac:dyDescent="0.25">
      <c r="A111" s="16">
        <v>8</v>
      </c>
      <c r="B111" s="16"/>
      <c r="C111" s="424" t="s">
        <v>65</v>
      </c>
      <c r="D111" s="675">
        <v>1983</v>
      </c>
      <c r="E111" s="675">
        <v>3</v>
      </c>
      <c r="F111" s="675">
        <v>24</v>
      </c>
      <c r="G111" s="675">
        <v>83</v>
      </c>
      <c r="H111" s="676">
        <v>1446.6</v>
      </c>
      <c r="I111" s="951"/>
      <c r="J111" s="951"/>
      <c r="K111" s="521">
        <v>8679</v>
      </c>
      <c r="L111" s="521">
        <v>8146.79</v>
      </c>
      <c r="M111" s="974"/>
      <c r="N111" s="974"/>
      <c r="O111" s="521">
        <f t="shared" si="33"/>
        <v>1083.3861576351858</v>
      </c>
      <c r="P111" s="524">
        <f t="shared" si="34"/>
        <v>253.23518346763797</v>
      </c>
      <c r="Q111" s="521"/>
      <c r="R111" s="522">
        <f t="shared" si="35"/>
        <v>690.64140945719453</v>
      </c>
      <c r="S111" s="522">
        <f t="shared" si="36"/>
        <v>139.50956471035332</v>
      </c>
      <c r="T111" s="522"/>
      <c r="U111" s="522">
        <f t="shared" si="37"/>
        <v>7595.6138423648144</v>
      </c>
      <c r="V111" s="522">
        <f t="shared" si="38"/>
        <v>93.867841917271576</v>
      </c>
      <c r="W111" s="522"/>
      <c r="X111" s="522">
        <v>1</v>
      </c>
      <c r="Y111" s="525">
        <f t="shared" si="39"/>
        <v>532.21</v>
      </c>
      <c r="Z111" s="375"/>
      <c r="AA111" s="375"/>
      <c r="AB111" s="375"/>
      <c r="AC111" s="375"/>
      <c r="AD111" s="375"/>
      <c r="AE111" s="375"/>
    </row>
    <row r="112" spans="1:31" x14ac:dyDescent="0.25">
      <c r="A112" s="16">
        <v>9</v>
      </c>
      <c r="B112" s="16"/>
      <c r="C112" s="424" t="s">
        <v>66</v>
      </c>
      <c r="D112" s="675">
        <v>1984</v>
      </c>
      <c r="E112" s="675">
        <v>3</v>
      </c>
      <c r="F112" s="675">
        <v>24</v>
      </c>
      <c r="G112" s="675">
        <v>68</v>
      </c>
      <c r="H112" s="676">
        <v>1448</v>
      </c>
      <c r="I112" s="951"/>
      <c r="J112" s="951"/>
      <c r="K112" s="521">
        <v>8688</v>
      </c>
      <c r="L112" s="521">
        <v>8664.58</v>
      </c>
      <c r="M112" s="974"/>
      <c r="N112" s="974"/>
      <c r="O112" s="521">
        <f t="shared" si="33"/>
        <v>1084.4346441696039</v>
      </c>
      <c r="P112" s="524">
        <f t="shared" si="34"/>
        <v>253.48026106811821</v>
      </c>
      <c r="Q112" s="521"/>
      <c r="R112" s="522">
        <f t="shared" si="35"/>
        <v>691.30980291304968</v>
      </c>
      <c r="S112" s="522">
        <f t="shared" si="36"/>
        <v>139.64458018843604</v>
      </c>
      <c r="T112" s="522"/>
      <c r="U112" s="522">
        <f t="shared" si="37"/>
        <v>7603.5653558303966</v>
      </c>
      <c r="V112" s="522">
        <f t="shared" si="38"/>
        <v>99.730432780847138</v>
      </c>
      <c r="W112" s="522"/>
      <c r="X112" s="522">
        <v>1</v>
      </c>
      <c r="Y112" s="525">
        <f t="shared" si="39"/>
        <v>23.420000000000073</v>
      </c>
      <c r="Z112" s="375"/>
      <c r="AA112" s="375"/>
      <c r="AB112" s="375"/>
      <c r="AC112" s="375"/>
      <c r="AD112" s="375"/>
      <c r="AE112" s="375"/>
    </row>
    <row r="113" spans="1:31" x14ac:dyDescent="0.25">
      <c r="A113" s="16">
        <v>10</v>
      </c>
      <c r="B113" s="16"/>
      <c r="C113" s="424" t="s">
        <v>67</v>
      </c>
      <c r="D113" s="675">
        <v>1987</v>
      </c>
      <c r="E113" s="675">
        <v>3</v>
      </c>
      <c r="F113" s="675">
        <v>27</v>
      </c>
      <c r="G113" s="675">
        <v>82</v>
      </c>
      <c r="H113" s="676">
        <v>1459.2</v>
      </c>
      <c r="I113" s="951"/>
      <c r="J113" s="951"/>
      <c r="K113" s="521">
        <v>8761</v>
      </c>
      <c r="L113" s="521">
        <v>8607.67</v>
      </c>
      <c r="M113" s="974"/>
      <c r="N113" s="974"/>
      <c r="O113" s="521">
        <f t="shared" si="33"/>
        <v>1092.822536444949</v>
      </c>
      <c r="P113" s="524">
        <f t="shared" si="34"/>
        <v>255.44088187196002</v>
      </c>
      <c r="Q113" s="521"/>
      <c r="R113" s="522">
        <f t="shared" si="35"/>
        <v>696.65695055989102</v>
      </c>
      <c r="S113" s="522">
        <f t="shared" si="36"/>
        <v>140.72470401309801</v>
      </c>
      <c r="T113" s="522"/>
      <c r="U113" s="522">
        <f t="shared" si="37"/>
        <v>7668.177463555051</v>
      </c>
      <c r="V113" s="522">
        <f t="shared" si="38"/>
        <v>98.249857322223491</v>
      </c>
      <c r="W113" s="522"/>
      <c r="X113" s="522">
        <v>1</v>
      </c>
      <c r="Y113" s="525">
        <f t="shared" si="39"/>
        <v>153.32999999999993</v>
      </c>
      <c r="Z113" s="375"/>
      <c r="AA113" s="375"/>
      <c r="AB113" s="375"/>
      <c r="AC113" s="375"/>
      <c r="AD113" s="375"/>
      <c r="AE113" s="375"/>
    </row>
    <row r="114" spans="1:31" x14ac:dyDescent="0.25">
      <c r="A114" s="16">
        <v>11</v>
      </c>
      <c r="B114" s="16"/>
      <c r="C114" s="424" t="s">
        <v>72</v>
      </c>
      <c r="D114" s="675">
        <v>1968</v>
      </c>
      <c r="E114" s="675">
        <v>2</v>
      </c>
      <c r="F114" s="675">
        <v>16</v>
      </c>
      <c r="G114" s="675">
        <v>36</v>
      </c>
      <c r="H114" s="676">
        <v>722.8</v>
      </c>
      <c r="I114" s="951"/>
      <c r="J114" s="951"/>
      <c r="K114" s="521">
        <v>4320</v>
      </c>
      <c r="L114" s="521">
        <v>3542.83</v>
      </c>
      <c r="M114" s="974"/>
      <c r="N114" s="974"/>
      <c r="O114" s="521">
        <f t="shared" si="33"/>
        <v>541.31861934101494</v>
      </c>
      <c r="P114" s="524">
        <f t="shared" si="34"/>
        <v>126.53006401936176</v>
      </c>
      <c r="Q114" s="521"/>
      <c r="R114" s="522">
        <f t="shared" si="35"/>
        <v>345.08199278007754</v>
      </c>
      <c r="S114" s="522">
        <f t="shared" si="36"/>
        <v>69.706562541575664</v>
      </c>
      <c r="T114" s="522"/>
      <c r="U114" s="522">
        <f t="shared" si="37"/>
        <v>3778.6813806589853</v>
      </c>
      <c r="V114" s="522">
        <f t="shared" si="38"/>
        <v>82.009953703703701</v>
      </c>
      <c r="W114" s="522"/>
      <c r="X114" s="522">
        <v>1</v>
      </c>
      <c r="Y114" s="525">
        <f t="shared" si="39"/>
        <v>777.17000000000007</v>
      </c>
      <c r="Z114" s="375"/>
      <c r="AA114" s="375"/>
      <c r="AB114" s="375"/>
      <c r="AC114" s="375"/>
      <c r="AD114" s="375"/>
      <c r="AE114" s="375"/>
    </row>
    <row r="115" spans="1:31" x14ac:dyDescent="0.25">
      <c r="A115" s="16">
        <v>12</v>
      </c>
      <c r="B115" s="16"/>
      <c r="C115" s="424" t="s">
        <v>73</v>
      </c>
      <c r="D115" s="675">
        <v>1971</v>
      </c>
      <c r="E115" s="675">
        <v>2</v>
      </c>
      <c r="F115" s="675">
        <v>16</v>
      </c>
      <c r="G115" s="675">
        <v>47</v>
      </c>
      <c r="H115" s="676">
        <v>727.4</v>
      </c>
      <c r="I115" s="951"/>
      <c r="J115" s="951"/>
      <c r="K115" s="521">
        <v>4363.8</v>
      </c>
      <c r="L115" s="521">
        <v>3967.85</v>
      </c>
      <c r="M115" s="974"/>
      <c r="N115" s="974"/>
      <c r="O115" s="521">
        <f t="shared" si="33"/>
        <v>544.76364652553173</v>
      </c>
      <c r="P115" s="524">
        <f t="shared" si="34"/>
        <v>127.33531899236822</v>
      </c>
      <c r="Q115" s="521"/>
      <c r="R115" s="522">
        <f t="shared" si="35"/>
        <v>347.27814270645882</v>
      </c>
      <c r="S115" s="522">
        <f t="shared" si="36"/>
        <v>70.150184826704688</v>
      </c>
      <c r="T115" s="522"/>
      <c r="U115" s="522">
        <f t="shared" si="37"/>
        <v>3819.0363534744683</v>
      </c>
      <c r="V115" s="522">
        <f t="shared" si="38"/>
        <v>90.926486090104959</v>
      </c>
      <c r="W115" s="522"/>
      <c r="X115" s="522">
        <v>1</v>
      </c>
      <c r="Y115" s="525">
        <f t="shared" si="39"/>
        <v>395.95000000000027</v>
      </c>
      <c r="Z115" s="375"/>
      <c r="AA115" s="375"/>
      <c r="AB115" s="375"/>
      <c r="AC115" s="375"/>
      <c r="AD115" s="375"/>
      <c r="AE115" s="375"/>
    </row>
    <row r="116" spans="1:31" x14ac:dyDescent="0.25">
      <c r="A116" s="257">
        <v>13</v>
      </c>
      <c r="B116" s="257"/>
      <c r="C116" s="526" t="s">
        <v>74</v>
      </c>
      <c r="D116" s="813">
        <v>1960</v>
      </c>
      <c r="E116" s="813">
        <v>2</v>
      </c>
      <c r="F116" s="813">
        <v>16</v>
      </c>
      <c r="G116" s="813">
        <v>44</v>
      </c>
      <c r="H116" s="689">
        <v>724.7</v>
      </c>
      <c r="I116" s="971"/>
      <c r="J116" s="971"/>
      <c r="K116" s="527">
        <v>4348.2</v>
      </c>
      <c r="L116" s="527">
        <v>4148.95</v>
      </c>
      <c r="M116" s="975"/>
      <c r="N116" s="975"/>
      <c r="O116" s="521">
        <f t="shared" si="33"/>
        <v>542.74156535201109</v>
      </c>
      <c r="P116" s="524">
        <f t="shared" si="34"/>
        <v>126.86266933429923</v>
      </c>
      <c r="Q116" s="521"/>
      <c r="R116" s="522">
        <f t="shared" si="35"/>
        <v>345.98909818445247</v>
      </c>
      <c r="S116" s="522">
        <f t="shared" si="36"/>
        <v>69.889797833259408</v>
      </c>
      <c r="T116" s="522"/>
      <c r="U116" s="522">
        <f t="shared" si="37"/>
        <v>3805.4584346479887</v>
      </c>
      <c r="V116" s="522">
        <f t="shared" si="38"/>
        <v>95.417644082608902</v>
      </c>
      <c r="W116" s="522"/>
      <c r="X116" s="529">
        <v>1</v>
      </c>
      <c r="Y116" s="525">
        <f t="shared" si="39"/>
        <v>199.25</v>
      </c>
      <c r="Z116" s="375"/>
      <c r="AA116" s="375"/>
      <c r="AB116" s="375"/>
      <c r="AC116" s="375"/>
      <c r="AD116" s="375"/>
      <c r="AE116" s="375"/>
    </row>
    <row r="117" spans="1:31" x14ac:dyDescent="0.25">
      <c r="A117" s="386"/>
      <c r="B117" s="386"/>
      <c r="C117" s="531" t="s">
        <v>89</v>
      </c>
      <c r="D117" s="815"/>
      <c r="E117" s="387">
        <f t="shared" ref="E117:L117" si="40">SUM(E104:E116)</f>
        <v>34</v>
      </c>
      <c r="F117" s="387">
        <f t="shared" si="40"/>
        <v>291</v>
      </c>
      <c r="G117" s="387">
        <f t="shared" si="40"/>
        <v>916</v>
      </c>
      <c r="H117" s="387">
        <f t="shared" si="40"/>
        <v>15709.310000000001</v>
      </c>
      <c r="I117" s="955"/>
      <c r="J117" s="955"/>
      <c r="K117" s="537">
        <f t="shared" si="40"/>
        <v>94228.61</v>
      </c>
      <c r="L117" s="537">
        <f t="shared" si="40"/>
        <v>87127.69</v>
      </c>
      <c r="M117" s="976"/>
      <c r="N117" s="976"/>
      <c r="O117" s="538">
        <f>SUM(O104:O116)</f>
        <v>11765</v>
      </c>
      <c r="P117" s="535">
        <f>SUM(P104:P116)</f>
        <v>2750</v>
      </c>
      <c r="Q117" s="537">
        <f>SUM(Q104:Q116)</f>
        <v>0</v>
      </c>
      <c r="R117" s="537">
        <f t="shared" ref="R117:T117" si="41">SUM(R104:R116)</f>
        <v>7500.0000000000018</v>
      </c>
      <c r="S117" s="537">
        <f t="shared" si="41"/>
        <v>1515.0000000000002</v>
      </c>
      <c r="T117" s="537">
        <f t="shared" si="41"/>
        <v>0</v>
      </c>
      <c r="U117" s="539">
        <f t="shared" si="37"/>
        <v>82463.61</v>
      </c>
      <c r="V117" s="539">
        <f t="shared" si="38"/>
        <v>92.464157117461468</v>
      </c>
      <c r="W117" s="539"/>
      <c r="X117" s="539"/>
      <c r="Y117" s="837">
        <f>SUM(Y104:Y116)</f>
        <v>7100.9200000000019</v>
      </c>
      <c r="Z117" s="375"/>
      <c r="AA117" s="375"/>
      <c r="AB117" s="375"/>
      <c r="AC117" s="375"/>
      <c r="AD117" s="375"/>
      <c r="AE117" s="375"/>
    </row>
    <row r="118" spans="1:31" x14ac:dyDescent="0.25">
      <c r="C118" s="375"/>
      <c r="D118" s="375"/>
      <c r="E118" s="375"/>
      <c r="F118" s="375"/>
      <c r="G118" s="375"/>
      <c r="H118" s="375"/>
      <c r="I118" s="375"/>
      <c r="J118" s="375"/>
      <c r="K118" s="375"/>
      <c r="L118" s="375"/>
      <c r="M118" s="375"/>
      <c r="N118" s="375"/>
      <c r="O118" s="375"/>
      <c r="P118" s="375"/>
      <c r="Q118" s="375"/>
      <c r="R118" s="763">
        <f>R117+S117</f>
        <v>9015.0000000000018</v>
      </c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  <c r="AD118" s="375"/>
      <c r="AE118" s="375"/>
    </row>
    <row r="119" spans="1:31" x14ac:dyDescent="0.25">
      <c r="Q119" s="590"/>
    </row>
  </sheetData>
  <mergeCells count="108">
    <mergeCell ref="C4:Q4"/>
    <mergeCell ref="A8:A9"/>
    <mergeCell ref="B8:B9"/>
    <mergeCell ref="C8:C9"/>
    <mergeCell ref="D8:D9"/>
    <mergeCell ref="E8:E9"/>
    <mergeCell ref="F8:F9"/>
    <mergeCell ref="G8:G9"/>
    <mergeCell ref="H8:H9"/>
    <mergeCell ref="I8:J8"/>
    <mergeCell ref="AE8:AE9"/>
    <mergeCell ref="AF8:AF9"/>
    <mergeCell ref="AG8:AG9"/>
    <mergeCell ref="AH8:AH9"/>
    <mergeCell ref="C46:Q46"/>
    <mergeCell ref="AH47:AK47"/>
    <mergeCell ref="Y8:Y9"/>
    <mergeCell ref="Z8:Z9"/>
    <mergeCell ref="AA8:AA9"/>
    <mergeCell ref="AB8:AB9"/>
    <mergeCell ref="AC8:AC9"/>
    <mergeCell ref="AD8:AD9"/>
    <mergeCell ref="S8:S9"/>
    <mergeCell ref="T8:T9"/>
    <mergeCell ref="U8:U9"/>
    <mergeCell ref="V8:V9"/>
    <mergeCell ref="W8:W9"/>
    <mergeCell ref="X8:X9"/>
    <mergeCell ref="K8:L8"/>
    <mergeCell ref="M8:N8"/>
    <mergeCell ref="O8:O9"/>
    <mergeCell ref="P8:P9"/>
    <mergeCell ref="Q8:Q9"/>
    <mergeCell ref="R8:R9"/>
    <mergeCell ref="AT47:AU47"/>
    <mergeCell ref="AV47:AW47"/>
    <mergeCell ref="A49:A50"/>
    <mergeCell ref="B49:B50"/>
    <mergeCell ref="C49:C50"/>
    <mergeCell ref="D49:D50"/>
    <mergeCell ref="E49:E50"/>
    <mergeCell ref="F49:F50"/>
    <mergeCell ref="G49:G50"/>
    <mergeCell ref="H49:H50"/>
    <mergeCell ref="Z49:Z50"/>
    <mergeCell ref="C73:Q73"/>
    <mergeCell ref="AH74:AK74"/>
    <mergeCell ref="AL74:AL75"/>
    <mergeCell ref="AO74:AO75"/>
    <mergeCell ref="AR74:AR75"/>
    <mergeCell ref="T49:T50"/>
    <mergeCell ref="U49:U50"/>
    <mergeCell ref="V49:V50"/>
    <mergeCell ref="W49:W50"/>
    <mergeCell ref="X49:X50"/>
    <mergeCell ref="Y49:Y50"/>
    <mergeCell ref="K49:L49"/>
    <mergeCell ref="O49:O50"/>
    <mergeCell ref="P49:P50"/>
    <mergeCell ref="Q49:Q50"/>
    <mergeCell ref="R49:R50"/>
    <mergeCell ref="S49:S50"/>
    <mergeCell ref="AS74:AS75"/>
    <mergeCell ref="AT74:AU74"/>
    <mergeCell ref="AV74:AW74"/>
    <mergeCell ref="AX74:AX75"/>
    <mergeCell ref="AY74:AY75"/>
    <mergeCell ref="A77:A78"/>
    <mergeCell ref="B77:B78"/>
    <mergeCell ref="C77:C78"/>
    <mergeCell ref="D77:D78"/>
    <mergeCell ref="E77:E78"/>
    <mergeCell ref="Z77:Z78"/>
    <mergeCell ref="T77:T78"/>
    <mergeCell ref="U77:U78"/>
    <mergeCell ref="V77:V78"/>
    <mergeCell ref="W77:W78"/>
    <mergeCell ref="X77:X78"/>
    <mergeCell ref="Y77:Y78"/>
    <mergeCell ref="C98:Q98"/>
    <mergeCell ref="A102:A103"/>
    <mergeCell ref="B102:B103"/>
    <mergeCell ref="C102:C103"/>
    <mergeCell ref="D102:D103"/>
    <mergeCell ref="E102:E103"/>
    <mergeCell ref="Q77:Q78"/>
    <mergeCell ref="R77:R78"/>
    <mergeCell ref="S77:S78"/>
    <mergeCell ref="F77:F78"/>
    <mergeCell ref="G77:G78"/>
    <mergeCell ref="K77:L77"/>
    <mergeCell ref="O77:O78"/>
    <mergeCell ref="P77:P78"/>
    <mergeCell ref="F102:F103"/>
    <mergeCell ref="G102:G103"/>
    <mergeCell ref="H102:H103"/>
    <mergeCell ref="K102:L102"/>
    <mergeCell ref="O102:O103"/>
    <mergeCell ref="P102:P103"/>
    <mergeCell ref="W102:W103"/>
    <mergeCell ref="X102:X103"/>
    <mergeCell ref="Y102:Y103"/>
    <mergeCell ref="Q102:Q103"/>
    <mergeCell ref="R102:R103"/>
    <mergeCell ref="S102:S103"/>
    <mergeCell ref="T102:T103"/>
    <mergeCell ref="U102:U103"/>
    <mergeCell ref="V102:V103"/>
  </mergeCells>
  <pageMargins left="0.19685039370078741" right="2.92" top="0.19685039370078741" bottom="0.74803149606299213" header="0.31496062992125984" footer="0.31496062992125984"/>
  <pageSetup paperSize="9" scale="80" orientation="landscape" horizontalDpi="180" verticalDpi="180" r:id="rId1"/>
  <rowBreaks count="2" manualBreakCount="2">
    <brk id="42" max="16383" man="1"/>
    <brk id="93" max="16383" man="1"/>
  </rowBreaks>
  <colBreaks count="1" manualBreakCount="1">
    <brk id="2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C119"/>
  <sheetViews>
    <sheetView topLeftCell="S1" zoomScaleNormal="100" workbookViewId="0">
      <selection activeCell="Y8" sqref="Y8:BG9"/>
    </sheetView>
  </sheetViews>
  <sheetFormatPr defaultRowHeight="15" x14ac:dyDescent="0.25"/>
  <cols>
    <col min="1" max="1" width="4.5703125" customWidth="1"/>
    <col min="2" max="2" width="0.28515625" customWidth="1"/>
    <col min="3" max="3" width="20.42578125" customWidth="1"/>
    <col min="4" max="4" width="9.85546875" customWidth="1"/>
    <col min="5" max="5" width="8.5703125" customWidth="1"/>
    <col min="6" max="6" width="10.140625" customWidth="1"/>
    <col min="7" max="7" width="9.140625" customWidth="1"/>
    <col min="8" max="8" width="10.140625" customWidth="1"/>
    <col min="9" max="9" width="11.7109375" customWidth="1"/>
    <col min="10" max="10" width="10.140625" customWidth="1"/>
    <col min="11" max="11" width="11.42578125" customWidth="1"/>
    <col min="12" max="12" width="10.140625" customWidth="1"/>
    <col min="13" max="13" width="11.5703125" customWidth="1"/>
    <col min="14" max="14" width="10.140625" customWidth="1"/>
    <col min="15" max="15" width="11.28515625" customWidth="1"/>
    <col min="16" max="16" width="10.140625" customWidth="1"/>
    <col min="17" max="17" width="12.7109375" customWidth="1"/>
    <col min="18" max="22" width="13" customWidth="1"/>
    <col min="23" max="23" width="13.140625" customWidth="1"/>
    <col min="24" max="24" width="13" customWidth="1"/>
    <col min="25" max="25" width="12.140625" customWidth="1"/>
    <col min="26" max="26" width="10.5703125" customWidth="1"/>
    <col min="27" max="29" width="10.7109375" customWidth="1"/>
    <col min="30" max="30" width="10.5703125" customWidth="1"/>
    <col min="31" max="31" width="12.5703125" customWidth="1"/>
    <col min="32" max="32" width="11.85546875" customWidth="1"/>
    <col min="33" max="33" width="11.7109375" customWidth="1"/>
    <col min="34" max="34" width="11.140625" customWidth="1"/>
    <col min="35" max="35" width="11" customWidth="1"/>
    <col min="36" max="36" width="10.140625" customWidth="1"/>
    <col min="37" max="37" width="12" customWidth="1"/>
    <col min="38" max="38" width="10.5703125" customWidth="1"/>
    <col min="39" max="39" width="11" customWidth="1"/>
    <col min="40" max="40" width="10.42578125" customWidth="1"/>
    <col min="41" max="42" width="10" customWidth="1"/>
    <col min="43" max="43" width="10.42578125" customWidth="1"/>
    <col min="44" max="44" width="10.7109375" customWidth="1"/>
    <col min="45" max="45" width="10.42578125" customWidth="1"/>
    <col min="46" max="47" width="10.85546875" customWidth="1"/>
    <col min="48" max="48" width="11.28515625" customWidth="1"/>
    <col min="49" max="51" width="10.42578125" customWidth="1"/>
    <col min="52" max="52" width="10.7109375" customWidth="1"/>
    <col min="53" max="53" width="11.28515625" customWidth="1"/>
    <col min="54" max="54" width="9" customWidth="1"/>
    <col min="55" max="55" width="8.140625" customWidth="1"/>
    <col min="56" max="56" width="10.5703125" customWidth="1"/>
    <col min="57" max="57" width="10.7109375" customWidth="1"/>
    <col min="58" max="58" width="11.5703125" customWidth="1"/>
    <col min="59" max="60" width="9.7109375" customWidth="1"/>
    <col min="61" max="61" width="9.5703125" customWidth="1"/>
    <col min="62" max="62" width="10.42578125" customWidth="1"/>
    <col min="63" max="63" width="11.85546875" customWidth="1"/>
    <col min="64" max="64" width="13" customWidth="1"/>
    <col min="65" max="65" width="10.5703125" customWidth="1"/>
    <col min="66" max="66" width="10.7109375" customWidth="1"/>
    <col min="67" max="69" width="11.42578125" customWidth="1"/>
    <col min="70" max="70" width="10.28515625" customWidth="1"/>
    <col min="71" max="71" width="10.28515625" style="34" customWidth="1"/>
    <col min="72" max="72" width="10.28515625" customWidth="1"/>
    <col min="73" max="73" width="10.5703125" customWidth="1"/>
    <col min="74" max="74" width="11.5703125" customWidth="1"/>
    <col min="75" max="75" width="11.28515625" customWidth="1"/>
    <col min="76" max="76" width="10.5703125" customWidth="1"/>
    <col min="77" max="77" width="11" customWidth="1"/>
    <col min="78" max="78" width="10.28515625" customWidth="1"/>
    <col min="79" max="79" width="11.42578125" style="39" customWidth="1"/>
    <col min="80" max="80" width="9.140625" customWidth="1"/>
  </cols>
  <sheetData>
    <row r="4" spans="1:81" ht="15.75" customHeight="1" x14ac:dyDescent="0.3">
      <c r="C4" s="2196" t="s">
        <v>760</v>
      </c>
      <c r="D4" s="2196"/>
      <c r="E4" s="2196"/>
      <c r="F4" s="2196"/>
      <c r="G4" s="2196"/>
      <c r="H4" s="2196"/>
      <c r="I4" s="2196"/>
      <c r="J4" s="2196"/>
      <c r="K4" s="2196"/>
      <c r="L4" s="2196"/>
      <c r="M4" s="2196"/>
      <c r="N4" s="2196"/>
      <c r="O4" s="2196"/>
      <c r="P4" s="2196"/>
      <c r="Q4" s="2196"/>
      <c r="R4" s="2196"/>
      <c r="S4" s="2196"/>
      <c r="T4" s="2196"/>
      <c r="U4" s="2196"/>
      <c r="V4" s="2196"/>
      <c r="W4" s="2196"/>
      <c r="X4" s="2196"/>
      <c r="Y4" s="2196"/>
      <c r="Z4" s="2196"/>
      <c r="AA4" s="2196"/>
    </row>
    <row r="5" spans="1:81" ht="18.75" x14ac:dyDescent="0.3">
      <c r="C5" s="373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</row>
    <row r="6" spans="1:81" ht="18.75" x14ac:dyDescent="0.3">
      <c r="C6" s="373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374"/>
      <c r="W6" s="374"/>
      <c r="X6" s="374"/>
      <c r="Y6" s="374"/>
      <c r="Z6" s="374"/>
      <c r="AA6" s="374"/>
      <c r="BH6" s="1489"/>
      <c r="BI6" s="1489"/>
      <c r="BJ6" s="1489"/>
      <c r="BK6" s="1489"/>
      <c r="BL6" s="1489"/>
      <c r="BM6" s="1489"/>
    </row>
    <row r="7" spans="1:81" ht="18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BH7" s="1489"/>
      <c r="BI7" s="1489"/>
      <c r="BJ7" s="1489"/>
      <c r="BK7" s="1489"/>
      <c r="BL7" s="1489"/>
      <c r="BM7" s="1489"/>
    </row>
    <row r="8" spans="1:81" ht="37.5" customHeight="1" x14ac:dyDescent="0.25">
      <c r="A8" s="2017" t="s">
        <v>0</v>
      </c>
      <c r="B8" s="2020"/>
      <c r="C8" s="2017" t="s">
        <v>184</v>
      </c>
      <c r="D8" s="2017" t="s">
        <v>54</v>
      </c>
      <c r="E8" s="2017" t="s">
        <v>55</v>
      </c>
      <c r="F8" s="2017" t="s">
        <v>56</v>
      </c>
      <c r="G8" s="2017" t="s">
        <v>57</v>
      </c>
      <c r="H8" s="2017" t="s">
        <v>6</v>
      </c>
      <c r="I8" s="1991" t="s">
        <v>290</v>
      </c>
      <c r="J8" s="1992"/>
      <c r="K8" s="1991" t="s">
        <v>656</v>
      </c>
      <c r="L8" s="1992"/>
      <c r="M8" s="1991" t="s">
        <v>657</v>
      </c>
      <c r="N8" s="1992"/>
      <c r="O8" s="2214" t="s">
        <v>658</v>
      </c>
      <c r="P8" s="2215"/>
      <c r="Q8" s="1991" t="s">
        <v>310</v>
      </c>
      <c r="R8" s="1992"/>
      <c r="S8" s="2097" t="s">
        <v>593</v>
      </c>
      <c r="T8" s="2060"/>
      <c r="U8" s="2198" t="s">
        <v>284</v>
      </c>
      <c r="V8" s="2199"/>
      <c r="W8" s="2017" t="s">
        <v>745</v>
      </c>
      <c r="X8" s="2017"/>
      <c r="Y8" s="1997" t="s">
        <v>746</v>
      </c>
      <c r="Z8" s="2026" t="s">
        <v>332</v>
      </c>
      <c r="AA8" s="1997" t="s">
        <v>333</v>
      </c>
      <c r="AB8" s="1997" t="s">
        <v>337</v>
      </c>
      <c r="AC8" s="1997" t="s">
        <v>10</v>
      </c>
      <c r="AD8" s="1997" t="s">
        <v>578</v>
      </c>
      <c r="AE8" s="2172" t="s">
        <v>503</v>
      </c>
      <c r="AF8" s="2026" t="s">
        <v>316</v>
      </c>
      <c r="AG8" s="2026" t="s">
        <v>369</v>
      </c>
      <c r="AH8" s="1997" t="s">
        <v>744</v>
      </c>
      <c r="AI8" s="1997" t="s">
        <v>321</v>
      </c>
      <c r="AJ8" s="2170" t="s">
        <v>554</v>
      </c>
      <c r="AK8" s="2022" t="s">
        <v>688</v>
      </c>
      <c r="AL8" s="1997" t="s">
        <v>689</v>
      </c>
      <c r="AM8" s="1997" t="s">
        <v>606</v>
      </c>
      <c r="AN8" s="1997" t="s">
        <v>375</v>
      </c>
      <c r="AO8" s="1997" t="s">
        <v>372</v>
      </c>
      <c r="AP8" s="1997" t="s">
        <v>314</v>
      </c>
      <c r="AQ8" s="1997" t="s">
        <v>616</v>
      </c>
      <c r="AR8" s="2173" t="s">
        <v>691</v>
      </c>
      <c r="AS8" s="2026" t="s">
        <v>727</v>
      </c>
      <c r="AT8" s="2026" t="s">
        <v>690</v>
      </c>
      <c r="AU8" s="1997" t="s">
        <v>313</v>
      </c>
      <c r="AV8" s="1997" t="s">
        <v>554</v>
      </c>
      <c r="AW8" s="2216" t="s">
        <v>692</v>
      </c>
      <c r="AX8" s="1987" t="s">
        <v>693</v>
      </c>
      <c r="AY8" s="1987" t="s">
        <v>656</v>
      </c>
      <c r="AZ8" s="1987" t="s">
        <v>694</v>
      </c>
      <c r="BA8" s="1987" t="s">
        <v>735</v>
      </c>
      <c r="BB8" s="2005" t="s">
        <v>724</v>
      </c>
      <c r="BC8" s="2001" t="s">
        <v>182</v>
      </c>
      <c r="BD8" s="2001" t="s">
        <v>736</v>
      </c>
      <c r="BE8" s="2001" t="s">
        <v>725</v>
      </c>
      <c r="BF8" s="1999" t="s">
        <v>715</v>
      </c>
      <c r="BG8" s="1999" t="s">
        <v>716</v>
      </c>
      <c r="BH8" s="1489"/>
      <c r="BI8" s="1489"/>
      <c r="BJ8" s="1489"/>
      <c r="BK8" s="1489"/>
      <c r="BL8" s="1489"/>
      <c r="BM8" s="148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9"/>
    </row>
    <row r="9" spans="1:81" ht="56.25" customHeight="1" x14ac:dyDescent="0.25">
      <c r="A9" s="2017"/>
      <c r="B9" s="2021"/>
      <c r="C9" s="2017"/>
      <c r="D9" s="2017"/>
      <c r="E9" s="2017"/>
      <c r="F9" s="2017"/>
      <c r="G9" s="2017"/>
      <c r="H9" s="2017"/>
      <c r="I9" s="150" t="s">
        <v>15</v>
      </c>
      <c r="J9" s="1337" t="s">
        <v>16</v>
      </c>
      <c r="K9" s="150" t="s">
        <v>15</v>
      </c>
      <c r="L9" s="1337" t="s">
        <v>16</v>
      </c>
      <c r="M9" s="150" t="s">
        <v>15</v>
      </c>
      <c r="N9" s="1337" t="s">
        <v>16</v>
      </c>
      <c r="O9" s="150" t="s">
        <v>15</v>
      </c>
      <c r="P9" s="1337" t="s">
        <v>16</v>
      </c>
      <c r="Q9" s="150" t="s">
        <v>15</v>
      </c>
      <c r="R9" s="1337" t="s">
        <v>16</v>
      </c>
      <c r="S9" s="150" t="s">
        <v>15</v>
      </c>
      <c r="T9" s="1354" t="s">
        <v>16</v>
      </c>
      <c r="U9" s="767" t="s">
        <v>15</v>
      </c>
      <c r="V9" s="1478" t="s">
        <v>16</v>
      </c>
      <c r="W9" s="150" t="s">
        <v>15</v>
      </c>
      <c r="X9" s="1337" t="s">
        <v>16</v>
      </c>
      <c r="Y9" s="1998"/>
      <c r="Z9" s="2026"/>
      <c r="AA9" s="1998"/>
      <c r="AB9" s="1998"/>
      <c r="AC9" s="2171"/>
      <c r="AD9" s="1998"/>
      <c r="AE9" s="2172"/>
      <c r="AF9" s="2026"/>
      <c r="AG9" s="2169"/>
      <c r="AH9" s="1998"/>
      <c r="AI9" s="1998"/>
      <c r="AJ9" s="2171"/>
      <c r="AK9" s="2023"/>
      <c r="AL9" s="1998"/>
      <c r="AM9" s="1998"/>
      <c r="AN9" s="1998"/>
      <c r="AO9" s="1998"/>
      <c r="AP9" s="1998"/>
      <c r="AQ9" s="1998"/>
      <c r="AR9" s="2174"/>
      <c r="AS9" s="2026"/>
      <c r="AT9" s="2026"/>
      <c r="AU9" s="1998"/>
      <c r="AV9" s="1998"/>
      <c r="AW9" s="2217"/>
      <c r="AX9" s="1988"/>
      <c r="AY9" s="1988"/>
      <c r="AZ9" s="1988"/>
      <c r="BA9" s="1988"/>
      <c r="BB9" s="2006"/>
      <c r="BC9" s="2002"/>
      <c r="BD9" s="2002"/>
      <c r="BE9" s="2002"/>
      <c r="BF9" s="2000"/>
      <c r="BG9" s="2000"/>
      <c r="BH9" s="1489"/>
      <c r="BI9" s="1489"/>
      <c r="BJ9" s="1489"/>
      <c r="BK9" s="1489"/>
      <c r="BL9" s="1489"/>
      <c r="BM9" s="148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9"/>
    </row>
    <row r="10" spans="1:81" s="124" customFormat="1" x14ac:dyDescent="0.25">
      <c r="A10" s="16">
        <v>1</v>
      </c>
      <c r="B10" s="587">
        <v>42491</v>
      </c>
      <c r="C10" s="424" t="s">
        <v>58</v>
      </c>
      <c r="D10" s="675">
        <v>1976</v>
      </c>
      <c r="E10" s="675">
        <v>3</v>
      </c>
      <c r="F10" s="675">
        <v>24</v>
      </c>
      <c r="G10" s="675">
        <v>97</v>
      </c>
      <c r="H10" s="676">
        <v>1461.2</v>
      </c>
      <c r="I10" s="676">
        <v>22519.56</v>
      </c>
      <c r="J10" s="676">
        <v>23022.75</v>
      </c>
      <c r="K10" s="676">
        <v>1402.02</v>
      </c>
      <c r="L10" s="676">
        <v>1432.93</v>
      </c>
      <c r="M10" s="676">
        <v>0</v>
      </c>
      <c r="N10" s="676">
        <v>0</v>
      </c>
      <c r="O10" s="676">
        <v>15596.94</v>
      </c>
      <c r="P10" s="676">
        <v>15946.62</v>
      </c>
      <c r="Q10" s="628">
        <v>135352.87</v>
      </c>
      <c r="R10" s="628">
        <v>109557.05</v>
      </c>
      <c r="S10" s="628">
        <v>3334.29</v>
      </c>
      <c r="T10" s="628">
        <v>2862.14</v>
      </c>
      <c r="U10" s="628">
        <v>72279.710000000006</v>
      </c>
      <c r="V10" s="628">
        <v>62401.58</v>
      </c>
      <c r="W10" s="628">
        <f>I10+K10+M10+O10+Q10+S10+U10</f>
        <v>250485.39</v>
      </c>
      <c r="X10" s="628">
        <f>J10+L10+N10+P10+R10+T10+V10</f>
        <v>215223.07</v>
      </c>
      <c r="Y10" s="1497">
        <f>AK10+AR10+AW10+AX10+AY10+AZ10</f>
        <v>179928.33494048801</v>
      </c>
      <c r="Z10" s="591">
        <v>469.89</v>
      </c>
      <c r="AA10" s="592"/>
      <c r="AB10" s="592">
        <v>4047.68</v>
      </c>
      <c r="AC10" s="592"/>
      <c r="AD10" s="592">
        <f>8908.72/17476.13*H10</f>
        <v>744.86866737658738</v>
      </c>
      <c r="AE10" s="592">
        <f>42221.08/17476.13*H10</f>
        <v>3530.154679325457</v>
      </c>
      <c r="AF10" s="592">
        <f>440348.81/17476.13*H10</f>
        <v>36818.08736671105</v>
      </c>
      <c r="AG10" s="592">
        <f>95048.5/17476.13*H10</f>
        <v>7947.1180518799074</v>
      </c>
      <c r="AH10" s="592"/>
      <c r="AI10" s="592">
        <f>561788.8/16358.47*H10</f>
        <v>50181.086284964309</v>
      </c>
      <c r="AJ10" s="592">
        <f>AI10*0.202</f>
        <v>10136.579429562791</v>
      </c>
      <c r="AK10" s="1487">
        <f>AJ10+AI10+AH10+AG10+AF10+AE10+AD10+AC10+AB10+AA10+Z10</f>
        <v>113875.46447982009</v>
      </c>
      <c r="AL10" s="592">
        <v>13221.52</v>
      </c>
      <c r="AM10" s="592"/>
      <c r="AN10" s="592"/>
      <c r="AO10" s="592"/>
      <c r="AP10" s="592">
        <v>698.61</v>
      </c>
      <c r="AQ10" s="592"/>
      <c r="AR10" s="1499">
        <f>AQ10+AP10+AO10+AN10+AM10+AL10</f>
        <v>13920.130000000001</v>
      </c>
      <c r="AS10" s="592">
        <f>1116/15709.31*H10</f>
        <v>103.80463559507071</v>
      </c>
      <c r="AT10" s="592"/>
      <c r="AU10" s="592">
        <f>244360.46/15709.31*H10</f>
        <v>22729.165326293773</v>
      </c>
      <c r="AV10" s="592">
        <f>AU10*0.202</f>
        <v>4591.2913959113421</v>
      </c>
      <c r="AW10" s="1499">
        <f>AV10+AU10+AT10+AS10</f>
        <v>27424.261357800187</v>
      </c>
      <c r="AX10" s="522"/>
      <c r="AY10" s="522">
        <f>22090.38/17476.13*H10</f>
        <v>1847.0029266204817</v>
      </c>
      <c r="AZ10" s="522">
        <f>273426.04/17476.13*H10</f>
        <v>22861.476176247255</v>
      </c>
      <c r="BA10" s="522">
        <f>W10-Y10</f>
        <v>70557.055059512</v>
      </c>
      <c r="BB10" s="522">
        <f>X10/W10*100</f>
        <v>85.922404496326109</v>
      </c>
      <c r="BC10" s="522">
        <f>Y10/H10/9</f>
        <v>13.681930752538857</v>
      </c>
      <c r="BD10" s="522">
        <f>W10-X10</f>
        <v>35262.320000000007</v>
      </c>
      <c r="BE10" s="522">
        <f>U10-V10</f>
        <v>9878.1300000000047</v>
      </c>
      <c r="BF10" s="522">
        <v>13.78</v>
      </c>
      <c r="BG10" s="522">
        <v>5.5</v>
      </c>
      <c r="BH10" s="1489"/>
      <c r="BI10" s="1489"/>
      <c r="BJ10" s="1489"/>
      <c r="BK10" s="1489"/>
      <c r="BL10" s="1489"/>
      <c r="BM10" s="1489"/>
      <c r="BN10" s="35"/>
      <c r="BO10" s="66"/>
      <c r="BP10" s="66"/>
      <c r="BQ10" s="66"/>
      <c r="BR10" s="35"/>
      <c r="BS10" s="35"/>
      <c r="BT10" s="67"/>
      <c r="BU10" s="67"/>
      <c r="BV10" s="67"/>
      <c r="BW10" s="68"/>
      <c r="BX10" s="67"/>
      <c r="BY10" s="68"/>
      <c r="BZ10" s="67"/>
      <c r="CA10" s="130"/>
      <c r="CB10" s="35"/>
      <c r="CC10" s="30"/>
    </row>
    <row r="11" spans="1:81" s="124" customFormat="1" x14ac:dyDescent="0.25">
      <c r="A11" s="16">
        <v>2</v>
      </c>
      <c r="B11" s="588"/>
      <c r="C11" s="424" t="s">
        <v>59</v>
      </c>
      <c r="D11" s="675">
        <v>1977</v>
      </c>
      <c r="E11" s="675">
        <v>3</v>
      </c>
      <c r="F11" s="675">
        <v>24</v>
      </c>
      <c r="G11" s="675">
        <v>81</v>
      </c>
      <c r="H11" s="676">
        <v>1456.7</v>
      </c>
      <c r="I11" s="676">
        <v>6467.73</v>
      </c>
      <c r="J11" s="676">
        <v>10202.25</v>
      </c>
      <c r="K11" s="676">
        <v>1398.36</v>
      </c>
      <c r="L11" s="676">
        <v>1634.69</v>
      </c>
      <c r="M11" s="676">
        <v>0</v>
      </c>
      <c r="N11" s="676">
        <v>0</v>
      </c>
      <c r="O11" s="676">
        <v>15557.46</v>
      </c>
      <c r="P11" s="676">
        <v>18187.18</v>
      </c>
      <c r="Q11" s="628">
        <v>123193.19</v>
      </c>
      <c r="R11" s="628">
        <v>118568.54</v>
      </c>
      <c r="S11" s="628">
        <v>3334.32</v>
      </c>
      <c r="T11" s="628">
        <v>3228.45</v>
      </c>
      <c r="U11" s="628">
        <v>72106.84</v>
      </c>
      <c r="V11" s="628">
        <v>71653.960000000006</v>
      </c>
      <c r="W11" s="628">
        <f t="shared" ref="W11:W40" si="0">I11+K11+M11+O11+Q11+S11+U11</f>
        <v>222057.9</v>
      </c>
      <c r="X11" s="628">
        <f t="shared" ref="X11:X40" si="1">J11+L11+N11+P11+R11+T11+V11</f>
        <v>223475.07</v>
      </c>
      <c r="Y11" s="1497">
        <f t="shared" ref="Y11:Y40" si="2">AK11+AR11+AW11+AX11+AY11+AZ11</f>
        <v>260828.06860238771</v>
      </c>
      <c r="Z11" s="591">
        <v>469.89</v>
      </c>
      <c r="AA11" s="592"/>
      <c r="AB11" s="592">
        <v>5752.46</v>
      </c>
      <c r="AC11" s="592">
        <v>1760.4</v>
      </c>
      <c r="AD11" s="592">
        <f t="shared" ref="AD11:AD40" si="3">8908.72/17476.13*H11</f>
        <v>742.57472472452423</v>
      </c>
      <c r="AE11" s="592">
        <f t="shared" ref="AE11:AE40" si="4">42221.08/17476.13*H11</f>
        <v>3519.2830012136556</v>
      </c>
      <c r="AF11" s="592">
        <f t="shared" ref="AF11:AF40" si="5">440348.81/17476.13*H11</f>
        <v>36704.700155411978</v>
      </c>
      <c r="AG11" s="592">
        <f t="shared" ref="AG11:AG40" si="6">95048.5/17476.13*H11</f>
        <v>7922.6436259057355</v>
      </c>
      <c r="AH11" s="592"/>
      <c r="AI11" s="592">
        <f t="shared" ref="AI11:AI19" si="7">561788.8/16358.47*H11</f>
        <v>50026.545573027317</v>
      </c>
      <c r="AJ11" s="592">
        <f t="shared" ref="AJ11:AJ19" si="8">AI11*0.202</f>
        <v>10105.362205751519</v>
      </c>
      <c r="AK11" s="1487">
        <f t="shared" ref="AK11:AK40" si="9">AJ11+AI11+AH11+AG11+AF11+AE11+AD11+AC11+AB11+AA11+Z11</f>
        <v>117003.85928603473</v>
      </c>
      <c r="AL11" s="592">
        <v>25177.67</v>
      </c>
      <c r="AM11" s="592"/>
      <c r="AN11" s="592">
        <v>60852.6</v>
      </c>
      <c r="AO11" s="592"/>
      <c r="AP11" s="592">
        <v>5821.75</v>
      </c>
      <c r="AQ11" s="592"/>
      <c r="AR11" s="1499">
        <f t="shared" ref="AR11:AR40" si="10">AQ11+AP11+AO11+AN11+AM11+AL11</f>
        <v>91852.02</v>
      </c>
      <c r="AS11" s="592">
        <f t="shared" ref="AS11:AS19" si="11">1116/15709.31*H11</f>
        <v>103.48495255361313</v>
      </c>
      <c r="AT11" s="592"/>
      <c r="AU11" s="592">
        <f t="shared" ref="AU11:AU19" si="12">244360.46/15709.31*H11</f>
        <v>22659.167212436449</v>
      </c>
      <c r="AV11" s="592">
        <f t="shared" ref="AV11:AV19" si="13">AU11*0.202</f>
        <v>4577.1517769121629</v>
      </c>
      <c r="AW11" s="1499">
        <f t="shared" ref="AW11:AW40" si="14">AV11+AU11+AT11+AS11</f>
        <v>27339.803941902224</v>
      </c>
      <c r="AX11" s="522"/>
      <c r="AY11" s="522">
        <f t="shared" ref="AY11:AY40" si="15">22090.38/17476.13*H11</f>
        <v>1841.3147845661481</v>
      </c>
      <c r="AZ11" s="522">
        <f t="shared" ref="AZ11:AZ40" si="16">273426.04/17476.13*H11</f>
        <v>22791.070589884599</v>
      </c>
      <c r="BA11" s="522">
        <f t="shared" ref="BA11:BA40" si="17">W11-Y11</f>
        <v>-38770.168602387712</v>
      </c>
      <c r="BB11" s="522">
        <f t="shared" ref="BB11:BB41" si="18">X11/W11*100</f>
        <v>100.63819841581858</v>
      </c>
      <c r="BC11" s="522">
        <f t="shared" ref="BC11:BC41" si="19">Y11/H11/9</f>
        <v>19.894897035337689</v>
      </c>
      <c r="BD11" s="522">
        <f t="shared" ref="BD11:BD40" si="20">W11-X11</f>
        <v>-1417.1700000000128</v>
      </c>
      <c r="BE11" s="522">
        <f t="shared" ref="BE11:BE40" si="21">U11-V11</f>
        <v>452.8799999999901</v>
      </c>
      <c r="BF11" s="522">
        <v>11.07</v>
      </c>
      <c r="BG11" s="522">
        <v>5.5</v>
      </c>
      <c r="BH11" s="1489"/>
      <c r="BI11" s="1489"/>
      <c r="BJ11" s="1489"/>
      <c r="BK11" s="1489"/>
      <c r="BL11" s="1489"/>
      <c r="BM11" s="1489"/>
      <c r="BN11" s="35"/>
      <c r="BO11" s="66"/>
      <c r="BP11" s="66"/>
      <c r="BQ11" s="66"/>
      <c r="BR11" s="35"/>
      <c r="BS11" s="35"/>
      <c r="BT11" s="67"/>
      <c r="BU11" s="67"/>
      <c r="BV11" s="67"/>
      <c r="BW11" s="68"/>
      <c r="BX11" s="67"/>
      <c r="BY11" s="68"/>
      <c r="BZ11" s="67"/>
      <c r="CA11" s="130"/>
      <c r="CB11" s="35"/>
      <c r="CC11" s="30"/>
    </row>
    <row r="12" spans="1:81" s="124" customFormat="1" x14ac:dyDescent="0.25">
      <c r="A12" s="16">
        <v>3</v>
      </c>
      <c r="B12" s="588"/>
      <c r="C12" s="424" t="s">
        <v>60</v>
      </c>
      <c r="D12" s="675">
        <v>1972</v>
      </c>
      <c r="E12" s="675">
        <v>2</v>
      </c>
      <c r="F12" s="675">
        <v>18</v>
      </c>
      <c r="G12" s="675">
        <v>57</v>
      </c>
      <c r="H12" s="676">
        <v>776.8</v>
      </c>
      <c r="I12" s="676">
        <v>10347.06</v>
      </c>
      <c r="J12" s="676">
        <v>11188.5</v>
      </c>
      <c r="K12" s="676">
        <v>745.68</v>
      </c>
      <c r="L12" s="676">
        <v>806.34</v>
      </c>
      <c r="M12" s="676">
        <v>0</v>
      </c>
      <c r="N12" s="676">
        <v>0</v>
      </c>
      <c r="O12" s="676">
        <v>8296.14</v>
      </c>
      <c r="P12" s="676">
        <v>8967.24</v>
      </c>
      <c r="Q12" s="628">
        <v>59541.66</v>
      </c>
      <c r="R12" s="628">
        <v>51768.81</v>
      </c>
      <c r="S12" s="628">
        <v>1430.84</v>
      </c>
      <c r="T12" s="628">
        <v>1266.54</v>
      </c>
      <c r="U12" s="628">
        <v>38451.69</v>
      </c>
      <c r="V12" s="628">
        <v>35629.449999999997</v>
      </c>
      <c r="W12" s="628">
        <f t="shared" si="0"/>
        <v>118813.07</v>
      </c>
      <c r="X12" s="628">
        <f t="shared" si="1"/>
        <v>109626.87999999999</v>
      </c>
      <c r="Y12" s="1497">
        <f t="shared" si="2"/>
        <v>91371.433874740702</v>
      </c>
      <c r="Z12" s="591">
        <v>447.11</v>
      </c>
      <c r="AA12" s="592"/>
      <c r="AB12" s="592">
        <v>1994.58</v>
      </c>
      <c r="AC12" s="592">
        <v>1530.9</v>
      </c>
      <c r="AD12" s="592">
        <f t="shared" si="3"/>
        <v>395.98547824947508</v>
      </c>
      <c r="AE12" s="592">
        <f t="shared" si="4"/>
        <v>1876.6932349438919</v>
      </c>
      <c r="AF12" s="592">
        <f t="shared" si="5"/>
        <v>19573.152386025966</v>
      </c>
      <c r="AG12" s="592">
        <f t="shared" si="6"/>
        <v>4224.8297992747821</v>
      </c>
      <c r="AH12" s="592"/>
      <c r="AI12" s="592">
        <f t="shared" si="7"/>
        <v>26677.161118368651</v>
      </c>
      <c r="AJ12" s="592">
        <f t="shared" si="8"/>
        <v>5388.7865459104678</v>
      </c>
      <c r="AK12" s="1487">
        <f t="shared" si="9"/>
        <v>62109.198562773243</v>
      </c>
      <c r="AL12" s="592">
        <v>1081.8</v>
      </c>
      <c r="AM12" s="592"/>
      <c r="AN12" s="592"/>
      <c r="AO12" s="592"/>
      <c r="AP12" s="592">
        <v>465.74</v>
      </c>
      <c r="AQ12" s="592"/>
      <c r="AR12" s="1499">
        <f t="shared" si="10"/>
        <v>1547.54</v>
      </c>
      <c r="AS12" s="592">
        <f t="shared" si="11"/>
        <v>55.184397023166518</v>
      </c>
      <c r="AT12" s="592"/>
      <c r="AU12" s="592">
        <f t="shared" si="12"/>
        <v>12083.229965415412</v>
      </c>
      <c r="AV12" s="592">
        <f t="shared" si="13"/>
        <v>2440.8124530139135</v>
      </c>
      <c r="AW12" s="1499">
        <f t="shared" si="14"/>
        <v>14579.226815452492</v>
      </c>
      <c r="AX12" s="522"/>
      <c r="AY12" s="522">
        <f t="shared" si="15"/>
        <v>981.89972173473177</v>
      </c>
      <c r="AZ12" s="522">
        <f t="shared" si="16"/>
        <v>12153.568774780226</v>
      </c>
      <c r="BA12" s="522">
        <f t="shared" si="17"/>
        <v>27441.636125259305</v>
      </c>
      <c r="BB12" s="522">
        <f t="shared" si="18"/>
        <v>92.268367444760059</v>
      </c>
      <c r="BC12" s="522">
        <f t="shared" si="19"/>
        <v>13.069492200872626</v>
      </c>
      <c r="BD12" s="522">
        <f t="shared" si="20"/>
        <v>9186.1900000000169</v>
      </c>
      <c r="BE12" s="522">
        <f t="shared" si="21"/>
        <v>2822.2400000000052</v>
      </c>
      <c r="BF12" s="522">
        <v>11.69</v>
      </c>
      <c r="BG12" s="522">
        <v>5.5</v>
      </c>
      <c r="BH12" s="1489"/>
      <c r="BI12" s="1489"/>
      <c r="BJ12" s="1489"/>
      <c r="BK12" s="1489"/>
      <c r="BL12" s="1489"/>
      <c r="BM12" s="1489"/>
      <c r="BN12" s="35"/>
      <c r="BO12" s="66"/>
      <c r="BP12" s="66"/>
      <c r="BQ12" s="66"/>
      <c r="BR12" s="35"/>
      <c r="BS12" s="35"/>
      <c r="BT12" s="67"/>
      <c r="BU12" s="67"/>
      <c r="BV12" s="67"/>
      <c r="BW12" s="68"/>
      <c r="BX12" s="67"/>
      <c r="BY12" s="68"/>
      <c r="BZ12" s="67"/>
      <c r="CA12" s="130"/>
      <c r="CB12" s="35"/>
      <c r="CC12" s="30"/>
    </row>
    <row r="13" spans="1:81" s="124" customFormat="1" x14ac:dyDescent="0.25">
      <c r="A13" s="16">
        <v>4</v>
      </c>
      <c r="B13" s="588"/>
      <c r="C13" s="424" t="s">
        <v>61</v>
      </c>
      <c r="D13" s="675">
        <v>1973</v>
      </c>
      <c r="E13" s="675">
        <v>2</v>
      </c>
      <c r="F13" s="675">
        <v>18</v>
      </c>
      <c r="G13" s="675">
        <v>49</v>
      </c>
      <c r="H13" s="676">
        <v>773.51</v>
      </c>
      <c r="I13" s="676">
        <v>10315.32</v>
      </c>
      <c r="J13" s="676">
        <v>12503.43</v>
      </c>
      <c r="K13" s="676">
        <v>743.58</v>
      </c>
      <c r="L13" s="676">
        <v>901.35</v>
      </c>
      <c r="M13" s="676">
        <v>0</v>
      </c>
      <c r="N13" s="676">
        <v>0</v>
      </c>
      <c r="O13" s="676">
        <v>8270.52</v>
      </c>
      <c r="P13" s="676">
        <v>10017.93</v>
      </c>
      <c r="Q13" s="628">
        <v>58568.82</v>
      </c>
      <c r="R13" s="628">
        <v>53777.67</v>
      </c>
      <c r="S13" s="628">
        <v>1430.64</v>
      </c>
      <c r="T13" s="628">
        <v>1303.9000000000001</v>
      </c>
      <c r="U13" s="628">
        <v>38333.339999999997</v>
      </c>
      <c r="V13" s="628">
        <v>38382.870000000003</v>
      </c>
      <c r="W13" s="628">
        <f t="shared" si="0"/>
        <v>117662.21999999999</v>
      </c>
      <c r="X13" s="628">
        <f t="shared" si="1"/>
        <v>116887.15</v>
      </c>
      <c r="Y13" s="1497">
        <f t="shared" si="2"/>
        <v>88247.675751996227</v>
      </c>
      <c r="Z13" s="591">
        <v>299.66000000000003</v>
      </c>
      <c r="AA13" s="592"/>
      <c r="AB13" s="592">
        <v>1994.58</v>
      </c>
      <c r="AC13" s="592"/>
      <c r="AD13" s="592">
        <f t="shared" si="3"/>
        <v>394.30835128830006</v>
      </c>
      <c r="AE13" s="592">
        <f t="shared" si="4"/>
        <v>1868.7448302799303</v>
      </c>
      <c r="AF13" s="592">
        <f t="shared" si="5"/>
        <v>19490.253735987313</v>
      </c>
      <c r="AG13" s="592">
        <f t="shared" si="6"/>
        <v>4206.9362745069984</v>
      </c>
      <c r="AH13" s="592"/>
      <c r="AI13" s="592">
        <f t="shared" si="7"/>
        <v>26564.174686752493</v>
      </c>
      <c r="AJ13" s="592">
        <f t="shared" si="8"/>
        <v>5365.9632867240034</v>
      </c>
      <c r="AK13" s="1487">
        <f t="shared" si="9"/>
        <v>60184.621165539051</v>
      </c>
      <c r="AL13" s="592"/>
      <c r="AM13" s="592"/>
      <c r="AN13" s="592"/>
      <c r="AO13" s="592"/>
      <c r="AP13" s="592">
        <v>465.74</v>
      </c>
      <c r="AQ13" s="592"/>
      <c r="AR13" s="1499">
        <f t="shared" si="10"/>
        <v>465.74</v>
      </c>
      <c r="AS13" s="592">
        <f t="shared" si="11"/>
        <v>54.950673199523095</v>
      </c>
      <c r="AT13" s="592"/>
      <c r="AU13" s="592">
        <f t="shared" si="12"/>
        <v>12032.053566617504</v>
      </c>
      <c r="AV13" s="592">
        <f t="shared" si="13"/>
        <v>2430.4748204567359</v>
      </c>
      <c r="AW13" s="1499">
        <f t="shared" si="14"/>
        <v>14517.479060273761</v>
      </c>
      <c r="AX13" s="522"/>
      <c r="AY13" s="522">
        <f t="shared" si="15"/>
        <v>977.74105787723022</v>
      </c>
      <c r="AZ13" s="522">
        <f t="shared" si="16"/>
        <v>12102.094468306197</v>
      </c>
      <c r="BA13" s="522">
        <f t="shared" si="17"/>
        <v>29414.54424800376</v>
      </c>
      <c r="BB13" s="522">
        <f t="shared" si="18"/>
        <v>99.341275389840519</v>
      </c>
      <c r="BC13" s="522">
        <f t="shared" si="19"/>
        <v>12.676367863088206</v>
      </c>
      <c r="BD13" s="522">
        <f t="shared" si="20"/>
        <v>775.06999999999243</v>
      </c>
      <c r="BE13" s="522">
        <f t="shared" si="21"/>
        <v>-49.530000000006112</v>
      </c>
      <c r="BF13" s="522">
        <v>11.57</v>
      </c>
      <c r="BG13" s="522">
        <v>5.5</v>
      </c>
      <c r="BH13" s="1489"/>
      <c r="BI13" s="1489"/>
      <c r="BJ13" s="1489"/>
      <c r="BK13" s="1489"/>
      <c r="BL13" s="1489"/>
      <c r="BM13" s="1489"/>
      <c r="BN13" s="35"/>
      <c r="BO13" s="66"/>
      <c r="BP13" s="66"/>
      <c r="BQ13" s="66"/>
      <c r="BR13" s="35"/>
      <c r="BS13" s="35"/>
      <c r="BT13" s="67"/>
      <c r="BU13" s="67"/>
      <c r="BV13" s="67"/>
      <c r="BW13" s="68"/>
      <c r="BX13" s="67"/>
      <c r="BY13" s="68"/>
      <c r="BZ13" s="67"/>
      <c r="CA13" s="130"/>
      <c r="CB13" s="35"/>
      <c r="CC13" s="30"/>
    </row>
    <row r="14" spans="1:81" s="124" customFormat="1" x14ac:dyDescent="0.25">
      <c r="A14" s="16">
        <v>5</v>
      </c>
      <c r="B14" s="588"/>
      <c r="C14" s="424" t="s">
        <v>62</v>
      </c>
      <c r="D14" s="675">
        <v>1980</v>
      </c>
      <c r="E14" s="675">
        <v>3</v>
      </c>
      <c r="F14" s="675">
        <v>36</v>
      </c>
      <c r="G14" s="675">
        <v>93</v>
      </c>
      <c r="H14" s="676">
        <v>1799.9</v>
      </c>
      <c r="I14" s="676">
        <v>27615.78</v>
      </c>
      <c r="J14" s="676">
        <v>33064.28</v>
      </c>
      <c r="K14" s="676">
        <v>1726.02</v>
      </c>
      <c r="L14" s="676">
        <v>2064.6</v>
      </c>
      <c r="M14" s="676">
        <v>0</v>
      </c>
      <c r="N14" s="676">
        <v>0</v>
      </c>
      <c r="O14" s="676">
        <v>19201.740000000002</v>
      </c>
      <c r="P14" s="676">
        <v>22822.63</v>
      </c>
      <c r="Q14" s="628">
        <v>170872.23</v>
      </c>
      <c r="R14" s="628">
        <v>160097.21</v>
      </c>
      <c r="S14" s="628">
        <v>3134.76</v>
      </c>
      <c r="T14" s="628">
        <v>2949.84</v>
      </c>
      <c r="U14" s="628">
        <v>88996.05</v>
      </c>
      <c r="V14" s="628">
        <v>88527.03</v>
      </c>
      <c r="W14" s="628">
        <f t="shared" si="0"/>
        <v>311546.58</v>
      </c>
      <c r="X14" s="628">
        <f t="shared" si="1"/>
        <v>309525.58999999997</v>
      </c>
      <c r="Y14" s="1497">
        <f t="shared" si="2"/>
        <v>209264.29332150589</v>
      </c>
      <c r="Z14" s="591">
        <v>343.55</v>
      </c>
      <c r="AA14" s="592"/>
      <c r="AB14" s="592">
        <v>9997.26</v>
      </c>
      <c r="AC14" s="592"/>
      <c r="AD14" s="592">
        <f t="shared" si="3"/>
        <v>917.52608432187219</v>
      </c>
      <c r="AE14" s="592">
        <f t="shared" si="4"/>
        <v>4348.4296518737274</v>
      </c>
      <c r="AF14" s="592">
        <f t="shared" si="5"/>
        <v>45352.364803820979</v>
      </c>
      <c r="AG14" s="592">
        <f t="shared" si="6"/>
        <v>9789.2265135358921</v>
      </c>
      <c r="AH14" s="592"/>
      <c r="AI14" s="592">
        <f t="shared" si="7"/>
        <v>61812.850536755584</v>
      </c>
      <c r="AJ14" s="592">
        <f t="shared" si="8"/>
        <v>12486.195808424629</v>
      </c>
      <c r="AK14" s="1487">
        <f t="shared" si="9"/>
        <v>145047.40339873268</v>
      </c>
      <c r="AL14" s="592"/>
      <c r="AM14" s="592"/>
      <c r="AN14" s="592"/>
      <c r="AO14" s="592"/>
      <c r="AP14" s="592"/>
      <c r="AQ14" s="592"/>
      <c r="AR14" s="1499">
        <f t="shared" si="10"/>
        <v>0</v>
      </c>
      <c r="AS14" s="592">
        <f t="shared" si="11"/>
        <v>127.86611251544468</v>
      </c>
      <c r="AT14" s="592"/>
      <c r="AU14" s="592">
        <f t="shared" si="12"/>
        <v>27997.690029288366</v>
      </c>
      <c r="AV14" s="592">
        <f t="shared" si="13"/>
        <v>5655.5333859162502</v>
      </c>
      <c r="AW14" s="1499">
        <f t="shared" si="14"/>
        <v>33781.089527720062</v>
      </c>
      <c r="AX14" s="522"/>
      <c r="AY14" s="522">
        <f t="shared" si="15"/>
        <v>2275.130418576653</v>
      </c>
      <c r="AZ14" s="522">
        <f t="shared" si="16"/>
        <v>28160.669976476482</v>
      </c>
      <c r="BA14" s="522">
        <f t="shared" si="17"/>
        <v>102282.28667849413</v>
      </c>
      <c r="BB14" s="522">
        <f t="shared" si="18"/>
        <v>99.351304065029368</v>
      </c>
      <c r="BC14" s="522">
        <f t="shared" si="19"/>
        <v>12.918266651943988</v>
      </c>
      <c r="BD14" s="522">
        <f t="shared" si="20"/>
        <v>2020.9900000000489</v>
      </c>
      <c r="BE14" s="522">
        <f t="shared" si="21"/>
        <v>469.02000000000407</v>
      </c>
      <c r="BF14" s="522">
        <v>14.04</v>
      </c>
      <c r="BG14" s="522">
        <v>5.5</v>
      </c>
      <c r="BH14" s="1489"/>
      <c r="BI14" s="1489"/>
      <c r="BJ14" s="1489"/>
      <c r="BK14" s="1489"/>
      <c r="BL14" s="1489"/>
      <c r="BM14" s="1489"/>
      <c r="BN14" s="35"/>
      <c r="BO14" s="66"/>
      <c r="BP14" s="66"/>
      <c r="BQ14" s="66"/>
      <c r="BR14" s="35"/>
      <c r="BS14" s="35"/>
      <c r="BT14" s="67"/>
      <c r="BU14" s="67"/>
      <c r="BV14" s="67"/>
      <c r="BW14" s="68"/>
      <c r="BX14" s="67"/>
      <c r="BY14" s="68"/>
      <c r="BZ14" s="67"/>
      <c r="CA14" s="130"/>
      <c r="CB14" s="35"/>
      <c r="CC14" s="30"/>
    </row>
    <row r="15" spans="1:81" s="124" customFormat="1" x14ac:dyDescent="0.25">
      <c r="A15" s="16">
        <v>6</v>
      </c>
      <c r="B15" s="588"/>
      <c r="C15" s="424" t="s">
        <v>63</v>
      </c>
      <c r="D15" s="675">
        <v>1982</v>
      </c>
      <c r="E15" s="675">
        <v>3</v>
      </c>
      <c r="F15" s="675">
        <v>24</v>
      </c>
      <c r="G15" s="675">
        <v>84</v>
      </c>
      <c r="H15" s="676">
        <v>1454.2</v>
      </c>
      <c r="I15" s="676">
        <v>21114.959999999999</v>
      </c>
      <c r="J15" s="676">
        <v>21502.87</v>
      </c>
      <c r="K15" s="676">
        <v>1396.14</v>
      </c>
      <c r="L15" s="676">
        <v>1421.83</v>
      </c>
      <c r="M15" s="676">
        <v>0</v>
      </c>
      <c r="N15" s="676">
        <v>0</v>
      </c>
      <c r="O15" s="676">
        <v>15531</v>
      </c>
      <c r="P15" s="676">
        <v>15814.59</v>
      </c>
      <c r="Q15" s="628">
        <v>137160.21</v>
      </c>
      <c r="R15" s="628">
        <v>110275.49</v>
      </c>
      <c r="S15" s="628">
        <v>3315.66</v>
      </c>
      <c r="T15" s="628">
        <v>2861.04</v>
      </c>
      <c r="U15" s="628">
        <v>71982.990000000005</v>
      </c>
      <c r="V15" s="628">
        <v>61629.56</v>
      </c>
      <c r="W15" s="628">
        <f t="shared" si="0"/>
        <v>250500.96000000002</v>
      </c>
      <c r="X15" s="628">
        <f t="shared" si="1"/>
        <v>213505.38</v>
      </c>
      <c r="Y15" s="1497">
        <f t="shared" si="2"/>
        <v>250567.68063677641</v>
      </c>
      <c r="Z15" s="591">
        <v>447.71</v>
      </c>
      <c r="AA15" s="592"/>
      <c r="AB15" s="592">
        <v>4500.6499999999996</v>
      </c>
      <c r="AC15" s="592"/>
      <c r="AD15" s="592">
        <f t="shared" si="3"/>
        <v>741.30031214004464</v>
      </c>
      <c r="AE15" s="592">
        <f t="shared" si="4"/>
        <v>3513.2431800404324</v>
      </c>
      <c r="AF15" s="592">
        <f t="shared" si="5"/>
        <v>36641.707260245828</v>
      </c>
      <c r="AG15" s="592">
        <f t="shared" si="6"/>
        <v>7909.0467225867515</v>
      </c>
      <c r="AH15" s="592"/>
      <c r="AI15" s="592">
        <f t="shared" si="7"/>
        <v>49940.689621951205</v>
      </c>
      <c r="AJ15" s="592">
        <f t="shared" si="8"/>
        <v>10088.019303634144</v>
      </c>
      <c r="AK15" s="1487">
        <f t="shared" si="9"/>
        <v>113782.36640059839</v>
      </c>
      <c r="AL15" s="592">
        <v>13139.92</v>
      </c>
      <c r="AM15" s="592"/>
      <c r="AN15" s="592">
        <v>67105</v>
      </c>
      <c r="AO15" s="592"/>
      <c r="AP15" s="592">
        <v>4657.3999999999996</v>
      </c>
      <c r="AQ15" s="592"/>
      <c r="AR15" s="1499">
        <f t="shared" si="10"/>
        <v>84902.319999999992</v>
      </c>
      <c r="AS15" s="592">
        <f t="shared" si="11"/>
        <v>103.30735086391448</v>
      </c>
      <c r="AT15" s="592"/>
      <c r="AU15" s="592">
        <f t="shared" si="12"/>
        <v>22620.279371404602</v>
      </c>
      <c r="AV15" s="592">
        <f t="shared" si="13"/>
        <v>4569.2964330237301</v>
      </c>
      <c r="AW15" s="1499">
        <f t="shared" si="14"/>
        <v>27292.883155292246</v>
      </c>
      <c r="AX15" s="522"/>
      <c r="AY15" s="522">
        <f t="shared" si="15"/>
        <v>1838.154705647074</v>
      </c>
      <c r="AZ15" s="522">
        <f t="shared" si="16"/>
        <v>22751.956375238682</v>
      </c>
      <c r="BA15" s="522">
        <f t="shared" si="17"/>
        <v>-66.720636776386527</v>
      </c>
      <c r="BB15" s="522">
        <f t="shared" si="18"/>
        <v>85.231361987594781</v>
      </c>
      <c r="BC15" s="522">
        <f t="shared" si="19"/>
        <v>19.14513368455939</v>
      </c>
      <c r="BD15" s="522">
        <f t="shared" si="20"/>
        <v>36995.580000000016</v>
      </c>
      <c r="BE15" s="522">
        <f t="shared" si="21"/>
        <v>10353.430000000008</v>
      </c>
      <c r="BF15" s="522">
        <v>13.86</v>
      </c>
      <c r="BG15" s="522">
        <v>5.5</v>
      </c>
      <c r="BH15" s="1489"/>
      <c r="BI15" s="1489"/>
      <c r="BJ15" s="1489"/>
      <c r="BK15" s="1489"/>
      <c r="BL15" s="1489"/>
      <c r="BM15" s="1489"/>
      <c r="BN15" s="35"/>
      <c r="BO15" s="66"/>
      <c r="BP15" s="66"/>
      <c r="BQ15" s="66"/>
      <c r="BR15" s="35"/>
      <c r="BS15" s="35"/>
      <c r="BT15" s="67"/>
      <c r="BU15" s="67"/>
      <c r="BV15" s="67"/>
      <c r="BW15" s="68"/>
      <c r="BX15" s="67"/>
      <c r="BY15" s="68"/>
      <c r="BZ15" s="67"/>
      <c r="CA15" s="130"/>
      <c r="CB15" s="35"/>
      <c r="CC15" s="30"/>
    </row>
    <row r="16" spans="1:81" s="124" customFormat="1" x14ac:dyDescent="0.25">
      <c r="A16" s="16">
        <v>7</v>
      </c>
      <c r="B16" s="588"/>
      <c r="C16" s="424" t="s">
        <v>64</v>
      </c>
      <c r="D16" s="675">
        <v>1982</v>
      </c>
      <c r="E16" s="675">
        <v>3</v>
      </c>
      <c r="F16" s="675">
        <v>24</v>
      </c>
      <c r="G16" s="675">
        <v>95</v>
      </c>
      <c r="H16" s="676">
        <v>1458.3</v>
      </c>
      <c r="I16" s="676">
        <v>21165.78</v>
      </c>
      <c r="J16" s="676">
        <v>24117.279999999999</v>
      </c>
      <c r="K16" s="676">
        <v>1399.32</v>
      </c>
      <c r="L16" s="676">
        <v>1603.28</v>
      </c>
      <c r="M16" s="676">
        <v>0</v>
      </c>
      <c r="N16" s="676">
        <v>0</v>
      </c>
      <c r="O16" s="676">
        <v>15568.2</v>
      </c>
      <c r="P16" s="676">
        <v>17826.87</v>
      </c>
      <c r="Q16" s="628">
        <v>137490.18</v>
      </c>
      <c r="R16" s="628">
        <v>126433.36</v>
      </c>
      <c r="S16" s="628">
        <v>3317.4</v>
      </c>
      <c r="T16" s="628">
        <v>3255.57</v>
      </c>
      <c r="U16" s="628">
        <v>72156.240000000005</v>
      </c>
      <c r="V16" s="628">
        <v>70453.31</v>
      </c>
      <c r="W16" s="628">
        <f t="shared" si="0"/>
        <v>251097.12</v>
      </c>
      <c r="X16" s="628">
        <f t="shared" si="1"/>
        <v>243689.66999999998</v>
      </c>
      <c r="Y16" s="1497">
        <f t="shared" si="2"/>
        <v>166183.61930037889</v>
      </c>
      <c r="Z16" s="591">
        <v>1337.23</v>
      </c>
      <c r="AA16" s="592"/>
      <c r="AB16" s="592">
        <v>3676.26</v>
      </c>
      <c r="AC16" s="592"/>
      <c r="AD16" s="592">
        <f t="shared" si="3"/>
        <v>743.39034877859103</v>
      </c>
      <c r="AE16" s="592">
        <f t="shared" si="4"/>
        <v>3523.1484867645181</v>
      </c>
      <c r="AF16" s="592">
        <f t="shared" si="5"/>
        <v>36745.015608318317</v>
      </c>
      <c r="AG16" s="592">
        <f t="shared" si="6"/>
        <v>7931.3456440298851</v>
      </c>
      <c r="AH16" s="592"/>
      <c r="AI16" s="592">
        <f t="shared" si="7"/>
        <v>50081.49338171602</v>
      </c>
      <c r="AJ16" s="592">
        <f t="shared" si="8"/>
        <v>10116.461663106636</v>
      </c>
      <c r="AK16" s="1487">
        <f t="shared" si="9"/>
        <v>114154.34513271395</v>
      </c>
      <c r="AL16" s="592"/>
      <c r="AM16" s="592"/>
      <c r="AN16" s="592"/>
      <c r="AO16" s="592"/>
      <c r="AP16" s="592"/>
      <c r="AQ16" s="592"/>
      <c r="AR16" s="1499">
        <f t="shared" si="10"/>
        <v>0</v>
      </c>
      <c r="AS16" s="592">
        <f t="shared" si="11"/>
        <v>103.59861763502026</v>
      </c>
      <c r="AT16" s="592"/>
      <c r="AU16" s="592">
        <f t="shared" si="12"/>
        <v>22684.05543069683</v>
      </c>
      <c r="AV16" s="592">
        <f t="shared" si="13"/>
        <v>4582.1791970007598</v>
      </c>
      <c r="AW16" s="1499">
        <f t="shared" si="14"/>
        <v>27369.833245332607</v>
      </c>
      <c r="AX16" s="522"/>
      <c r="AY16" s="522">
        <f t="shared" si="15"/>
        <v>1843.3372350743555</v>
      </c>
      <c r="AZ16" s="522">
        <f t="shared" si="16"/>
        <v>22816.103687257986</v>
      </c>
      <c r="BA16" s="522">
        <f t="shared" si="17"/>
        <v>84913.500699621101</v>
      </c>
      <c r="BB16" s="522">
        <f t="shared" si="18"/>
        <v>97.049966164486463</v>
      </c>
      <c r="BC16" s="522">
        <f t="shared" si="19"/>
        <v>12.661898504375635</v>
      </c>
      <c r="BD16" s="522">
        <f t="shared" si="20"/>
        <v>7407.4500000000116</v>
      </c>
      <c r="BE16" s="522">
        <f t="shared" si="21"/>
        <v>1702.9300000000076</v>
      </c>
      <c r="BF16" s="522">
        <v>13.86</v>
      </c>
      <c r="BG16" s="522">
        <v>5.5</v>
      </c>
      <c r="BH16" s="1489"/>
      <c r="BI16" s="1489"/>
      <c r="BJ16" s="1489"/>
      <c r="BK16" s="1489"/>
      <c r="BL16" s="1489"/>
      <c r="BM16" s="1489"/>
      <c r="BN16" s="35"/>
      <c r="BO16" s="66"/>
      <c r="BP16" s="66"/>
      <c r="BQ16" s="66"/>
      <c r="BR16" s="35"/>
      <c r="BS16" s="35"/>
      <c r="BT16" s="67"/>
      <c r="BU16" s="67"/>
      <c r="BV16" s="67"/>
      <c r="BW16" s="68"/>
      <c r="BX16" s="67"/>
      <c r="BY16" s="68"/>
      <c r="BZ16" s="67"/>
      <c r="CA16" s="130"/>
      <c r="CB16" s="35"/>
      <c r="CC16" s="30"/>
    </row>
    <row r="17" spans="1:81" s="124" customFormat="1" x14ac:dyDescent="0.25">
      <c r="A17" s="16">
        <v>8</v>
      </c>
      <c r="B17" s="588"/>
      <c r="C17" s="424" t="s">
        <v>65</v>
      </c>
      <c r="D17" s="675">
        <v>1983</v>
      </c>
      <c r="E17" s="675">
        <v>3</v>
      </c>
      <c r="F17" s="675">
        <v>24</v>
      </c>
      <c r="G17" s="675">
        <v>83</v>
      </c>
      <c r="H17" s="676">
        <v>1446.6</v>
      </c>
      <c r="I17" s="676">
        <v>20829.599999999999</v>
      </c>
      <c r="J17" s="676">
        <v>23435.43</v>
      </c>
      <c r="K17" s="676">
        <v>1388.58</v>
      </c>
      <c r="L17" s="676">
        <v>1562.31</v>
      </c>
      <c r="M17" s="676">
        <v>0</v>
      </c>
      <c r="N17" s="676">
        <v>0</v>
      </c>
      <c r="O17" s="676">
        <v>15448.74</v>
      </c>
      <c r="P17" s="676">
        <v>17379.73</v>
      </c>
      <c r="Q17" s="628">
        <v>136346.97</v>
      </c>
      <c r="R17" s="628">
        <v>121559.26</v>
      </c>
      <c r="S17" s="628">
        <v>3313.74</v>
      </c>
      <c r="T17" s="628">
        <v>3205.03</v>
      </c>
      <c r="U17" s="628">
        <v>71601.75</v>
      </c>
      <c r="V17" s="628">
        <v>68327.56</v>
      </c>
      <c r="W17" s="628">
        <f t="shared" si="0"/>
        <v>248929.38</v>
      </c>
      <c r="X17" s="628">
        <f t="shared" si="1"/>
        <v>235469.31999999998</v>
      </c>
      <c r="Y17" s="1497">
        <f t="shared" si="2"/>
        <v>166114.36482131807</v>
      </c>
      <c r="Z17" s="591">
        <v>756.3</v>
      </c>
      <c r="AA17" s="592"/>
      <c r="AB17" s="592">
        <v>4782.3999999999996</v>
      </c>
      <c r="AC17" s="592"/>
      <c r="AD17" s="592">
        <f t="shared" si="3"/>
        <v>737.42609788322693</v>
      </c>
      <c r="AE17" s="592">
        <f t="shared" si="4"/>
        <v>3494.8821236738336</v>
      </c>
      <c r="AF17" s="592">
        <f t="shared" si="5"/>
        <v>36450.208858940736</v>
      </c>
      <c r="AG17" s="592">
        <f t="shared" si="6"/>
        <v>7867.712136497038</v>
      </c>
      <c r="AH17" s="592"/>
      <c r="AI17" s="592">
        <f t="shared" si="7"/>
        <v>49679.687530679832</v>
      </c>
      <c r="AJ17" s="592">
        <f t="shared" si="8"/>
        <v>10035.296881197326</v>
      </c>
      <c r="AK17" s="1487">
        <f t="shared" si="9"/>
        <v>113803.91362887199</v>
      </c>
      <c r="AL17" s="592"/>
      <c r="AM17" s="592"/>
      <c r="AN17" s="592"/>
      <c r="AO17" s="592"/>
      <c r="AP17" s="592">
        <v>698.61</v>
      </c>
      <c r="AQ17" s="592"/>
      <c r="AR17" s="1499">
        <f t="shared" si="10"/>
        <v>698.61</v>
      </c>
      <c r="AS17" s="592">
        <f t="shared" si="11"/>
        <v>102.76744172723055</v>
      </c>
      <c r="AT17" s="592"/>
      <c r="AU17" s="592">
        <f t="shared" si="12"/>
        <v>22502.060334667785</v>
      </c>
      <c r="AV17" s="592">
        <f t="shared" si="13"/>
        <v>4545.4161876028929</v>
      </c>
      <c r="AW17" s="1499">
        <f t="shared" si="14"/>
        <v>27150.243963997909</v>
      </c>
      <c r="AX17" s="522"/>
      <c r="AY17" s="522">
        <f t="shared" si="15"/>
        <v>1828.5480657330884</v>
      </c>
      <c r="AZ17" s="522">
        <f t="shared" si="16"/>
        <v>22633.04916271508</v>
      </c>
      <c r="BA17" s="522">
        <f t="shared" si="17"/>
        <v>82815.015178681933</v>
      </c>
      <c r="BB17" s="522">
        <f t="shared" si="18"/>
        <v>94.592819859190584</v>
      </c>
      <c r="BC17" s="522">
        <f t="shared" si="19"/>
        <v>12.758987727646288</v>
      </c>
      <c r="BD17" s="522">
        <f t="shared" si="20"/>
        <v>13460.060000000027</v>
      </c>
      <c r="BE17" s="522">
        <f t="shared" si="21"/>
        <v>3274.1900000000023</v>
      </c>
      <c r="BF17" s="522">
        <v>13.84</v>
      </c>
      <c r="BG17" s="522">
        <v>5.5</v>
      </c>
      <c r="BH17" s="1489"/>
      <c r="BI17" s="1489"/>
      <c r="BJ17" s="1489"/>
      <c r="BK17" s="1489"/>
      <c r="BL17" s="1489"/>
      <c r="BM17" s="1489"/>
      <c r="BN17" s="35"/>
      <c r="BO17" s="66"/>
      <c r="BP17" s="66"/>
      <c r="BQ17" s="66"/>
      <c r="BR17" s="35"/>
      <c r="BS17" s="35"/>
      <c r="BT17" s="67"/>
      <c r="BU17" s="67"/>
      <c r="BV17" s="67"/>
      <c r="BW17" s="68"/>
      <c r="BX17" s="67"/>
      <c r="BY17" s="68"/>
      <c r="BZ17" s="67"/>
      <c r="CA17" s="130"/>
      <c r="CB17" s="35"/>
      <c r="CC17" s="30"/>
    </row>
    <row r="18" spans="1:81" s="124" customFormat="1" x14ac:dyDescent="0.25">
      <c r="A18" s="16">
        <v>9</v>
      </c>
      <c r="B18" s="588"/>
      <c r="C18" s="424" t="s">
        <v>66</v>
      </c>
      <c r="D18" s="675">
        <v>1984</v>
      </c>
      <c r="E18" s="675">
        <v>3</v>
      </c>
      <c r="F18" s="675">
        <v>24</v>
      </c>
      <c r="G18" s="675">
        <v>68</v>
      </c>
      <c r="H18" s="676">
        <v>1448</v>
      </c>
      <c r="I18" s="676">
        <v>20851.2</v>
      </c>
      <c r="J18" s="676">
        <v>24758.5</v>
      </c>
      <c r="K18" s="676">
        <v>1390.02</v>
      </c>
      <c r="L18" s="676">
        <v>1650.51</v>
      </c>
      <c r="M18" s="676">
        <v>0</v>
      </c>
      <c r="N18" s="676">
        <v>0</v>
      </c>
      <c r="O18" s="676">
        <v>15464.58</v>
      </c>
      <c r="P18" s="676">
        <v>18360.16</v>
      </c>
      <c r="Q18" s="628">
        <v>136488.51</v>
      </c>
      <c r="R18" s="628">
        <v>128099.85</v>
      </c>
      <c r="S18" s="628">
        <v>3287.64</v>
      </c>
      <c r="T18" s="628">
        <v>3267.16</v>
      </c>
      <c r="U18" s="628">
        <v>71676</v>
      </c>
      <c r="V18" s="628">
        <v>71608.639999999999</v>
      </c>
      <c r="W18" s="628">
        <f t="shared" si="0"/>
        <v>249157.95</v>
      </c>
      <c r="X18" s="628">
        <f t="shared" si="1"/>
        <v>247744.82</v>
      </c>
      <c r="Y18" s="1497">
        <f t="shared" si="2"/>
        <v>166618.33168206041</v>
      </c>
      <c r="Z18" s="591">
        <v>1003.1</v>
      </c>
      <c r="AA18" s="592"/>
      <c r="AB18" s="592">
        <v>4419.1000000000004</v>
      </c>
      <c r="AC18" s="592"/>
      <c r="AD18" s="592">
        <f t="shared" si="3"/>
        <v>738.13976893053552</v>
      </c>
      <c r="AE18" s="592">
        <f t="shared" si="4"/>
        <v>3498.2644235308389</v>
      </c>
      <c r="AF18" s="592">
        <f t="shared" si="5"/>
        <v>36485.48488023378</v>
      </c>
      <c r="AG18" s="592">
        <f t="shared" si="6"/>
        <v>7875.3264023556703</v>
      </c>
      <c r="AH18" s="592"/>
      <c r="AI18" s="592">
        <f t="shared" si="7"/>
        <v>49727.76686328245</v>
      </c>
      <c r="AJ18" s="592">
        <f t="shared" si="8"/>
        <v>10045.008906383055</v>
      </c>
      <c r="AK18" s="1487">
        <f t="shared" si="9"/>
        <v>113792.19124471633</v>
      </c>
      <c r="AL18" s="592"/>
      <c r="AM18" s="592"/>
      <c r="AN18" s="592"/>
      <c r="AO18" s="592"/>
      <c r="AP18" s="592">
        <v>1164.3499999999999</v>
      </c>
      <c r="AQ18" s="592"/>
      <c r="AR18" s="1499">
        <f t="shared" si="10"/>
        <v>1164.3499999999999</v>
      </c>
      <c r="AS18" s="592">
        <f t="shared" si="11"/>
        <v>102.8668986734618</v>
      </c>
      <c r="AT18" s="592"/>
      <c r="AU18" s="592">
        <f t="shared" si="12"/>
        <v>22523.83752564562</v>
      </c>
      <c r="AV18" s="592">
        <f t="shared" si="13"/>
        <v>4549.8151801804152</v>
      </c>
      <c r="AW18" s="1499">
        <f t="shared" si="14"/>
        <v>27176.519604499499</v>
      </c>
      <c r="AX18" s="522"/>
      <c r="AY18" s="522">
        <f t="shared" si="15"/>
        <v>1830.31770992777</v>
      </c>
      <c r="AZ18" s="522">
        <f t="shared" si="16"/>
        <v>22654.953122916799</v>
      </c>
      <c r="BA18" s="522">
        <f t="shared" si="17"/>
        <v>82539.618317939603</v>
      </c>
      <c r="BB18" s="522">
        <f t="shared" si="18"/>
        <v>99.432837683886859</v>
      </c>
      <c r="BC18" s="522">
        <f t="shared" si="19"/>
        <v>12.785323180023051</v>
      </c>
      <c r="BD18" s="522">
        <f t="shared" si="20"/>
        <v>1413.1300000000047</v>
      </c>
      <c r="BE18" s="522">
        <f t="shared" si="21"/>
        <v>67.360000000000582</v>
      </c>
      <c r="BF18" s="522">
        <v>13.84</v>
      </c>
      <c r="BG18" s="522">
        <v>5.5</v>
      </c>
      <c r="BH18" s="1489"/>
      <c r="BI18" s="1489"/>
      <c r="BJ18" s="1489"/>
      <c r="BK18" s="1489"/>
      <c r="BL18" s="1489"/>
      <c r="BM18" s="1489"/>
      <c r="BN18" s="35"/>
      <c r="BO18" s="66"/>
      <c r="BP18" s="66"/>
      <c r="BQ18" s="66"/>
      <c r="BR18" s="35"/>
      <c r="BS18" s="35"/>
      <c r="BT18" s="67"/>
      <c r="BU18" s="67"/>
      <c r="BV18" s="67"/>
      <c r="BW18" s="68"/>
      <c r="BX18" s="67"/>
      <c r="BY18" s="68"/>
      <c r="BZ18" s="67"/>
      <c r="CA18" s="130"/>
      <c r="CB18" s="35"/>
      <c r="CC18" s="30"/>
    </row>
    <row r="19" spans="1:81" s="124" customFormat="1" x14ac:dyDescent="0.25">
      <c r="A19" s="16">
        <v>10</v>
      </c>
      <c r="B19" s="588"/>
      <c r="C19" s="424" t="s">
        <v>67</v>
      </c>
      <c r="D19" s="675">
        <v>1987</v>
      </c>
      <c r="E19" s="675">
        <v>3</v>
      </c>
      <c r="F19" s="675">
        <v>27</v>
      </c>
      <c r="G19" s="675">
        <v>82</v>
      </c>
      <c r="H19" s="676">
        <v>1459.2</v>
      </c>
      <c r="I19" s="676">
        <v>21026.400000000001</v>
      </c>
      <c r="J19" s="676">
        <v>24224.38</v>
      </c>
      <c r="K19" s="676">
        <v>1401.82</v>
      </c>
      <c r="L19" s="676">
        <v>1615.05</v>
      </c>
      <c r="M19" s="676">
        <v>0</v>
      </c>
      <c r="N19" s="676">
        <v>0</v>
      </c>
      <c r="O19" s="676">
        <v>15594.58</v>
      </c>
      <c r="P19" s="676">
        <v>17955.91</v>
      </c>
      <c r="Q19" s="628">
        <v>137628.47</v>
      </c>
      <c r="R19" s="628">
        <v>125880.91</v>
      </c>
      <c r="S19" s="628">
        <v>3287.6</v>
      </c>
      <c r="T19" s="628">
        <v>3196.57</v>
      </c>
      <c r="U19" s="628">
        <v>72275.5</v>
      </c>
      <c r="V19" s="628">
        <v>70306.179999999993</v>
      </c>
      <c r="W19" s="628">
        <f t="shared" si="0"/>
        <v>251214.37000000002</v>
      </c>
      <c r="X19" s="628">
        <f t="shared" si="1"/>
        <v>243179</v>
      </c>
      <c r="Y19" s="1497">
        <f t="shared" si="2"/>
        <v>172340.74656799898</v>
      </c>
      <c r="Z19" s="591">
        <v>1297.43</v>
      </c>
      <c r="AA19" s="592"/>
      <c r="AB19" s="592">
        <v>8609.3700000000008</v>
      </c>
      <c r="AC19" s="592"/>
      <c r="AD19" s="592">
        <f t="shared" si="3"/>
        <v>743.84913730900371</v>
      </c>
      <c r="AE19" s="592">
        <f t="shared" si="4"/>
        <v>3525.3228223868787</v>
      </c>
      <c r="AF19" s="592">
        <f t="shared" si="5"/>
        <v>36767.693050578127</v>
      </c>
      <c r="AG19" s="592">
        <f t="shared" si="6"/>
        <v>7936.2405292247195</v>
      </c>
      <c r="AH19" s="592"/>
      <c r="AI19" s="592">
        <f t="shared" si="7"/>
        <v>50112.401524103421</v>
      </c>
      <c r="AJ19" s="592">
        <f t="shared" si="8"/>
        <v>10122.705107868891</v>
      </c>
      <c r="AK19" s="1487">
        <f t="shared" si="9"/>
        <v>119115.01217147104</v>
      </c>
      <c r="AL19" s="592"/>
      <c r="AM19" s="592"/>
      <c r="AN19" s="592"/>
      <c r="AO19" s="592"/>
      <c r="AP19" s="592">
        <v>1164.3499999999999</v>
      </c>
      <c r="AQ19" s="592"/>
      <c r="AR19" s="1499">
        <f t="shared" si="10"/>
        <v>1164.3499999999999</v>
      </c>
      <c r="AS19" s="592">
        <f t="shared" si="11"/>
        <v>103.66255424331179</v>
      </c>
      <c r="AT19" s="592"/>
      <c r="AU19" s="592">
        <f t="shared" si="12"/>
        <v>22698.055053468295</v>
      </c>
      <c r="AV19" s="592">
        <f t="shared" si="13"/>
        <v>4585.0071208005957</v>
      </c>
      <c r="AW19" s="1499">
        <f t="shared" si="14"/>
        <v>27386.724728512199</v>
      </c>
      <c r="AX19" s="522"/>
      <c r="AY19" s="522">
        <f t="shared" si="15"/>
        <v>1844.4748634852224</v>
      </c>
      <c r="AZ19" s="522">
        <f t="shared" si="16"/>
        <v>22830.18480453052</v>
      </c>
      <c r="BA19" s="522">
        <f t="shared" si="17"/>
        <v>78873.623432001041</v>
      </c>
      <c r="BB19" s="522">
        <f t="shared" si="18"/>
        <v>96.801389188046841</v>
      </c>
      <c r="BC19" s="522">
        <f t="shared" si="19"/>
        <v>13.122924781310838</v>
      </c>
      <c r="BD19" s="522">
        <f t="shared" si="20"/>
        <v>8035.3700000000244</v>
      </c>
      <c r="BE19" s="522">
        <f t="shared" si="21"/>
        <v>1969.320000000007</v>
      </c>
      <c r="BF19" s="522">
        <v>13.84</v>
      </c>
      <c r="BG19" s="522">
        <v>5.5</v>
      </c>
      <c r="BH19" s="1489"/>
      <c r="BI19" s="1489"/>
      <c r="BJ19" s="1489"/>
      <c r="BK19" s="1489"/>
      <c r="BL19" s="1489"/>
      <c r="BM19" s="1489"/>
      <c r="BN19" s="35"/>
      <c r="BO19" s="66"/>
      <c r="BP19" s="66"/>
      <c r="BQ19" s="66"/>
      <c r="BR19" s="35"/>
      <c r="BS19" s="35"/>
      <c r="BT19" s="67"/>
      <c r="BU19" s="67"/>
      <c r="BV19" s="67"/>
      <c r="BW19" s="68"/>
      <c r="BX19" s="67"/>
      <c r="BY19" s="68"/>
      <c r="BZ19" s="67"/>
      <c r="CA19" s="130"/>
      <c r="CB19" s="35"/>
      <c r="CC19" s="30"/>
    </row>
    <row r="20" spans="1:81" s="124" customFormat="1" x14ac:dyDescent="0.25">
      <c r="A20" s="16">
        <f t="shared" ref="A20:A30" si="22">A19+1</f>
        <v>11</v>
      </c>
      <c r="B20" s="587">
        <v>42491</v>
      </c>
      <c r="C20" s="424" t="s">
        <v>68</v>
      </c>
      <c r="D20" s="675">
        <v>1952</v>
      </c>
      <c r="E20" s="675">
        <v>1</v>
      </c>
      <c r="F20" s="675">
        <v>2</v>
      </c>
      <c r="G20" s="675">
        <v>5</v>
      </c>
      <c r="H20" s="676">
        <v>58.6</v>
      </c>
      <c r="I20" s="676">
        <v>0</v>
      </c>
      <c r="J20" s="676">
        <v>0</v>
      </c>
      <c r="K20" s="676">
        <v>56.28</v>
      </c>
      <c r="L20" s="676">
        <v>17.12</v>
      </c>
      <c r="M20" s="676">
        <v>0</v>
      </c>
      <c r="N20" s="676">
        <v>0</v>
      </c>
      <c r="O20" s="676">
        <v>400.8</v>
      </c>
      <c r="P20" s="676">
        <v>120.3</v>
      </c>
      <c r="Q20" s="628">
        <v>2700.3</v>
      </c>
      <c r="R20" s="628">
        <v>490.06</v>
      </c>
      <c r="S20" s="628"/>
      <c r="T20" s="628"/>
      <c r="U20" s="628"/>
      <c r="V20" s="628"/>
      <c r="W20" s="628">
        <f t="shared" si="0"/>
        <v>3157.38</v>
      </c>
      <c r="X20" s="628">
        <f t="shared" si="1"/>
        <v>627.48</v>
      </c>
      <c r="Y20" s="1497">
        <f t="shared" si="2"/>
        <v>2957.6199569355458</v>
      </c>
      <c r="Z20" s="591"/>
      <c r="AA20" s="592"/>
      <c r="AB20" s="592"/>
      <c r="AC20" s="592"/>
      <c r="AD20" s="592">
        <f t="shared" si="3"/>
        <v>29.872230980199848</v>
      </c>
      <c r="AE20" s="592">
        <f t="shared" si="4"/>
        <v>141.57340830035025</v>
      </c>
      <c r="AF20" s="592">
        <f t="shared" si="5"/>
        <v>1476.5534626945439</v>
      </c>
      <c r="AG20" s="592">
        <f t="shared" si="6"/>
        <v>318.71141379699054</v>
      </c>
      <c r="AH20" s="592"/>
      <c r="AI20" s="592"/>
      <c r="AJ20" s="592"/>
      <c r="AK20" s="1487">
        <f t="shared" si="9"/>
        <v>1966.7105157720846</v>
      </c>
      <c r="AL20" s="592"/>
      <c r="AM20" s="592"/>
      <c r="AN20" s="592"/>
      <c r="AO20" s="592"/>
      <c r="AP20" s="592"/>
      <c r="AQ20" s="592"/>
      <c r="AR20" s="1499">
        <f t="shared" si="10"/>
        <v>0</v>
      </c>
      <c r="AS20" s="592"/>
      <c r="AT20" s="592"/>
      <c r="AU20" s="592"/>
      <c r="AV20" s="592"/>
      <c r="AW20" s="1499">
        <f t="shared" si="14"/>
        <v>0</v>
      </c>
      <c r="AX20" s="522"/>
      <c r="AY20" s="522">
        <f t="shared" si="15"/>
        <v>74.072249863098975</v>
      </c>
      <c r="AZ20" s="522">
        <f t="shared" si="16"/>
        <v>916.83719130036218</v>
      </c>
      <c r="BA20" s="522">
        <f t="shared" si="17"/>
        <v>199.76004306445429</v>
      </c>
      <c r="BB20" s="522">
        <f t="shared" si="18"/>
        <v>19.873439370617412</v>
      </c>
      <c r="BC20" s="522">
        <f t="shared" si="19"/>
        <v>5.6079255914591313</v>
      </c>
      <c r="BD20" s="522">
        <f t="shared" si="20"/>
        <v>2529.9</v>
      </c>
      <c r="BE20" s="522">
        <f t="shared" si="21"/>
        <v>0</v>
      </c>
      <c r="BF20" s="522">
        <v>6.2</v>
      </c>
      <c r="BG20" s="522"/>
      <c r="BH20" s="1489"/>
      <c r="BI20" s="1489"/>
      <c r="BJ20" s="1489"/>
      <c r="BK20" s="1489"/>
      <c r="BL20" s="1489"/>
      <c r="BM20" s="1489"/>
      <c r="BN20" s="35"/>
      <c r="BO20" s="66"/>
      <c r="BP20" s="66"/>
      <c r="BQ20" s="66"/>
      <c r="BR20" s="35"/>
      <c r="BS20" s="35"/>
      <c r="BT20" s="67"/>
      <c r="BU20" s="67"/>
      <c r="BV20" s="67"/>
      <c r="BW20" s="68"/>
      <c r="BX20" s="67"/>
      <c r="BY20" s="30"/>
      <c r="BZ20" s="67"/>
      <c r="CA20" s="130"/>
      <c r="CB20" s="35"/>
      <c r="CC20" s="30"/>
    </row>
    <row r="21" spans="1:81" s="124" customFormat="1" x14ac:dyDescent="0.25">
      <c r="A21" s="16">
        <f t="shared" si="22"/>
        <v>12</v>
      </c>
      <c r="B21" s="586">
        <v>42461</v>
      </c>
      <c r="C21" s="424" t="s">
        <v>69</v>
      </c>
      <c r="D21" s="675">
        <v>1940</v>
      </c>
      <c r="E21" s="675">
        <v>1</v>
      </c>
      <c r="F21" s="675">
        <v>1</v>
      </c>
      <c r="G21" s="675">
        <v>8</v>
      </c>
      <c r="H21" s="676">
        <v>29.9</v>
      </c>
      <c r="I21" s="676">
        <v>0</v>
      </c>
      <c r="J21" s="676">
        <v>0</v>
      </c>
      <c r="K21" s="676">
        <v>28.68</v>
      </c>
      <c r="L21" s="676">
        <v>52.58</v>
      </c>
      <c r="M21" s="676">
        <v>0</v>
      </c>
      <c r="N21" s="676">
        <v>0</v>
      </c>
      <c r="O21" s="676">
        <v>204.54</v>
      </c>
      <c r="P21" s="676">
        <v>374.99</v>
      </c>
      <c r="Q21" s="628">
        <v>1377.78</v>
      </c>
      <c r="R21" s="628">
        <v>1877.1</v>
      </c>
      <c r="S21" s="628"/>
      <c r="T21" s="628"/>
      <c r="U21" s="628"/>
      <c r="V21" s="628"/>
      <c r="W21" s="628">
        <f t="shared" si="0"/>
        <v>1611</v>
      </c>
      <c r="X21" s="628">
        <f t="shared" si="1"/>
        <v>2304.67</v>
      </c>
      <c r="Y21" s="1497">
        <f t="shared" si="2"/>
        <v>1509.0927766616521</v>
      </c>
      <c r="Z21" s="591"/>
      <c r="AA21" s="592"/>
      <c r="AB21" s="592"/>
      <c r="AC21" s="592"/>
      <c r="AD21" s="592">
        <f t="shared" si="3"/>
        <v>15.241974510375007</v>
      </c>
      <c r="AE21" s="592">
        <f t="shared" si="4"/>
        <v>72.236261231748671</v>
      </c>
      <c r="AF21" s="592">
        <f t="shared" si="5"/>
        <v>753.39502618714778</v>
      </c>
      <c r="AG21" s="592">
        <f t="shared" si="6"/>
        <v>162.61896369505146</v>
      </c>
      <c r="AH21" s="592"/>
      <c r="AI21" s="592"/>
      <c r="AJ21" s="592"/>
      <c r="AK21" s="1487">
        <f t="shared" si="9"/>
        <v>1003.4922256243229</v>
      </c>
      <c r="AL21" s="592"/>
      <c r="AM21" s="592"/>
      <c r="AN21" s="592"/>
      <c r="AO21" s="592"/>
      <c r="AP21" s="592"/>
      <c r="AQ21" s="592"/>
      <c r="AR21" s="1499">
        <f t="shared" si="10"/>
        <v>0</v>
      </c>
      <c r="AS21" s="592"/>
      <c r="AT21" s="592"/>
      <c r="AU21" s="592"/>
      <c r="AV21" s="592"/>
      <c r="AW21" s="1499">
        <f t="shared" si="14"/>
        <v>0</v>
      </c>
      <c r="AX21" s="522"/>
      <c r="AY21" s="522">
        <f t="shared" si="15"/>
        <v>37.794543872127292</v>
      </c>
      <c r="AZ21" s="522">
        <f t="shared" si="16"/>
        <v>467.80600716520183</v>
      </c>
      <c r="BA21" s="522">
        <f t="shared" si="17"/>
        <v>101.90722333834788</v>
      </c>
      <c r="BB21" s="522">
        <f t="shared" si="18"/>
        <v>143.05834885164495</v>
      </c>
      <c r="BC21" s="522">
        <f t="shared" si="19"/>
        <v>5.6079255914591313</v>
      </c>
      <c r="BD21" s="522">
        <f t="shared" si="20"/>
        <v>-693.67000000000007</v>
      </c>
      <c r="BE21" s="522">
        <f t="shared" si="21"/>
        <v>0</v>
      </c>
      <c r="BF21" s="522">
        <v>6.2</v>
      </c>
      <c r="BG21" s="522"/>
      <c r="BH21" s="1489"/>
      <c r="BI21" s="1489"/>
      <c r="BJ21" s="1489"/>
      <c r="BK21" s="1489"/>
      <c r="BL21" s="1489"/>
      <c r="BM21" s="1489"/>
      <c r="BN21" s="35"/>
      <c r="BO21" s="66"/>
      <c r="BP21" s="66"/>
      <c r="BQ21" s="66"/>
      <c r="BR21" s="35"/>
      <c r="BS21" s="35"/>
      <c r="BT21" s="67"/>
      <c r="BU21" s="67"/>
      <c r="BV21" s="67"/>
      <c r="BW21" s="68"/>
      <c r="BX21" s="67"/>
      <c r="BY21" s="68"/>
      <c r="BZ21" s="67"/>
      <c r="CA21" s="130"/>
      <c r="CB21" s="35"/>
      <c r="CC21" s="30"/>
    </row>
    <row r="22" spans="1:81" s="124" customFormat="1" x14ac:dyDescent="0.25">
      <c r="A22" s="16">
        <f t="shared" si="22"/>
        <v>13</v>
      </c>
      <c r="B22" s="586">
        <v>42461</v>
      </c>
      <c r="C22" s="424" t="s">
        <v>70</v>
      </c>
      <c r="D22" s="675">
        <v>1943</v>
      </c>
      <c r="E22" s="675">
        <v>1</v>
      </c>
      <c r="F22" s="675">
        <v>1</v>
      </c>
      <c r="G22" s="675">
        <v>3</v>
      </c>
      <c r="H22" s="676">
        <v>44.6</v>
      </c>
      <c r="I22" s="676">
        <v>0</v>
      </c>
      <c r="J22" s="676">
        <v>0</v>
      </c>
      <c r="K22" s="676">
        <v>42.84</v>
      </c>
      <c r="L22" s="676">
        <v>57.12</v>
      </c>
      <c r="M22" s="676">
        <v>0</v>
      </c>
      <c r="N22" s="676">
        <v>0</v>
      </c>
      <c r="O22" s="676">
        <v>305.04000000000002</v>
      </c>
      <c r="P22" s="676">
        <v>406.72</v>
      </c>
      <c r="Q22" s="628">
        <v>2055.1799999999998</v>
      </c>
      <c r="R22" s="628">
        <v>2187.1999999999998</v>
      </c>
      <c r="S22" s="628"/>
      <c r="T22" s="628"/>
      <c r="U22" s="628"/>
      <c r="V22" s="628"/>
      <c r="W22" s="628">
        <f t="shared" si="0"/>
        <v>2403.06</v>
      </c>
      <c r="X22" s="628">
        <f t="shared" si="1"/>
        <v>2651.04</v>
      </c>
      <c r="Y22" s="1497">
        <f t="shared" si="2"/>
        <v>2251.0213324116953</v>
      </c>
      <c r="Z22" s="591"/>
      <c r="AA22" s="592"/>
      <c r="AB22" s="592"/>
      <c r="AC22" s="592"/>
      <c r="AD22" s="592">
        <f t="shared" si="3"/>
        <v>22.735520507114561</v>
      </c>
      <c r="AE22" s="592">
        <f t="shared" si="4"/>
        <v>107.7504097303007</v>
      </c>
      <c r="AF22" s="592">
        <f t="shared" si="5"/>
        <v>1123.7932497641068</v>
      </c>
      <c r="AG22" s="592">
        <f t="shared" si="6"/>
        <v>242.5687552106788</v>
      </c>
      <c r="AH22" s="592"/>
      <c r="AI22" s="592"/>
      <c r="AJ22" s="592"/>
      <c r="AK22" s="1487">
        <f t="shared" si="9"/>
        <v>1496.847935212201</v>
      </c>
      <c r="AL22" s="592"/>
      <c r="AM22" s="592"/>
      <c r="AN22" s="592"/>
      <c r="AO22" s="592"/>
      <c r="AP22" s="592"/>
      <c r="AQ22" s="592"/>
      <c r="AR22" s="1499">
        <f t="shared" si="10"/>
        <v>0</v>
      </c>
      <c r="AS22" s="592"/>
      <c r="AT22" s="592"/>
      <c r="AU22" s="592"/>
      <c r="AV22" s="592"/>
      <c r="AW22" s="1499">
        <f t="shared" si="14"/>
        <v>0</v>
      </c>
      <c r="AX22" s="522"/>
      <c r="AY22" s="522">
        <f t="shared" si="15"/>
        <v>56.375807916283527</v>
      </c>
      <c r="AZ22" s="522">
        <f t="shared" si="16"/>
        <v>697.79758928321075</v>
      </c>
      <c r="BA22" s="522">
        <f t="shared" si="17"/>
        <v>152.03866758830463</v>
      </c>
      <c r="BB22" s="522">
        <f t="shared" si="18"/>
        <v>110.31934283788169</v>
      </c>
      <c r="BC22" s="522">
        <f t="shared" si="19"/>
        <v>5.6079255914591313</v>
      </c>
      <c r="BD22" s="522">
        <f t="shared" si="20"/>
        <v>-247.98000000000002</v>
      </c>
      <c r="BE22" s="522">
        <f t="shared" si="21"/>
        <v>0</v>
      </c>
      <c r="BF22" s="522">
        <v>6.2</v>
      </c>
      <c r="BG22" s="522"/>
      <c r="BH22" s="1489"/>
      <c r="BI22" s="1489"/>
      <c r="BJ22" s="1489"/>
      <c r="BK22" s="1489"/>
      <c r="BL22" s="1489"/>
      <c r="BM22" s="1489"/>
      <c r="BN22" s="35"/>
      <c r="BO22" s="66"/>
      <c r="BP22" s="66"/>
      <c r="BQ22" s="66"/>
      <c r="BR22" s="35"/>
      <c r="BS22" s="35"/>
      <c r="BT22" s="67"/>
      <c r="BU22" s="67"/>
      <c r="BV22" s="67"/>
      <c r="BW22" s="68"/>
      <c r="BX22" s="67"/>
      <c r="BY22" s="68"/>
      <c r="BZ22" s="67"/>
      <c r="CA22" s="130"/>
      <c r="CB22" s="35"/>
      <c r="CC22" s="30"/>
    </row>
    <row r="23" spans="1:81" s="124" customFormat="1" x14ac:dyDescent="0.25">
      <c r="A23" s="16">
        <f t="shared" si="22"/>
        <v>14</v>
      </c>
      <c r="B23" s="586">
        <v>42461</v>
      </c>
      <c r="C23" s="424" t="s">
        <v>71</v>
      </c>
      <c r="D23" s="675">
        <v>1962</v>
      </c>
      <c r="E23" s="675">
        <v>1</v>
      </c>
      <c r="F23" s="675">
        <v>2</v>
      </c>
      <c r="G23" s="675">
        <v>7</v>
      </c>
      <c r="H23" s="676">
        <v>85.8</v>
      </c>
      <c r="I23" s="676">
        <v>0</v>
      </c>
      <c r="J23" s="676">
        <v>0</v>
      </c>
      <c r="K23" s="676">
        <v>82.38</v>
      </c>
      <c r="L23" s="676">
        <v>89.34</v>
      </c>
      <c r="M23" s="676">
        <v>0</v>
      </c>
      <c r="N23" s="676">
        <v>0</v>
      </c>
      <c r="O23" s="676">
        <v>586.86</v>
      </c>
      <c r="P23" s="676">
        <v>636.44000000000005</v>
      </c>
      <c r="Q23" s="628">
        <v>5714.31</v>
      </c>
      <c r="R23" s="628">
        <v>5276.47</v>
      </c>
      <c r="S23" s="628"/>
      <c r="T23" s="628"/>
      <c r="U23" s="628"/>
      <c r="V23" s="628"/>
      <c r="W23" s="628">
        <f t="shared" si="0"/>
        <v>6383.55</v>
      </c>
      <c r="X23" s="628">
        <f t="shared" si="1"/>
        <v>6002.25</v>
      </c>
      <c r="Y23" s="1497">
        <f t="shared" si="2"/>
        <v>4330.4401417247409</v>
      </c>
      <c r="Z23" s="591"/>
      <c r="AA23" s="592"/>
      <c r="AB23" s="592"/>
      <c r="AC23" s="592"/>
      <c r="AD23" s="592">
        <f t="shared" si="3"/>
        <v>43.737839899336976</v>
      </c>
      <c r="AE23" s="592">
        <f t="shared" si="4"/>
        <v>207.28666266501793</v>
      </c>
      <c r="AF23" s="592">
        <f t="shared" si="5"/>
        <v>2161.9161621022499</v>
      </c>
      <c r="AG23" s="592">
        <f t="shared" si="6"/>
        <v>466.64572190753898</v>
      </c>
      <c r="AH23" s="592"/>
      <c r="AI23" s="592"/>
      <c r="AJ23" s="592"/>
      <c r="AK23" s="1487">
        <f t="shared" si="9"/>
        <v>2879.5863865741439</v>
      </c>
      <c r="AL23" s="592"/>
      <c r="AM23" s="592"/>
      <c r="AN23" s="592"/>
      <c r="AO23" s="592"/>
      <c r="AP23" s="592"/>
      <c r="AQ23" s="592"/>
      <c r="AR23" s="1499">
        <f t="shared" si="10"/>
        <v>0</v>
      </c>
      <c r="AS23" s="592"/>
      <c r="AT23" s="592"/>
      <c r="AU23" s="592"/>
      <c r="AV23" s="592"/>
      <c r="AW23" s="1499">
        <f t="shared" si="14"/>
        <v>0</v>
      </c>
      <c r="AX23" s="522"/>
      <c r="AY23" s="522">
        <f t="shared" si="15"/>
        <v>108.45390850262615</v>
      </c>
      <c r="AZ23" s="522">
        <f t="shared" si="16"/>
        <v>1342.3998466479704</v>
      </c>
      <c r="BA23" s="522">
        <f t="shared" si="17"/>
        <v>2053.1098582752593</v>
      </c>
      <c r="BB23" s="522">
        <f t="shared" si="18"/>
        <v>94.026834598303438</v>
      </c>
      <c r="BC23" s="522">
        <f t="shared" si="19"/>
        <v>5.6079255914591313</v>
      </c>
      <c r="BD23" s="522">
        <f t="shared" si="20"/>
        <v>381.30000000000018</v>
      </c>
      <c r="BE23" s="522">
        <f t="shared" si="21"/>
        <v>0</v>
      </c>
      <c r="BF23" s="522">
        <v>8.56</v>
      </c>
      <c r="BG23" s="522"/>
      <c r="BH23" s="1489"/>
      <c r="BI23" s="1489"/>
      <c r="BJ23" s="1489"/>
      <c r="BK23" s="1489"/>
      <c r="BL23" s="1489"/>
      <c r="BM23" s="1489"/>
      <c r="BN23" s="35"/>
      <c r="BO23" s="66"/>
      <c r="BP23" s="66"/>
      <c r="BQ23" s="66"/>
      <c r="BR23" s="35"/>
      <c r="BS23" s="35"/>
      <c r="BT23" s="67"/>
      <c r="BU23" s="67"/>
      <c r="BV23" s="67"/>
      <c r="BW23" s="68"/>
      <c r="BX23" s="67"/>
      <c r="BY23" s="68"/>
      <c r="BZ23" s="67"/>
      <c r="CA23" s="130"/>
      <c r="CB23" s="35"/>
      <c r="CC23" s="30"/>
    </row>
    <row r="24" spans="1:81" s="124" customFormat="1" x14ac:dyDescent="0.25">
      <c r="A24" s="16">
        <f t="shared" si="22"/>
        <v>15</v>
      </c>
      <c r="B24" s="588"/>
      <c r="C24" s="424" t="s">
        <v>72</v>
      </c>
      <c r="D24" s="675">
        <v>1968</v>
      </c>
      <c r="E24" s="675">
        <v>2</v>
      </c>
      <c r="F24" s="675">
        <v>16</v>
      </c>
      <c r="G24" s="675">
        <v>36</v>
      </c>
      <c r="H24" s="676">
        <v>722.8</v>
      </c>
      <c r="I24" s="676">
        <v>9590.4</v>
      </c>
      <c r="J24" s="676">
        <v>9966.11</v>
      </c>
      <c r="K24" s="676">
        <v>691.14</v>
      </c>
      <c r="L24" s="676">
        <v>718.23</v>
      </c>
      <c r="M24" s="676">
        <v>0</v>
      </c>
      <c r="N24" s="676">
        <v>0</v>
      </c>
      <c r="O24" s="676">
        <v>7689.6</v>
      </c>
      <c r="P24" s="676">
        <v>7990.34</v>
      </c>
      <c r="Q24" s="628">
        <v>64022.43</v>
      </c>
      <c r="R24" s="628">
        <v>52071.16</v>
      </c>
      <c r="S24" s="628">
        <v>1747.36</v>
      </c>
      <c r="T24" s="628">
        <v>1366.59</v>
      </c>
      <c r="U24" s="628">
        <v>35640.089999999997</v>
      </c>
      <c r="V24" s="628">
        <v>30963.4</v>
      </c>
      <c r="W24" s="628">
        <f t="shared" si="0"/>
        <v>119381.02</v>
      </c>
      <c r="X24" s="628">
        <f t="shared" si="1"/>
        <v>103075.82999999999</v>
      </c>
      <c r="Y24" s="1497">
        <f t="shared" si="2"/>
        <v>192879.58781753675</v>
      </c>
      <c r="Z24" s="591"/>
      <c r="AA24" s="592"/>
      <c r="AB24" s="592">
        <v>2440.62</v>
      </c>
      <c r="AC24" s="592"/>
      <c r="AD24" s="592">
        <f t="shared" si="3"/>
        <v>368.45816642471755</v>
      </c>
      <c r="AE24" s="592">
        <f t="shared" si="4"/>
        <v>1746.2330976022722</v>
      </c>
      <c r="AF24" s="592">
        <f t="shared" si="5"/>
        <v>18212.505850437137</v>
      </c>
      <c r="AG24" s="592">
        <f t="shared" si="6"/>
        <v>3931.1366875847225</v>
      </c>
      <c r="AH24" s="592"/>
      <c r="AI24" s="592">
        <f t="shared" ref="AI24:AI26" si="23">561788.8/16358.47*H24</f>
        <v>24822.672575124692</v>
      </c>
      <c r="AJ24" s="592">
        <f t="shared" ref="AJ24:AJ26" si="24">AI24*0.202</f>
        <v>5014.179860175188</v>
      </c>
      <c r="AK24" s="1487">
        <f t="shared" si="9"/>
        <v>56535.806237348726</v>
      </c>
      <c r="AL24" s="592">
        <v>5135.7</v>
      </c>
      <c r="AM24" s="592"/>
      <c r="AN24" s="592">
        <v>105420</v>
      </c>
      <c r="AO24" s="592"/>
      <c r="AP24" s="592"/>
      <c r="AQ24" s="592"/>
      <c r="AR24" s="1499">
        <f t="shared" si="10"/>
        <v>110555.7</v>
      </c>
      <c r="AS24" s="592">
        <f t="shared" ref="AS24:AS26" si="25">1116/15709.31*H24</f>
        <v>51.348200525675544</v>
      </c>
      <c r="AT24" s="592"/>
      <c r="AU24" s="592">
        <f t="shared" ref="AU24:AU26" si="26">244360.46/15709.31*H24</f>
        <v>11243.252599127523</v>
      </c>
      <c r="AV24" s="592">
        <f t="shared" ref="AV24:AV26" si="27">AU24*0.202</f>
        <v>2271.1370250237601</v>
      </c>
      <c r="AW24" s="1499">
        <f t="shared" si="14"/>
        <v>13565.737824676959</v>
      </c>
      <c r="AX24" s="522"/>
      <c r="AY24" s="522">
        <f t="shared" si="15"/>
        <v>913.64201708272935</v>
      </c>
      <c r="AZ24" s="522">
        <f t="shared" si="16"/>
        <v>11308.701738428357</v>
      </c>
      <c r="BA24" s="522">
        <f t="shared" si="17"/>
        <v>-73498.56781753675</v>
      </c>
      <c r="BB24" s="522">
        <f t="shared" si="18"/>
        <v>86.3418908633885</v>
      </c>
      <c r="BC24" s="522">
        <f t="shared" si="19"/>
        <v>29.650062691006699</v>
      </c>
      <c r="BD24" s="522">
        <f t="shared" si="20"/>
        <v>16305.190000000017</v>
      </c>
      <c r="BE24" s="522">
        <f t="shared" si="21"/>
        <v>4676.6899999999951</v>
      </c>
      <c r="BF24" s="522">
        <v>13.1</v>
      </c>
      <c r="BG24" s="522">
        <v>5.5</v>
      </c>
      <c r="BH24" s="1489"/>
      <c r="BI24" s="1489"/>
      <c r="BJ24" s="1489"/>
      <c r="BK24" s="1489"/>
      <c r="BL24" s="1489"/>
      <c r="BM24" s="1489"/>
      <c r="BN24" s="35"/>
      <c r="BO24" s="66"/>
      <c r="BP24" s="66"/>
      <c r="BQ24" s="66"/>
      <c r="BR24" s="35"/>
      <c r="BS24" s="35"/>
      <c r="BT24" s="67"/>
      <c r="BU24" s="67"/>
      <c r="BV24" s="67"/>
      <c r="BW24" s="68"/>
      <c r="BX24" s="67"/>
      <c r="BY24" s="68"/>
      <c r="BZ24" s="67"/>
      <c r="CA24" s="130"/>
      <c r="CB24" s="35"/>
      <c r="CC24" s="30"/>
    </row>
    <row r="25" spans="1:81" s="124" customFormat="1" x14ac:dyDescent="0.25">
      <c r="A25" s="16">
        <f t="shared" si="22"/>
        <v>16</v>
      </c>
      <c r="B25" s="588"/>
      <c r="C25" s="424" t="s">
        <v>73</v>
      </c>
      <c r="D25" s="675">
        <v>1971</v>
      </c>
      <c r="E25" s="675">
        <v>2</v>
      </c>
      <c r="F25" s="675">
        <v>16</v>
      </c>
      <c r="G25" s="675">
        <v>47</v>
      </c>
      <c r="H25" s="676">
        <v>727.4</v>
      </c>
      <c r="I25" s="676">
        <v>9687.66</v>
      </c>
      <c r="J25" s="676">
        <v>10378.01</v>
      </c>
      <c r="K25" s="676">
        <v>698.28</v>
      </c>
      <c r="L25" s="676">
        <v>2938.2</v>
      </c>
      <c r="M25" s="676">
        <v>0</v>
      </c>
      <c r="N25" s="676">
        <v>0</v>
      </c>
      <c r="O25" s="676">
        <v>7767.54</v>
      </c>
      <c r="P25" s="676">
        <v>8403.1299999999992</v>
      </c>
      <c r="Q25" s="628">
        <v>64671.51</v>
      </c>
      <c r="R25" s="628">
        <v>53429.87</v>
      </c>
      <c r="S25" s="628">
        <v>1747.32</v>
      </c>
      <c r="T25" s="628">
        <v>1443.68</v>
      </c>
      <c r="U25" s="628">
        <v>36001.35</v>
      </c>
      <c r="V25" s="628">
        <v>31486.66</v>
      </c>
      <c r="W25" s="628">
        <f t="shared" si="0"/>
        <v>120573.66</v>
      </c>
      <c r="X25" s="628">
        <f t="shared" si="1"/>
        <v>108079.54999999999</v>
      </c>
      <c r="Y25" s="1497">
        <f t="shared" si="2"/>
        <v>83149.52607426155</v>
      </c>
      <c r="Z25" s="591">
        <v>317.25</v>
      </c>
      <c r="AA25" s="592"/>
      <c r="AB25" s="592">
        <v>2440.62</v>
      </c>
      <c r="AC25" s="592"/>
      <c r="AD25" s="592">
        <f t="shared" si="3"/>
        <v>370.80308558015986</v>
      </c>
      <c r="AE25" s="592">
        <f t="shared" si="4"/>
        <v>1757.3463685610027</v>
      </c>
      <c r="AF25" s="592">
        <f t="shared" si="5"/>
        <v>18328.412777542853</v>
      </c>
      <c r="AG25" s="592">
        <f t="shared" si="6"/>
        <v>3956.1549896916536</v>
      </c>
      <c r="AH25" s="592"/>
      <c r="AI25" s="592">
        <f t="shared" si="23"/>
        <v>24980.647525104734</v>
      </c>
      <c r="AJ25" s="592">
        <f t="shared" si="24"/>
        <v>5046.090800071157</v>
      </c>
      <c r="AK25" s="1487">
        <f t="shared" si="9"/>
        <v>57197.325546551561</v>
      </c>
      <c r="AL25" s="592"/>
      <c r="AM25" s="592"/>
      <c r="AN25" s="592"/>
      <c r="AO25" s="592"/>
      <c r="AP25" s="592"/>
      <c r="AQ25" s="592"/>
      <c r="AR25" s="1499">
        <f t="shared" si="10"/>
        <v>0</v>
      </c>
      <c r="AS25" s="592">
        <f t="shared" si="25"/>
        <v>51.67498763472107</v>
      </c>
      <c r="AT25" s="592"/>
      <c r="AU25" s="592">
        <f t="shared" si="26"/>
        <v>11314.806226626122</v>
      </c>
      <c r="AV25" s="592">
        <f t="shared" si="27"/>
        <v>2285.5908577784767</v>
      </c>
      <c r="AW25" s="1499">
        <f t="shared" si="14"/>
        <v>13652.072072039318</v>
      </c>
      <c r="AX25" s="522"/>
      <c r="AY25" s="522">
        <f t="shared" si="15"/>
        <v>919.45656229382587</v>
      </c>
      <c r="AZ25" s="522">
        <f t="shared" si="16"/>
        <v>11380.67189337685</v>
      </c>
      <c r="BA25" s="522">
        <f t="shared" si="17"/>
        <v>37424.133925738453</v>
      </c>
      <c r="BB25" s="522">
        <f t="shared" si="18"/>
        <v>89.637778267658121</v>
      </c>
      <c r="BC25" s="522">
        <f t="shared" si="19"/>
        <v>12.701177110906663</v>
      </c>
      <c r="BD25" s="522">
        <f t="shared" si="20"/>
        <v>12494.110000000015</v>
      </c>
      <c r="BE25" s="522">
        <f t="shared" si="21"/>
        <v>4514.6899999999987</v>
      </c>
      <c r="BF25" s="522">
        <v>13.1</v>
      </c>
      <c r="BG25" s="522">
        <v>5.5</v>
      </c>
      <c r="BH25" s="1489"/>
      <c r="BI25" s="1489"/>
      <c r="BJ25" s="1489"/>
      <c r="BK25" s="1489"/>
      <c r="BL25" s="1489"/>
      <c r="BM25" s="1489"/>
      <c r="BN25" s="35"/>
      <c r="BO25" s="66"/>
      <c r="BP25" s="66"/>
      <c r="BQ25" s="66"/>
      <c r="BR25" s="35"/>
      <c r="BS25" s="35"/>
      <c r="BT25" s="67"/>
      <c r="BU25" s="67"/>
      <c r="BV25" s="67"/>
      <c r="BW25" s="68"/>
      <c r="BX25" s="67"/>
      <c r="BY25" s="68"/>
      <c r="BZ25" s="67"/>
      <c r="CA25" s="130"/>
      <c r="CB25" s="35"/>
      <c r="CC25" s="30"/>
    </row>
    <row r="26" spans="1:81" s="124" customFormat="1" x14ac:dyDescent="0.25">
      <c r="A26" s="16">
        <f t="shared" si="22"/>
        <v>17</v>
      </c>
      <c r="B26" s="588"/>
      <c r="C26" s="424" t="s">
        <v>74</v>
      </c>
      <c r="D26" s="675">
        <v>1960</v>
      </c>
      <c r="E26" s="675">
        <v>2</v>
      </c>
      <c r="F26" s="675">
        <v>16</v>
      </c>
      <c r="G26" s="675">
        <v>44</v>
      </c>
      <c r="H26" s="676">
        <v>724.7</v>
      </c>
      <c r="I26" s="676">
        <v>9653.0400000000009</v>
      </c>
      <c r="J26" s="676">
        <v>11140.67</v>
      </c>
      <c r="K26" s="676">
        <v>695.82</v>
      </c>
      <c r="L26" s="676">
        <v>803.03</v>
      </c>
      <c r="M26" s="676">
        <v>0</v>
      </c>
      <c r="N26" s="676">
        <v>0</v>
      </c>
      <c r="O26" s="676">
        <v>7739.76</v>
      </c>
      <c r="P26" s="676">
        <v>8882.14</v>
      </c>
      <c r="Q26" s="628">
        <v>64440.39</v>
      </c>
      <c r="R26" s="628">
        <v>56482.93</v>
      </c>
      <c r="S26" s="628">
        <v>1718.08</v>
      </c>
      <c r="T26" s="628">
        <v>1515.98</v>
      </c>
      <c r="U26" s="628">
        <v>35872.65</v>
      </c>
      <c r="V26" s="628">
        <v>33694.35</v>
      </c>
      <c r="W26" s="628">
        <f t="shared" si="0"/>
        <v>120119.74000000002</v>
      </c>
      <c r="X26" s="628">
        <f t="shared" si="1"/>
        <v>112519.1</v>
      </c>
      <c r="Y26" s="1497">
        <f t="shared" si="2"/>
        <v>84676.234271401365</v>
      </c>
      <c r="Z26" s="591">
        <v>581.84</v>
      </c>
      <c r="AA26" s="592"/>
      <c r="AB26" s="592">
        <v>2401.14</v>
      </c>
      <c r="AC26" s="592"/>
      <c r="AD26" s="592">
        <f t="shared" si="3"/>
        <v>369.426719988922</v>
      </c>
      <c r="AE26" s="592">
        <f t="shared" si="4"/>
        <v>1750.8233616939219</v>
      </c>
      <c r="AF26" s="592">
        <f t="shared" si="5"/>
        <v>18260.380450763412</v>
      </c>
      <c r="AG26" s="592">
        <f t="shared" si="6"/>
        <v>3941.4703341071508</v>
      </c>
      <c r="AH26" s="592">
        <v>1600</v>
      </c>
      <c r="AI26" s="592">
        <f t="shared" si="23"/>
        <v>24887.923097942537</v>
      </c>
      <c r="AJ26" s="592">
        <f t="shared" si="24"/>
        <v>5027.3604657843925</v>
      </c>
      <c r="AK26" s="1487">
        <f t="shared" si="9"/>
        <v>58820.364430280337</v>
      </c>
      <c r="AL26" s="592"/>
      <c r="AM26" s="592"/>
      <c r="AN26" s="592"/>
      <c r="AO26" s="592"/>
      <c r="AP26" s="592"/>
      <c r="AQ26" s="592"/>
      <c r="AR26" s="1499">
        <f t="shared" si="10"/>
        <v>0</v>
      </c>
      <c r="AS26" s="592">
        <f t="shared" si="25"/>
        <v>51.483177809846531</v>
      </c>
      <c r="AT26" s="592"/>
      <c r="AU26" s="592">
        <f t="shared" si="26"/>
        <v>11272.807358311728</v>
      </c>
      <c r="AV26" s="592">
        <f t="shared" si="27"/>
        <v>2277.1070863789691</v>
      </c>
      <c r="AW26" s="1499">
        <f t="shared" si="14"/>
        <v>13601.397622500544</v>
      </c>
      <c r="AX26" s="522"/>
      <c r="AY26" s="522">
        <f t="shared" si="15"/>
        <v>916.04367706122582</v>
      </c>
      <c r="AZ26" s="522">
        <f t="shared" si="16"/>
        <v>11338.428541559257</v>
      </c>
      <c r="BA26" s="522">
        <f t="shared" si="17"/>
        <v>35443.505728598655</v>
      </c>
      <c r="BB26" s="522">
        <f t="shared" si="18"/>
        <v>93.672447176459087</v>
      </c>
      <c r="BC26" s="522">
        <f t="shared" si="19"/>
        <v>12.982572753691391</v>
      </c>
      <c r="BD26" s="522">
        <f t="shared" si="20"/>
        <v>7600.640000000014</v>
      </c>
      <c r="BE26" s="522">
        <f t="shared" si="21"/>
        <v>2178.3000000000029</v>
      </c>
      <c r="BF26" s="522">
        <v>13.1</v>
      </c>
      <c r="BG26" s="522">
        <v>5.5</v>
      </c>
      <c r="BH26" s="1489"/>
      <c r="BI26" s="1489"/>
      <c r="BJ26" s="1489"/>
      <c r="BK26" s="1489"/>
      <c r="BL26" s="1489"/>
      <c r="BM26" s="1489"/>
      <c r="BN26" s="35"/>
      <c r="BO26" s="66"/>
      <c r="BP26" s="66"/>
      <c r="BQ26" s="66"/>
      <c r="BR26" s="35"/>
      <c r="BS26" s="35"/>
      <c r="BT26" s="67"/>
      <c r="BU26" s="67"/>
      <c r="BV26" s="67"/>
      <c r="BW26" s="68"/>
      <c r="BX26" s="67"/>
      <c r="BY26" s="68"/>
      <c r="BZ26" s="67"/>
      <c r="CA26" s="130"/>
      <c r="CB26" s="35"/>
      <c r="CC26" s="30"/>
    </row>
    <row r="27" spans="1:81" s="124" customFormat="1" x14ac:dyDescent="0.25">
      <c r="A27" s="16">
        <f t="shared" si="22"/>
        <v>18</v>
      </c>
      <c r="B27" s="587">
        <v>42491</v>
      </c>
      <c r="C27" s="424" t="s">
        <v>75</v>
      </c>
      <c r="D27" s="675">
        <v>1961</v>
      </c>
      <c r="E27" s="675">
        <v>1</v>
      </c>
      <c r="F27" s="675">
        <v>1</v>
      </c>
      <c r="G27" s="675">
        <v>1</v>
      </c>
      <c r="H27" s="770">
        <v>44</v>
      </c>
      <c r="I27" s="770">
        <v>0</v>
      </c>
      <c r="J27" s="770">
        <v>0</v>
      </c>
      <c r="K27" s="770">
        <v>42.24</v>
      </c>
      <c r="L27" s="770">
        <v>0</v>
      </c>
      <c r="M27" s="770">
        <v>0</v>
      </c>
      <c r="N27" s="770">
        <v>0</v>
      </c>
      <c r="O27" s="770">
        <v>300.95999999999998</v>
      </c>
      <c r="P27" s="770">
        <v>0</v>
      </c>
      <c r="Q27" s="628">
        <v>2930.4</v>
      </c>
      <c r="R27" s="628">
        <v>0</v>
      </c>
      <c r="S27" s="628"/>
      <c r="T27" s="628"/>
      <c r="U27" s="628"/>
      <c r="V27" s="628"/>
      <c r="W27" s="628">
        <f t="shared" si="0"/>
        <v>3273.6</v>
      </c>
      <c r="X27" s="628">
        <f t="shared" si="1"/>
        <v>0</v>
      </c>
      <c r="Y27" s="1497">
        <f t="shared" si="2"/>
        <v>2220.7385342178159</v>
      </c>
      <c r="Z27" s="591"/>
      <c r="AA27" s="592"/>
      <c r="AB27" s="592"/>
      <c r="AC27" s="592"/>
      <c r="AD27" s="592">
        <f t="shared" si="3"/>
        <v>22.429661486839475</v>
      </c>
      <c r="AE27" s="592">
        <f t="shared" si="4"/>
        <v>106.30085264872714</v>
      </c>
      <c r="AF27" s="592">
        <f t="shared" si="5"/>
        <v>1108.6749549242309</v>
      </c>
      <c r="AG27" s="592">
        <f t="shared" si="6"/>
        <v>239.30549841412258</v>
      </c>
      <c r="AH27" s="592"/>
      <c r="AI27" s="592"/>
      <c r="AJ27" s="592"/>
      <c r="AK27" s="1487">
        <f t="shared" si="9"/>
        <v>1476.7109674739202</v>
      </c>
      <c r="AL27" s="592"/>
      <c r="AM27" s="592"/>
      <c r="AN27" s="592"/>
      <c r="AO27" s="592"/>
      <c r="AP27" s="592"/>
      <c r="AQ27" s="592"/>
      <c r="AR27" s="1499">
        <f t="shared" si="10"/>
        <v>0</v>
      </c>
      <c r="AS27" s="592"/>
      <c r="AT27" s="592"/>
      <c r="AU27" s="592"/>
      <c r="AV27" s="592"/>
      <c r="AW27" s="1499">
        <f t="shared" si="14"/>
        <v>0</v>
      </c>
      <c r="AX27" s="522"/>
      <c r="AY27" s="522">
        <f t="shared" si="15"/>
        <v>55.617388975705715</v>
      </c>
      <c r="AZ27" s="522">
        <f t="shared" si="16"/>
        <v>688.41017776819001</v>
      </c>
      <c r="BA27" s="522">
        <f t="shared" si="17"/>
        <v>1052.861465782184</v>
      </c>
      <c r="BB27" s="522">
        <f t="shared" si="18"/>
        <v>0</v>
      </c>
      <c r="BC27" s="522">
        <f t="shared" si="19"/>
        <v>5.6079255914591313</v>
      </c>
      <c r="BD27" s="522">
        <f t="shared" si="20"/>
        <v>3273.6</v>
      </c>
      <c r="BE27" s="522">
        <f t="shared" si="21"/>
        <v>0</v>
      </c>
      <c r="BF27" s="522">
        <v>8.56</v>
      </c>
      <c r="BG27" s="522"/>
      <c r="BH27" s="1489"/>
      <c r="BI27" s="1489"/>
      <c r="BJ27" s="1489"/>
      <c r="BK27" s="1489"/>
      <c r="BL27" s="1489"/>
      <c r="BM27" s="1489"/>
      <c r="BN27" s="35"/>
      <c r="BO27" s="66"/>
      <c r="BP27" s="66"/>
      <c r="BQ27" s="66"/>
      <c r="BR27" s="35"/>
      <c r="BS27" s="35"/>
      <c r="BT27" s="67"/>
      <c r="BU27" s="67"/>
      <c r="BV27" s="67"/>
      <c r="BW27" s="68"/>
      <c r="BX27" s="67"/>
      <c r="BY27" s="30"/>
      <c r="BZ27" s="67"/>
      <c r="CA27" s="130"/>
      <c r="CB27" s="35"/>
      <c r="CC27" s="30"/>
    </row>
    <row r="28" spans="1:81" s="124" customFormat="1" x14ac:dyDescent="0.25">
      <c r="A28" s="16">
        <f t="shared" si="22"/>
        <v>19</v>
      </c>
      <c r="B28" s="586">
        <v>42461</v>
      </c>
      <c r="C28" s="424" t="s">
        <v>76</v>
      </c>
      <c r="D28" s="675">
        <v>1964</v>
      </c>
      <c r="E28" s="675">
        <v>1</v>
      </c>
      <c r="F28" s="675">
        <v>2</v>
      </c>
      <c r="G28" s="675">
        <v>3</v>
      </c>
      <c r="H28" s="770">
        <v>85</v>
      </c>
      <c r="I28" s="770">
        <v>0</v>
      </c>
      <c r="J28" s="770">
        <v>0</v>
      </c>
      <c r="K28" s="770">
        <v>81.599999999999994</v>
      </c>
      <c r="L28" s="770">
        <v>95.2</v>
      </c>
      <c r="M28" s="770">
        <v>0</v>
      </c>
      <c r="N28" s="770">
        <v>0</v>
      </c>
      <c r="O28" s="770">
        <v>581.4</v>
      </c>
      <c r="P28" s="770">
        <v>678.3</v>
      </c>
      <c r="Q28" s="628">
        <v>1853.85</v>
      </c>
      <c r="R28" s="628">
        <v>1936.3</v>
      </c>
      <c r="S28" s="628"/>
      <c r="T28" s="628"/>
      <c r="U28" s="628"/>
      <c r="V28" s="628"/>
      <c r="W28" s="628">
        <f t="shared" si="0"/>
        <v>2516.85</v>
      </c>
      <c r="X28" s="628">
        <f t="shared" si="1"/>
        <v>2709.8</v>
      </c>
      <c r="Y28" s="1497">
        <f t="shared" si="2"/>
        <v>4290.063077466235</v>
      </c>
      <c r="Z28" s="591"/>
      <c r="AA28" s="592"/>
      <c r="AB28" s="592"/>
      <c r="AC28" s="592"/>
      <c r="AD28" s="592">
        <f t="shared" si="3"/>
        <v>43.330027872303532</v>
      </c>
      <c r="AE28" s="592">
        <f t="shared" si="4"/>
        <v>205.35391988958654</v>
      </c>
      <c r="AF28" s="592">
        <f t="shared" si="5"/>
        <v>2141.7584356490825</v>
      </c>
      <c r="AG28" s="592">
        <f t="shared" si="6"/>
        <v>462.29471284546406</v>
      </c>
      <c r="AH28" s="592"/>
      <c r="AI28" s="592"/>
      <c r="AJ28" s="592"/>
      <c r="AK28" s="1487">
        <f t="shared" si="9"/>
        <v>2852.7370962564364</v>
      </c>
      <c r="AL28" s="592"/>
      <c r="AM28" s="592"/>
      <c r="AN28" s="592"/>
      <c r="AO28" s="592"/>
      <c r="AP28" s="592"/>
      <c r="AQ28" s="592"/>
      <c r="AR28" s="1499">
        <f t="shared" si="10"/>
        <v>0</v>
      </c>
      <c r="AS28" s="592"/>
      <c r="AT28" s="592"/>
      <c r="AU28" s="592"/>
      <c r="AV28" s="592"/>
      <c r="AW28" s="1499">
        <f t="shared" si="14"/>
        <v>0</v>
      </c>
      <c r="AX28" s="522"/>
      <c r="AY28" s="522">
        <f t="shared" si="15"/>
        <v>107.44268324852241</v>
      </c>
      <c r="AZ28" s="522">
        <f t="shared" si="16"/>
        <v>1329.8832979612762</v>
      </c>
      <c r="BA28" s="522">
        <f t="shared" si="17"/>
        <v>-1773.2130774662351</v>
      </c>
      <c r="BB28" s="522">
        <f t="shared" si="18"/>
        <v>107.66632894292469</v>
      </c>
      <c r="BC28" s="522">
        <f t="shared" si="19"/>
        <v>5.6079255914591313</v>
      </c>
      <c r="BD28" s="522">
        <f t="shared" si="20"/>
        <v>-192.95000000000027</v>
      </c>
      <c r="BE28" s="522">
        <f t="shared" si="21"/>
        <v>0</v>
      </c>
      <c r="BF28" s="522">
        <v>3.69</v>
      </c>
      <c r="BG28" s="522"/>
      <c r="BH28" s="1489"/>
      <c r="BI28" s="1489"/>
      <c r="BJ28" s="1489"/>
      <c r="BK28" s="1489"/>
      <c r="BL28" s="1489"/>
      <c r="BM28" s="1489"/>
      <c r="BN28" s="35"/>
      <c r="BO28" s="66"/>
      <c r="BP28" s="66"/>
      <c r="BQ28" s="66"/>
      <c r="BR28" s="35"/>
      <c r="BS28" s="35"/>
      <c r="BT28" s="67"/>
      <c r="BU28" s="67"/>
      <c r="BV28" s="67"/>
      <c r="BW28" s="68"/>
      <c r="BX28" s="67"/>
      <c r="BY28" s="30"/>
      <c r="BZ28" s="67"/>
      <c r="CA28" s="130"/>
      <c r="CB28" s="35"/>
      <c r="CC28" s="30"/>
    </row>
    <row r="29" spans="1:81" s="124" customFormat="1" x14ac:dyDescent="0.25">
      <c r="A29" s="16">
        <f t="shared" si="22"/>
        <v>20</v>
      </c>
      <c r="B29" s="587">
        <v>42491</v>
      </c>
      <c r="C29" s="424" t="s">
        <v>77</v>
      </c>
      <c r="D29" s="675">
        <v>1962</v>
      </c>
      <c r="E29" s="675">
        <v>1</v>
      </c>
      <c r="F29" s="675">
        <v>2</v>
      </c>
      <c r="G29" s="675">
        <v>6</v>
      </c>
      <c r="H29" s="770">
        <v>88</v>
      </c>
      <c r="I29" s="770">
        <v>0</v>
      </c>
      <c r="J29" s="770">
        <v>0</v>
      </c>
      <c r="K29" s="770">
        <v>84.48</v>
      </c>
      <c r="L29" s="770">
        <v>47.13</v>
      </c>
      <c r="M29" s="770">
        <v>0</v>
      </c>
      <c r="N29" s="770">
        <v>0</v>
      </c>
      <c r="O29" s="770">
        <v>601.91999999999996</v>
      </c>
      <c r="P29" s="770">
        <v>335.73</v>
      </c>
      <c r="Q29" s="628">
        <v>5860.8</v>
      </c>
      <c r="R29" s="628">
        <v>2385.3200000000002</v>
      </c>
      <c r="S29" s="628"/>
      <c r="T29" s="628"/>
      <c r="U29" s="628"/>
      <c r="V29" s="628"/>
      <c r="W29" s="628">
        <f t="shared" si="0"/>
        <v>6547.2</v>
      </c>
      <c r="X29" s="628">
        <f t="shared" si="1"/>
        <v>2768.1800000000003</v>
      </c>
      <c r="Y29" s="1497">
        <f t="shared" si="2"/>
        <v>4441.4770684356317</v>
      </c>
      <c r="Z29" s="591"/>
      <c r="AA29" s="592"/>
      <c r="AB29" s="592"/>
      <c r="AC29" s="592"/>
      <c r="AD29" s="592">
        <f t="shared" si="3"/>
        <v>44.85932297367895</v>
      </c>
      <c r="AE29" s="592">
        <f t="shared" si="4"/>
        <v>212.60170529745429</v>
      </c>
      <c r="AF29" s="592">
        <f t="shared" si="5"/>
        <v>2217.3499098484617</v>
      </c>
      <c r="AG29" s="592">
        <f t="shared" si="6"/>
        <v>478.61099682824516</v>
      </c>
      <c r="AH29" s="592"/>
      <c r="AI29" s="592"/>
      <c r="AJ29" s="592"/>
      <c r="AK29" s="1487">
        <f t="shared" si="9"/>
        <v>2953.4219349478403</v>
      </c>
      <c r="AL29" s="592"/>
      <c r="AM29" s="592"/>
      <c r="AN29" s="592"/>
      <c r="AO29" s="592"/>
      <c r="AP29" s="592"/>
      <c r="AQ29" s="592"/>
      <c r="AR29" s="1499">
        <f t="shared" si="10"/>
        <v>0</v>
      </c>
      <c r="AS29" s="592"/>
      <c r="AT29" s="592"/>
      <c r="AU29" s="592"/>
      <c r="AV29" s="592"/>
      <c r="AW29" s="1499">
        <f t="shared" si="14"/>
        <v>0</v>
      </c>
      <c r="AX29" s="522"/>
      <c r="AY29" s="522">
        <f t="shared" si="15"/>
        <v>111.23477795141143</v>
      </c>
      <c r="AZ29" s="522">
        <f t="shared" si="16"/>
        <v>1376.82035553638</v>
      </c>
      <c r="BA29" s="522">
        <f t="shared" si="17"/>
        <v>2105.7229315643681</v>
      </c>
      <c r="BB29" s="522">
        <f t="shared" si="18"/>
        <v>42.28036412512219</v>
      </c>
      <c r="BC29" s="522">
        <f t="shared" si="19"/>
        <v>5.6079255914591313</v>
      </c>
      <c r="BD29" s="522">
        <f t="shared" si="20"/>
        <v>3779.0199999999995</v>
      </c>
      <c r="BE29" s="522">
        <f t="shared" si="21"/>
        <v>0</v>
      </c>
      <c r="BF29" s="522">
        <v>8.56</v>
      </c>
      <c r="BG29" s="522"/>
      <c r="BH29" s="1489"/>
      <c r="BI29" s="1489"/>
      <c r="BJ29" s="1489"/>
      <c r="BK29" s="1489"/>
      <c r="BL29" s="1489"/>
      <c r="BM29" s="1489"/>
      <c r="BN29" s="35"/>
      <c r="BO29" s="66"/>
      <c r="BP29" s="66"/>
      <c r="BQ29" s="66"/>
      <c r="BR29" s="35"/>
      <c r="BS29" s="35"/>
      <c r="BT29" s="67"/>
      <c r="BU29" s="67"/>
      <c r="BV29" s="67"/>
      <c r="BW29" s="68"/>
      <c r="BX29" s="67"/>
      <c r="BY29" s="68"/>
      <c r="BZ29" s="67"/>
      <c r="CA29" s="130"/>
      <c r="CB29" s="35"/>
      <c r="CC29" s="30"/>
    </row>
    <row r="30" spans="1:81" s="124" customFormat="1" x14ac:dyDescent="0.25">
      <c r="A30" s="16">
        <f t="shared" si="22"/>
        <v>21</v>
      </c>
      <c r="B30" s="586">
        <v>42461</v>
      </c>
      <c r="C30" s="424" t="s">
        <v>78</v>
      </c>
      <c r="D30" s="675">
        <v>1964</v>
      </c>
      <c r="E30" s="675">
        <v>1</v>
      </c>
      <c r="F30" s="675">
        <v>4</v>
      </c>
      <c r="G30" s="675">
        <v>6</v>
      </c>
      <c r="H30" s="770">
        <v>102.7</v>
      </c>
      <c r="I30" s="770">
        <v>0</v>
      </c>
      <c r="J30" s="770">
        <v>0</v>
      </c>
      <c r="K30" s="770">
        <v>98.64</v>
      </c>
      <c r="L30" s="770">
        <v>135.88</v>
      </c>
      <c r="M30" s="770">
        <v>0</v>
      </c>
      <c r="N30" s="770">
        <v>0</v>
      </c>
      <c r="O30" s="770">
        <v>702.42</v>
      </c>
      <c r="P30" s="770">
        <v>975.6</v>
      </c>
      <c r="Q30" s="628">
        <v>6839.82</v>
      </c>
      <c r="R30" s="628">
        <v>6680.95</v>
      </c>
      <c r="S30" s="628"/>
      <c r="T30" s="628"/>
      <c r="U30" s="628"/>
      <c r="V30" s="628"/>
      <c r="W30" s="628">
        <f t="shared" si="0"/>
        <v>7640.8799999999992</v>
      </c>
      <c r="X30" s="628">
        <f t="shared" si="1"/>
        <v>7792.43</v>
      </c>
      <c r="Y30" s="1497">
        <f t="shared" si="2"/>
        <v>5183.4056241856742</v>
      </c>
      <c r="Z30" s="591"/>
      <c r="AA30" s="592"/>
      <c r="AB30" s="592"/>
      <c r="AC30" s="592"/>
      <c r="AD30" s="592">
        <f t="shared" si="3"/>
        <v>52.352868970418506</v>
      </c>
      <c r="AE30" s="592">
        <f t="shared" si="4"/>
        <v>248.11585379600632</v>
      </c>
      <c r="AF30" s="592">
        <f t="shared" si="5"/>
        <v>2587.7481334254207</v>
      </c>
      <c r="AG30" s="592">
        <f t="shared" si="6"/>
        <v>558.56078834387245</v>
      </c>
      <c r="AH30" s="592"/>
      <c r="AI30" s="592"/>
      <c r="AJ30" s="592"/>
      <c r="AK30" s="1487">
        <f t="shared" si="9"/>
        <v>3446.7776445357181</v>
      </c>
      <c r="AL30" s="592"/>
      <c r="AM30" s="592"/>
      <c r="AN30" s="592"/>
      <c r="AO30" s="592"/>
      <c r="AP30" s="592"/>
      <c r="AQ30" s="592"/>
      <c r="AR30" s="1499">
        <f t="shared" si="10"/>
        <v>0</v>
      </c>
      <c r="AS30" s="592"/>
      <c r="AT30" s="592"/>
      <c r="AU30" s="592"/>
      <c r="AV30" s="592"/>
      <c r="AW30" s="1499">
        <f t="shared" si="14"/>
        <v>0</v>
      </c>
      <c r="AX30" s="522"/>
      <c r="AY30" s="522">
        <f t="shared" si="15"/>
        <v>129.81604199556767</v>
      </c>
      <c r="AZ30" s="522">
        <f t="shared" si="16"/>
        <v>1606.8119376543891</v>
      </c>
      <c r="BA30" s="522">
        <f t="shared" si="17"/>
        <v>2457.474375814325</v>
      </c>
      <c r="BB30" s="522">
        <f t="shared" si="18"/>
        <v>101.98341028782028</v>
      </c>
      <c r="BC30" s="522">
        <f t="shared" si="19"/>
        <v>5.6079255914591304</v>
      </c>
      <c r="BD30" s="522">
        <f t="shared" si="20"/>
        <v>-151.55000000000109</v>
      </c>
      <c r="BE30" s="522">
        <f t="shared" si="21"/>
        <v>0</v>
      </c>
      <c r="BF30" s="522">
        <v>8.56</v>
      </c>
      <c r="BG30" s="522"/>
      <c r="BH30" s="1489"/>
      <c r="BI30" s="1489"/>
      <c r="BJ30" s="1489"/>
      <c r="BK30" s="1489"/>
      <c r="BL30" s="1489"/>
      <c r="BM30" s="1489"/>
      <c r="BN30" s="35"/>
      <c r="BO30" s="66"/>
      <c r="BP30" s="66"/>
      <c r="BQ30" s="66"/>
      <c r="BR30" s="35"/>
      <c r="BS30" s="35"/>
      <c r="BT30" s="67"/>
      <c r="BU30" s="67"/>
      <c r="BV30" s="67"/>
      <c r="BW30" s="68"/>
      <c r="BX30" s="67"/>
      <c r="BY30" s="68"/>
      <c r="BZ30" s="67"/>
      <c r="CA30" s="130"/>
      <c r="CB30" s="35"/>
      <c r="CC30" s="30"/>
    </row>
    <row r="31" spans="1:81" s="124" customFormat="1" x14ac:dyDescent="0.25">
      <c r="A31" s="16">
        <v>22</v>
      </c>
      <c r="B31" s="587">
        <v>42491</v>
      </c>
      <c r="C31" s="424" t="s">
        <v>79</v>
      </c>
      <c r="D31" s="675">
        <v>1961</v>
      </c>
      <c r="E31" s="675">
        <v>1</v>
      </c>
      <c r="F31" s="675">
        <v>2</v>
      </c>
      <c r="G31" s="675">
        <v>4</v>
      </c>
      <c r="H31" s="770">
        <v>44</v>
      </c>
      <c r="I31" s="770">
        <v>0</v>
      </c>
      <c r="J31" s="770">
        <v>0</v>
      </c>
      <c r="K31" s="770">
        <v>42.24</v>
      </c>
      <c r="L31" s="770">
        <v>49.28</v>
      </c>
      <c r="M31" s="770">
        <v>0</v>
      </c>
      <c r="N31" s="770">
        <v>0</v>
      </c>
      <c r="O31" s="770">
        <v>300.95999999999998</v>
      </c>
      <c r="P31" s="770">
        <v>351.12</v>
      </c>
      <c r="Q31" s="628">
        <v>2630.32</v>
      </c>
      <c r="R31" s="628">
        <v>2553.7600000000002</v>
      </c>
      <c r="S31" s="628"/>
      <c r="T31" s="628"/>
      <c r="U31" s="628"/>
      <c r="V31" s="628"/>
      <c r="W31" s="628">
        <f t="shared" si="0"/>
        <v>2973.52</v>
      </c>
      <c r="X31" s="628">
        <f t="shared" si="1"/>
        <v>2954.1600000000003</v>
      </c>
      <c r="Y31" s="1497">
        <f t="shared" si="2"/>
        <v>2220.7385342178159</v>
      </c>
      <c r="Z31" s="591"/>
      <c r="AA31" s="592"/>
      <c r="AB31" s="592"/>
      <c r="AC31" s="592"/>
      <c r="AD31" s="592">
        <f t="shared" si="3"/>
        <v>22.429661486839475</v>
      </c>
      <c r="AE31" s="592">
        <f t="shared" si="4"/>
        <v>106.30085264872714</v>
      </c>
      <c r="AF31" s="592">
        <f t="shared" si="5"/>
        <v>1108.6749549242309</v>
      </c>
      <c r="AG31" s="592">
        <f t="shared" si="6"/>
        <v>239.30549841412258</v>
      </c>
      <c r="AH31" s="592"/>
      <c r="AI31" s="592"/>
      <c r="AJ31" s="592"/>
      <c r="AK31" s="1487">
        <f t="shared" si="9"/>
        <v>1476.7109674739202</v>
      </c>
      <c r="AL31" s="592"/>
      <c r="AM31" s="592"/>
      <c r="AN31" s="592"/>
      <c r="AO31" s="592"/>
      <c r="AP31" s="592"/>
      <c r="AQ31" s="592"/>
      <c r="AR31" s="1499">
        <f t="shared" si="10"/>
        <v>0</v>
      </c>
      <c r="AS31" s="592"/>
      <c r="AT31" s="592"/>
      <c r="AU31" s="592"/>
      <c r="AV31" s="592"/>
      <c r="AW31" s="1499">
        <f t="shared" si="14"/>
        <v>0</v>
      </c>
      <c r="AX31" s="522"/>
      <c r="AY31" s="522">
        <f t="shared" si="15"/>
        <v>55.617388975705715</v>
      </c>
      <c r="AZ31" s="522">
        <f t="shared" si="16"/>
        <v>688.41017776819001</v>
      </c>
      <c r="BA31" s="522">
        <f t="shared" si="17"/>
        <v>752.78146578218411</v>
      </c>
      <c r="BB31" s="522">
        <f t="shared" si="18"/>
        <v>99.348919798757038</v>
      </c>
      <c r="BC31" s="522">
        <f t="shared" si="19"/>
        <v>5.6079255914591313</v>
      </c>
      <c r="BD31" s="522">
        <f t="shared" si="20"/>
        <v>19.359999999999673</v>
      </c>
      <c r="BE31" s="522">
        <f t="shared" si="21"/>
        <v>0</v>
      </c>
      <c r="BF31" s="522">
        <v>8.56</v>
      </c>
      <c r="BG31" s="522"/>
      <c r="BH31" s="1489"/>
      <c r="BI31" s="1489"/>
      <c r="BJ31" s="1489"/>
      <c r="BK31" s="1489"/>
      <c r="BL31" s="1489"/>
      <c r="BM31" s="1489"/>
      <c r="BN31" s="35"/>
      <c r="BO31" s="66"/>
      <c r="BP31" s="66"/>
      <c r="BQ31" s="66"/>
      <c r="BR31" s="35"/>
      <c r="BS31" s="35"/>
      <c r="BT31" s="67"/>
      <c r="BU31" s="67"/>
      <c r="BV31" s="67"/>
      <c r="BW31" s="68"/>
      <c r="BX31" s="67"/>
      <c r="BY31" s="67"/>
      <c r="BZ31" s="67"/>
      <c r="CA31" s="130"/>
      <c r="CB31" s="35"/>
      <c r="CC31" s="30"/>
    </row>
    <row r="32" spans="1:81" s="124" customFormat="1" x14ac:dyDescent="0.25">
      <c r="A32" s="16">
        <v>23</v>
      </c>
      <c r="B32" s="586">
        <v>42461</v>
      </c>
      <c r="C32" s="424" t="s">
        <v>80</v>
      </c>
      <c r="D32" s="675">
        <v>1961</v>
      </c>
      <c r="E32" s="675">
        <v>1</v>
      </c>
      <c r="F32" s="675">
        <v>2</v>
      </c>
      <c r="G32" s="675">
        <v>4</v>
      </c>
      <c r="H32" s="770">
        <v>108.1</v>
      </c>
      <c r="I32" s="770">
        <v>0</v>
      </c>
      <c r="J32" s="770">
        <v>0</v>
      </c>
      <c r="K32" s="770">
        <v>103.8</v>
      </c>
      <c r="L32" s="770">
        <v>49.28</v>
      </c>
      <c r="M32" s="770">
        <v>0</v>
      </c>
      <c r="N32" s="770">
        <v>0</v>
      </c>
      <c r="O32" s="770">
        <v>739.38</v>
      </c>
      <c r="P32" s="770">
        <v>351.12</v>
      </c>
      <c r="Q32" s="628">
        <v>7199.46</v>
      </c>
      <c r="R32" s="628">
        <v>2477.1999999999998</v>
      </c>
      <c r="S32" s="628"/>
      <c r="T32" s="628"/>
      <c r="U32" s="628"/>
      <c r="V32" s="628"/>
      <c r="W32" s="628">
        <f t="shared" si="0"/>
        <v>8042.64</v>
      </c>
      <c r="X32" s="628">
        <f t="shared" si="1"/>
        <v>2877.6</v>
      </c>
      <c r="Y32" s="1497">
        <f t="shared" si="2"/>
        <v>5455.9508079305879</v>
      </c>
      <c r="Z32" s="591"/>
      <c r="AA32" s="592"/>
      <c r="AB32" s="592"/>
      <c r="AC32" s="592"/>
      <c r="AD32" s="592">
        <f t="shared" si="3"/>
        <v>55.105600152894255</v>
      </c>
      <c r="AE32" s="592">
        <f t="shared" si="4"/>
        <v>261.16186753016825</v>
      </c>
      <c r="AF32" s="592">
        <f t="shared" si="5"/>
        <v>2723.8127869843033</v>
      </c>
      <c r="AG32" s="592">
        <f t="shared" si="6"/>
        <v>587.93009951287843</v>
      </c>
      <c r="AH32" s="592"/>
      <c r="AI32" s="592"/>
      <c r="AJ32" s="592"/>
      <c r="AK32" s="1487">
        <f t="shared" si="9"/>
        <v>3628.0103541802441</v>
      </c>
      <c r="AL32" s="592"/>
      <c r="AM32" s="592"/>
      <c r="AN32" s="592"/>
      <c r="AO32" s="592"/>
      <c r="AP32" s="592"/>
      <c r="AQ32" s="592"/>
      <c r="AR32" s="1499">
        <f t="shared" si="10"/>
        <v>0</v>
      </c>
      <c r="AS32" s="592"/>
      <c r="AT32" s="592"/>
      <c r="AU32" s="592"/>
      <c r="AV32" s="592"/>
      <c r="AW32" s="1499">
        <f t="shared" si="14"/>
        <v>0</v>
      </c>
      <c r="AX32" s="522"/>
      <c r="AY32" s="522">
        <f t="shared" si="15"/>
        <v>136.64181246076791</v>
      </c>
      <c r="AZ32" s="522">
        <f t="shared" si="16"/>
        <v>1691.2986412895759</v>
      </c>
      <c r="BA32" s="522">
        <f t="shared" si="17"/>
        <v>2586.6891920694125</v>
      </c>
      <c r="BB32" s="522">
        <f t="shared" si="18"/>
        <v>35.779296350452086</v>
      </c>
      <c r="BC32" s="522">
        <f t="shared" si="19"/>
        <v>5.6079255914591313</v>
      </c>
      <c r="BD32" s="522">
        <f t="shared" si="20"/>
        <v>5165.0400000000009</v>
      </c>
      <c r="BE32" s="522">
        <f t="shared" si="21"/>
        <v>0</v>
      </c>
      <c r="BF32" s="522">
        <v>8.56</v>
      </c>
      <c r="BG32" s="522"/>
      <c r="BH32" s="1489"/>
      <c r="BI32" s="1489"/>
      <c r="BJ32" s="1489"/>
      <c r="BK32" s="1489"/>
      <c r="BL32" s="1489"/>
      <c r="BM32" s="1489"/>
      <c r="BN32" s="35"/>
      <c r="BO32" s="66"/>
      <c r="BP32" s="66"/>
      <c r="BQ32" s="66"/>
      <c r="BR32" s="35"/>
      <c r="BS32" s="35"/>
      <c r="BT32" s="67"/>
      <c r="BU32" s="67"/>
      <c r="BV32" s="67"/>
      <c r="BW32" s="68"/>
      <c r="BX32" s="67"/>
      <c r="BY32" s="67"/>
      <c r="BZ32" s="67"/>
      <c r="CA32" s="130"/>
      <c r="CB32" s="35"/>
      <c r="CC32" s="30"/>
    </row>
    <row r="33" spans="1:81" s="124" customFormat="1" x14ac:dyDescent="0.25">
      <c r="A33" s="16">
        <v>24</v>
      </c>
      <c r="B33" s="588"/>
      <c r="C33" s="424" t="s">
        <v>81</v>
      </c>
      <c r="D33" s="675">
        <v>1961</v>
      </c>
      <c r="E33" s="675">
        <v>1</v>
      </c>
      <c r="F33" s="675">
        <v>2</v>
      </c>
      <c r="G33" s="675">
        <v>13</v>
      </c>
      <c r="H33" s="770">
        <v>102.4</v>
      </c>
      <c r="I33" s="770">
        <v>0</v>
      </c>
      <c r="J33" s="770">
        <v>0</v>
      </c>
      <c r="K33" s="770">
        <v>98.28</v>
      </c>
      <c r="L33" s="770">
        <v>129.38</v>
      </c>
      <c r="M33" s="770">
        <v>0</v>
      </c>
      <c r="N33" s="770">
        <v>0</v>
      </c>
      <c r="O33" s="770">
        <v>700.44</v>
      </c>
      <c r="P33" s="770">
        <v>922.08</v>
      </c>
      <c r="Q33" s="628">
        <v>6819.84</v>
      </c>
      <c r="R33" s="628">
        <v>7269.2</v>
      </c>
      <c r="S33" s="628"/>
      <c r="T33" s="628"/>
      <c r="U33" s="628"/>
      <c r="V33" s="628"/>
      <c r="W33" s="628">
        <f t="shared" si="0"/>
        <v>7618.56</v>
      </c>
      <c r="X33" s="628">
        <f t="shared" si="1"/>
        <v>8320.66</v>
      </c>
      <c r="Y33" s="1497">
        <f t="shared" si="2"/>
        <v>5168.2642250887347</v>
      </c>
      <c r="Z33" s="591"/>
      <c r="AA33" s="592"/>
      <c r="AB33" s="592"/>
      <c r="AC33" s="592"/>
      <c r="AD33" s="592">
        <f t="shared" si="3"/>
        <v>52.199939460280966</v>
      </c>
      <c r="AE33" s="592">
        <f t="shared" si="4"/>
        <v>247.39107525521956</v>
      </c>
      <c r="AF33" s="592">
        <f t="shared" si="5"/>
        <v>2580.188986005483</v>
      </c>
      <c r="AG33" s="592">
        <f t="shared" si="6"/>
        <v>556.92915994559439</v>
      </c>
      <c r="AH33" s="592"/>
      <c r="AI33" s="592"/>
      <c r="AJ33" s="592"/>
      <c r="AK33" s="1487">
        <f t="shared" si="9"/>
        <v>3436.7091606665776</v>
      </c>
      <c r="AL33" s="592"/>
      <c r="AM33" s="592"/>
      <c r="AN33" s="592"/>
      <c r="AO33" s="592"/>
      <c r="AP33" s="592"/>
      <c r="AQ33" s="592"/>
      <c r="AR33" s="1499">
        <f t="shared" si="10"/>
        <v>0</v>
      </c>
      <c r="AS33" s="592"/>
      <c r="AT33" s="592"/>
      <c r="AU33" s="592"/>
      <c r="AV33" s="592"/>
      <c r="AW33" s="1499">
        <f t="shared" si="14"/>
        <v>0</v>
      </c>
      <c r="AX33" s="522"/>
      <c r="AY33" s="522">
        <f t="shared" si="15"/>
        <v>129.43683252527876</v>
      </c>
      <c r="AZ33" s="522">
        <f t="shared" si="16"/>
        <v>1602.1182318968786</v>
      </c>
      <c r="BA33" s="522">
        <f t="shared" si="17"/>
        <v>2450.2957749112657</v>
      </c>
      <c r="BB33" s="522">
        <f t="shared" si="18"/>
        <v>109.2156523017473</v>
      </c>
      <c r="BC33" s="522">
        <f t="shared" si="19"/>
        <v>5.6079255914591304</v>
      </c>
      <c r="BD33" s="522">
        <f t="shared" si="20"/>
        <v>-702.09999999999945</v>
      </c>
      <c r="BE33" s="522">
        <f t="shared" si="21"/>
        <v>0</v>
      </c>
      <c r="BF33" s="522">
        <v>8.56</v>
      </c>
      <c r="BG33" s="522"/>
      <c r="BH33" s="1489"/>
      <c r="BI33" s="1489"/>
      <c r="BJ33" s="1489"/>
      <c r="BK33" s="1489"/>
      <c r="BL33" s="1489"/>
      <c r="BM33" s="1489"/>
      <c r="BN33" s="35"/>
      <c r="BO33" s="66"/>
      <c r="BP33" s="66"/>
      <c r="BQ33" s="66"/>
      <c r="BR33" s="35"/>
      <c r="BS33" s="35"/>
      <c r="BT33" s="67"/>
      <c r="BU33" s="67"/>
      <c r="BV33" s="67"/>
      <c r="BW33" s="68"/>
      <c r="BX33" s="67"/>
      <c r="BY33" s="67"/>
      <c r="BZ33" s="67"/>
      <c r="CA33" s="130"/>
      <c r="CB33" s="35"/>
      <c r="CC33" s="30"/>
    </row>
    <row r="34" spans="1:81" s="124" customFormat="1" x14ac:dyDescent="0.25">
      <c r="A34" s="16">
        <v>25</v>
      </c>
      <c r="B34" s="586">
        <v>42461</v>
      </c>
      <c r="C34" s="424" t="s">
        <v>82</v>
      </c>
      <c r="D34" s="675">
        <v>1962</v>
      </c>
      <c r="E34" s="675">
        <v>1</v>
      </c>
      <c r="F34" s="675">
        <v>2</v>
      </c>
      <c r="G34" s="675">
        <v>6</v>
      </c>
      <c r="H34" s="770">
        <v>85.7</v>
      </c>
      <c r="I34" s="770">
        <v>0</v>
      </c>
      <c r="J34" s="770">
        <v>0</v>
      </c>
      <c r="K34" s="770">
        <v>82.26</v>
      </c>
      <c r="L34" s="770">
        <v>95.97</v>
      </c>
      <c r="M34" s="770">
        <v>0</v>
      </c>
      <c r="N34" s="770">
        <v>0</v>
      </c>
      <c r="O34" s="770">
        <v>586.20000000000005</v>
      </c>
      <c r="P34" s="770">
        <v>683.9</v>
      </c>
      <c r="Q34" s="628">
        <v>5707.59</v>
      </c>
      <c r="R34" s="628">
        <v>5558.47</v>
      </c>
      <c r="S34" s="628"/>
      <c r="T34" s="628"/>
      <c r="U34" s="628"/>
      <c r="V34" s="628"/>
      <c r="W34" s="628">
        <f t="shared" si="0"/>
        <v>6376.05</v>
      </c>
      <c r="X34" s="628">
        <f t="shared" si="1"/>
        <v>6338.34</v>
      </c>
      <c r="Y34" s="1497">
        <f t="shared" si="2"/>
        <v>4325.3930086924274</v>
      </c>
      <c r="Z34" s="591"/>
      <c r="AA34" s="592"/>
      <c r="AB34" s="592"/>
      <c r="AC34" s="592"/>
      <c r="AD34" s="592">
        <f t="shared" si="3"/>
        <v>43.686863395957801</v>
      </c>
      <c r="AE34" s="592">
        <f t="shared" si="4"/>
        <v>207.04506981808902</v>
      </c>
      <c r="AF34" s="592">
        <f t="shared" si="5"/>
        <v>2159.3964462956042</v>
      </c>
      <c r="AG34" s="592">
        <f t="shared" si="6"/>
        <v>466.10184577477963</v>
      </c>
      <c r="AH34" s="592"/>
      <c r="AI34" s="592"/>
      <c r="AJ34" s="592"/>
      <c r="AK34" s="1487">
        <f t="shared" si="9"/>
        <v>2876.2302252844306</v>
      </c>
      <c r="AL34" s="592"/>
      <c r="AM34" s="592"/>
      <c r="AN34" s="592"/>
      <c r="AO34" s="592"/>
      <c r="AP34" s="592"/>
      <c r="AQ34" s="592"/>
      <c r="AR34" s="1499">
        <f t="shared" si="10"/>
        <v>0</v>
      </c>
      <c r="AS34" s="592"/>
      <c r="AT34" s="592"/>
      <c r="AU34" s="592"/>
      <c r="AV34" s="592"/>
      <c r="AW34" s="1499">
        <f t="shared" si="14"/>
        <v>0</v>
      </c>
      <c r="AX34" s="522"/>
      <c r="AY34" s="522">
        <f t="shared" si="15"/>
        <v>108.32750534586319</v>
      </c>
      <c r="AZ34" s="522">
        <f t="shared" si="16"/>
        <v>1340.8352780621337</v>
      </c>
      <c r="BA34" s="522">
        <f t="shared" si="17"/>
        <v>2050.6569913075728</v>
      </c>
      <c r="BB34" s="522">
        <f t="shared" si="18"/>
        <v>99.408568000564614</v>
      </c>
      <c r="BC34" s="522">
        <f t="shared" si="19"/>
        <v>5.6079255914591304</v>
      </c>
      <c r="BD34" s="522">
        <f t="shared" si="20"/>
        <v>37.710000000000036</v>
      </c>
      <c r="BE34" s="522">
        <f t="shared" si="21"/>
        <v>0</v>
      </c>
      <c r="BF34" s="522">
        <v>8.56</v>
      </c>
      <c r="BG34" s="522"/>
      <c r="BH34" s="1489"/>
      <c r="BI34" s="1489"/>
      <c r="BJ34" s="1489"/>
      <c r="BK34" s="1489"/>
      <c r="BL34" s="1489"/>
      <c r="BM34" s="1489"/>
      <c r="BN34" s="35"/>
      <c r="BO34" s="66"/>
      <c r="BP34" s="66"/>
      <c r="BQ34" s="66"/>
      <c r="BR34" s="35"/>
      <c r="BS34" s="35"/>
      <c r="BT34" s="67"/>
      <c r="BU34" s="67"/>
      <c r="BV34" s="67"/>
      <c r="BW34" s="68"/>
      <c r="BX34" s="67"/>
      <c r="BY34" s="67"/>
      <c r="BZ34" s="67"/>
      <c r="CA34" s="130"/>
      <c r="CB34" s="35"/>
      <c r="CC34" s="30"/>
    </row>
    <row r="35" spans="1:81" s="124" customFormat="1" x14ac:dyDescent="0.25">
      <c r="A35" s="16">
        <v>26</v>
      </c>
      <c r="B35" s="587">
        <v>42491</v>
      </c>
      <c r="C35" s="424" t="s">
        <v>83</v>
      </c>
      <c r="D35" s="675">
        <v>1940</v>
      </c>
      <c r="E35" s="675">
        <v>1</v>
      </c>
      <c r="F35" s="675">
        <v>1</v>
      </c>
      <c r="G35" s="675">
        <v>4</v>
      </c>
      <c r="H35" s="770">
        <v>53.56</v>
      </c>
      <c r="I35" s="770">
        <v>0</v>
      </c>
      <c r="J35" s="770">
        <v>0</v>
      </c>
      <c r="K35" s="770">
        <v>51.42</v>
      </c>
      <c r="L35" s="770">
        <v>3.28</v>
      </c>
      <c r="M35" s="770">
        <v>0</v>
      </c>
      <c r="N35" s="770">
        <v>0</v>
      </c>
      <c r="O35" s="770">
        <v>366.36</v>
      </c>
      <c r="P35" s="770">
        <v>23.39</v>
      </c>
      <c r="Q35" s="628">
        <v>1299.9000000000001</v>
      </c>
      <c r="R35" s="628">
        <v>242.79</v>
      </c>
      <c r="S35" s="628"/>
      <c r="T35" s="628"/>
      <c r="U35" s="628"/>
      <c r="V35" s="628"/>
      <c r="W35" s="628">
        <f t="shared" si="0"/>
        <v>1717.68</v>
      </c>
      <c r="X35" s="628">
        <f t="shared" si="1"/>
        <v>269.45999999999998</v>
      </c>
      <c r="Y35" s="1497">
        <f t="shared" si="2"/>
        <v>2703.2444521069592</v>
      </c>
      <c r="Z35" s="591"/>
      <c r="AA35" s="592"/>
      <c r="AB35" s="592"/>
      <c r="AC35" s="592"/>
      <c r="AD35" s="592">
        <f t="shared" si="3"/>
        <v>27.303015209889146</v>
      </c>
      <c r="AE35" s="592">
        <f t="shared" si="4"/>
        <v>129.39712881513242</v>
      </c>
      <c r="AF35" s="592">
        <f t="shared" si="5"/>
        <v>1349.5597860395865</v>
      </c>
      <c r="AG35" s="592">
        <f t="shared" si="6"/>
        <v>291.30005670591828</v>
      </c>
      <c r="AH35" s="592"/>
      <c r="AI35" s="592"/>
      <c r="AJ35" s="592"/>
      <c r="AK35" s="1487">
        <f t="shared" si="9"/>
        <v>1797.5599867705262</v>
      </c>
      <c r="AL35" s="592"/>
      <c r="AM35" s="592"/>
      <c r="AN35" s="592"/>
      <c r="AO35" s="592"/>
      <c r="AP35" s="592"/>
      <c r="AQ35" s="592"/>
      <c r="AR35" s="1499">
        <f t="shared" si="10"/>
        <v>0</v>
      </c>
      <c r="AS35" s="592"/>
      <c r="AT35" s="592"/>
      <c r="AU35" s="592"/>
      <c r="AV35" s="592"/>
      <c r="AW35" s="1499">
        <f t="shared" si="14"/>
        <v>0</v>
      </c>
      <c r="AX35" s="522"/>
      <c r="AY35" s="522">
        <f t="shared" si="15"/>
        <v>67.701530762245412</v>
      </c>
      <c r="AZ35" s="522">
        <f t="shared" si="16"/>
        <v>837.98293457418765</v>
      </c>
      <c r="BA35" s="522">
        <f t="shared" si="17"/>
        <v>-985.56445210695915</v>
      </c>
      <c r="BB35" s="522">
        <f t="shared" si="18"/>
        <v>15.687438871035347</v>
      </c>
      <c r="BC35" s="522">
        <f t="shared" si="19"/>
        <v>5.6079255914591304</v>
      </c>
      <c r="BD35" s="522">
        <f t="shared" si="20"/>
        <v>1448.22</v>
      </c>
      <c r="BE35" s="522">
        <f t="shared" si="21"/>
        <v>0</v>
      </c>
      <c r="BF35" s="522">
        <v>3.69</v>
      </c>
      <c r="BG35" s="522"/>
      <c r="BH35" s="1489"/>
      <c r="BI35" s="1489"/>
      <c r="BJ35" s="1489"/>
      <c r="BK35" s="1489"/>
      <c r="BL35" s="1489"/>
      <c r="BM35" s="1489"/>
      <c r="BN35" s="35"/>
      <c r="BO35" s="66"/>
      <c r="BP35" s="66"/>
      <c r="BQ35" s="66"/>
      <c r="BR35" s="35"/>
      <c r="BS35" s="35"/>
      <c r="BT35" s="67"/>
      <c r="BU35" s="67"/>
      <c r="BV35" s="67"/>
      <c r="BW35" s="68"/>
      <c r="BX35" s="67"/>
      <c r="BY35" s="67"/>
      <c r="BZ35" s="67"/>
      <c r="CA35" s="130"/>
      <c r="CB35" s="35"/>
      <c r="CC35" s="30"/>
    </row>
    <row r="36" spans="1:81" s="124" customFormat="1" x14ac:dyDescent="0.25">
      <c r="A36" s="16">
        <v>27</v>
      </c>
      <c r="B36" s="587">
        <v>42491</v>
      </c>
      <c r="C36" s="424" t="s">
        <v>84</v>
      </c>
      <c r="D36" s="675">
        <v>1963</v>
      </c>
      <c r="E36" s="675">
        <v>1</v>
      </c>
      <c r="F36" s="675">
        <v>2</v>
      </c>
      <c r="G36" s="675">
        <v>8</v>
      </c>
      <c r="H36" s="770">
        <v>88</v>
      </c>
      <c r="I36" s="770">
        <v>0</v>
      </c>
      <c r="J36" s="770">
        <v>0</v>
      </c>
      <c r="K36" s="770">
        <v>84.48</v>
      </c>
      <c r="L36" s="770">
        <v>98.56</v>
      </c>
      <c r="M36" s="770">
        <v>0</v>
      </c>
      <c r="N36" s="770">
        <v>0</v>
      </c>
      <c r="O36" s="770">
        <v>601.91999999999996</v>
      </c>
      <c r="P36" s="770">
        <v>702.24</v>
      </c>
      <c r="Q36" s="628">
        <v>5860.8</v>
      </c>
      <c r="R36" s="628">
        <v>5707.68</v>
      </c>
      <c r="S36" s="628"/>
      <c r="T36" s="628"/>
      <c r="U36" s="628"/>
      <c r="V36" s="628"/>
      <c r="W36" s="628">
        <f t="shared" si="0"/>
        <v>6547.2</v>
      </c>
      <c r="X36" s="628">
        <f t="shared" si="1"/>
        <v>6508.4800000000005</v>
      </c>
      <c r="Y36" s="1497">
        <f t="shared" si="2"/>
        <v>4441.4770684356317</v>
      </c>
      <c r="Z36" s="591"/>
      <c r="AA36" s="592"/>
      <c r="AB36" s="592"/>
      <c r="AC36" s="592"/>
      <c r="AD36" s="592">
        <f t="shared" si="3"/>
        <v>44.85932297367895</v>
      </c>
      <c r="AE36" s="592">
        <f t="shared" si="4"/>
        <v>212.60170529745429</v>
      </c>
      <c r="AF36" s="592">
        <f t="shared" si="5"/>
        <v>2217.3499098484617</v>
      </c>
      <c r="AG36" s="592">
        <f t="shared" si="6"/>
        <v>478.61099682824516</v>
      </c>
      <c r="AH36" s="592"/>
      <c r="AI36" s="592"/>
      <c r="AJ36" s="592"/>
      <c r="AK36" s="1487">
        <f t="shared" si="9"/>
        <v>2953.4219349478403</v>
      </c>
      <c r="AL36" s="592"/>
      <c r="AM36" s="592"/>
      <c r="AN36" s="592"/>
      <c r="AO36" s="592"/>
      <c r="AP36" s="592"/>
      <c r="AQ36" s="592"/>
      <c r="AR36" s="1499">
        <f t="shared" si="10"/>
        <v>0</v>
      </c>
      <c r="AS36" s="592"/>
      <c r="AT36" s="592"/>
      <c r="AU36" s="592"/>
      <c r="AV36" s="592"/>
      <c r="AW36" s="1499">
        <f t="shared" si="14"/>
        <v>0</v>
      </c>
      <c r="AX36" s="522"/>
      <c r="AY36" s="522">
        <f t="shared" si="15"/>
        <v>111.23477795141143</v>
      </c>
      <c r="AZ36" s="522">
        <f t="shared" si="16"/>
        <v>1376.82035553638</v>
      </c>
      <c r="BA36" s="522">
        <f t="shared" si="17"/>
        <v>2105.7229315643681</v>
      </c>
      <c r="BB36" s="522">
        <f t="shared" si="18"/>
        <v>99.408602150537632</v>
      </c>
      <c r="BC36" s="522">
        <f t="shared" si="19"/>
        <v>5.6079255914591313</v>
      </c>
      <c r="BD36" s="522">
        <f t="shared" si="20"/>
        <v>38.719999999999345</v>
      </c>
      <c r="BE36" s="522">
        <f t="shared" si="21"/>
        <v>0</v>
      </c>
      <c r="BF36" s="522">
        <v>8.56</v>
      </c>
      <c r="BG36" s="522"/>
      <c r="BH36" s="1489"/>
      <c r="BI36" s="1489"/>
      <c r="BJ36" s="1489"/>
      <c r="BK36" s="1489"/>
      <c r="BL36" s="1489"/>
      <c r="BM36" s="1489"/>
      <c r="BN36" s="35"/>
      <c r="BO36" s="66"/>
      <c r="BP36" s="66"/>
      <c r="BQ36" s="66"/>
      <c r="BR36" s="35"/>
      <c r="BS36" s="35"/>
      <c r="BT36" s="67"/>
      <c r="BU36" s="67"/>
      <c r="BV36" s="67"/>
      <c r="BW36" s="68"/>
      <c r="BX36" s="67"/>
      <c r="BY36" s="67"/>
      <c r="BZ36" s="67"/>
      <c r="CA36" s="130"/>
      <c r="CB36" s="35"/>
      <c r="CC36" s="30"/>
    </row>
    <row r="37" spans="1:81" s="124" customFormat="1" ht="13.5" customHeight="1" x14ac:dyDescent="0.25">
      <c r="A37" s="16">
        <v>28</v>
      </c>
      <c r="B37" s="587">
        <v>42491</v>
      </c>
      <c r="C37" s="424" t="s">
        <v>85</v>
      </c>
      <c r="D37" s="675">
        <v>1962</v>
      </c>
      <c r="E37" s="675">
        <v>1</v>
      </c>
      <c r="F37" s="675">
        <v>1</v>
      </c>
      <c r="G37" s="675">
        <v>2</v>
      </c>
      <c r="H37" s="770">
        <v>44</v>
      </c>
      <c r="I37" s="770">
        <v>0</v>
      </c>
      <c r="J37" s="770">
        <v>0</v>
      </c>
      <c r="K37" s="770">
        <v>42.24</v>
      </c>
      <c r="L37" s="770">
        <v>29.85</v>
      </c>
      <c r="M37" s="770">
        <v>0</v>
      </c>
      <c r="N37" s="770">
        <v>0</v>
      </c>
      <c r="O37" s="770">
        <v>300.95999999999998</v>
      </c>
      <c r="P37" s="770">
        <v>213.41</v>
      </c>
      <c r="Q37" s="628">
        <v>2930.4</v>
      </c>
      <c r="R37" s="628">
        <v>1648.85</v>
      </c>
      <c r="S37" s="628"/>
      <c r="T37" s="628"/>
      <c r="U37" s="628"/>
      <c r="V37" s="628"/>
      <c r="W37" s="628">
        <f t="shared" si="0"/>
        <v>3273.6</v>
      </c>
      <c r="X37" s="628">
        <f t="shared" si="1"/>
        <v>1892.11</v>
      </c>
      <c r="Y37" s="1497">
        <f t="shared" si="2"/>
        <v>2220.7385342178159</v>
      </c>
      <c r="Z37" s="591"/>
      <c r="AA37" s="592"/>
      <c r="AB37" s="592"/>
      <c r="AC37" s="592"/>
      <c r="AD37" s="592">
        <f t="shared" si="3"/>
        <v>22.429661486839475</v>
      </c>
      <c r="AE37" s="592">
        <f t="shared" si="4"/>
        <v>106.30085264872714</v>
      </c>
      <c r="AF37" s="592">
        <f t="shared" si="5"/>
        <v>1108.6749549242309</v>
      </c>
      <c r="AG37" s="592">
        <f t="shared" si="6"/>
        <v>239.30549841412258</v>
      </c>
      <c r="AH37" s="592"/>
      <c r="AI37" s="592"/>
      <c r="AJ37" s="592"/>
      <c r="AK37" s="1487">
        <f t="shared" si="9"/>
        <v>1476.7109674739202</v>
      </c>
      <c r="AL37" s="592"/>
      <c r="AM37" s="592"/>
      <c r="AN37" s="592"/>
      <c r="AO37" s="592"/>
      <c r="AP37" s="592"/>
      <c r="AQ37" s="592"/>
      <c r="AR37" s="1499">
        <f t="shared" si="10"/>
        <v>0</v>
      </c>
      <c r="AS37" s="592"/>
      <c r="AT37" s="592"/>
      <c r="AU37" s="592"/>
      <c r="AV37" s="592"/>
      <c r="AW37" s="1499">
        <f t="shared" si="14"/>
        <v>0</v>
      </c>
      <c r="AX37" s="522"/>
      <c r="AY37" s="522">
        <f t="shared" si="15"/>
        <v>55.617388975705715</v>
      </c>
      <c r="AZ37" s="522">
        <f t="shared" si="16"/>
        <v>688.41017776819001</v>
      </c>
      <c r="BA37" s="522">
        <f t="shared" si="17"/>
        <v>1052.861465782184</v>
      </c>
      <c r="BB37" s="522">
        <f t="shared" si="18"/>
        <v>57.799059139784944</v>
      </c>
      <c r="BC37" s="522">
        <f t="shared" si="19"/>
        <v>5.6079255914591313</v>
      </c>
      <c r="BD37" s="522">
        <f t="shared" si="20"/>
        <v>1381.49</v>
      </c>
      <c r="BE37" s="522">
        <f t="shared" si="21"/>
        <v>0</v>
      </c>
      <c r="BF37" s="522">
        <v>8.56</v>
      </c>
      <c r="BG37" s="522"/>
      <c r="BH37" s="1489"/>
      <c r="BI37" s="1489"/>
      <c r="BJ37" s="1489"/>
      <c r="BK37" s="1489"/>
      <c r="BL37" s="1489"/>
      <c r="BM37" s="1489"/>
      <c r="BN37" s="35"/>
      <c r="BO37" s="66"/>
      <c r="BP37" s="66"/>
      <c r="BQ37" s="66"/>
      <c r="BR37" s="35"/>
      <c r="BS37" s="35"/>
      <c r="BT37" s="67"/>
      <c r="BU37" s="67"/>
      <c r="BV37" s="67"/>
      <c r="BW37" s="68"/>
      <c r="BX37" s="67"/>
      <c r="BY37" s="67"/>
      <c r="BZ37" s="67"/>
      <c r="CA37" s="130"/>
      <c r="CB37" s="35"/>
      <c r="CC37" s="30"/>
    </row>
    <row r="38" spans="1:81" s="124" customFormat="1" x14ac:dyDescent="0.25">
      <c r="A38" s="16">
        <v>29</v>
      </c>
      <c r="B38" s="587">
        <v>42491</v>
      </c>
      <c r="C38" s="424" t="s">
        <v>86</v>
      </c>
      <c r="D38" s="675">
        <v>1943</v>
      </c>
      <c r="E38" s="675">
        <v>1</v>
      </c>
      <c r="F38" s="675">
        <v>2</v>
      </c>
      <c r="G38" s="675">
        <v>4</v>
      </c>
      <c r="H38" s="770">
        <v>31.3</v>
      </c>
      <c r="I38" s="770">
        <v>0</v>
      </c>
      <c r="J38" s="770">
        <v>0</v>
      </c>
      <c r="K38" s="770">
        <v>30.06</v>
      </c>
      <c r="L38" s="770">
        <v>32.46</v>
      </c>
      <c r="M38" s="770">
        <v>0</v>
      </c>
      <c r="N38" s="770">
        <v>0</v>
      </c>
      <c r="O38" s="770">
        <v>214.08</v>
      </c>
      <c r="P38" s="770">
        <v>231.18</v>
      </c>
      <c r="Q38" s="628">
        <v>759.66</v>
      </c>
      <c r="R38" s="628">
        <v>556.86</v>
      </c>
      <c r="S38" s="628"/>
      <c r="T38" s="628"/>
      <c r="U38" s="628"/>
      <c r="V38" s="628"/>
      <c r="W38" s="628">
        <f t="shared" si="0"/>
        <v>1003.8</v>
      </c>
      <c r="X38" s="628">
        <f t="shared" si="1"/>
        <v>820.5</v>
      </c>
      <c r="Y38" s="1497">
        <f t="shared" si="2"/>
        <v>1579.7526391140373</v>
      </c>
      <c r="Z38" s="591"/>
      <c r="AA38" s="592"/>
      <c r="AB38" s="592"/>
      <c r="AC38" s="592"/>
      <c r="AD38" s="592">
        <f t="shared" si="3"/>
        <v>15.955645557683537</v>
      </c>
      <c r="AE38" s="592">
        <f t="shared" si="4"/>
        <v>75.618561088753637</v>
      </c>
      <c r="AF38" s="592">
        <f t="shared" si="5"/>
        <v>788.67104748019153</v>
      </c>
      <c r="AG38" s="592">
        <f t="shared" si="6"/>
        <v>170.23322955368266</v>
      </c>
      <c r="AH38" s="592"/>
      <c r="AI38" s="592"/>
      <c r="AJ38" s="592"/>
      <c r="AK38" s="1487">
        <f t="shared" si="9"/>
        <v>1050.4784836803115</v>
      </c>
      <c r="AL38" s="592"/>
      <c r="AM38" s="592"/>
      <c r="AN38" s="592"/>
      <c r="AO38" s="592"/>
      <c r="AP38" s="592"/>
      <c r="AQ38" s="592"/>
      <c r="AR38" s="1499">
        <f t="shared" si="10"/>
        <v>0</v>
      </c>
      <c r="AS38" s="592"/>
      <c r="AT38" s="592"/>
      <c r="AU38" s="592"/>
      <c r="AV38" s="592"/>
      <c r="AW38" s="1499">
        <f t="shared" si="14"/>
        <v>0</v>
      </c>
      <c r="AX38" s="522"/>
      <c r="AY38" s="522">
        <f t="shared" si="15"/>
        <v>39.564188066808839</v>
      </c>
      <c r="AZ38" s="522">
        <f t="shared" si="16"/>
        <v>489.709967366917</v>
      </c>
      <c r="BA38" s="522">
        <f t="shared" si="17"/>
        <v>-575.95263911403731</v>
      </c>
      <c r="BB38" s="522">
        <f t="shared" si="18"/>
        <v>81.739390316796175</v>
      </c>
      <c r="BC38" s="522">
        <f t="shared" si="19"/>
        <v>5.6079255914591313</v>
      </c>
      <c r="BD38" s="522">
        <f t="shared" si="20"/>
        <v>183.29999999999995</v>
      </c>
      <c r="BE38" s="522">
        <f t="shared" si="21"/>
        <v>0</v>
      </c>
      <c r="BF38" s="522">
        <v>3.69</v>
      </c>
      <c r="BG38" s="522"/>
      <c r="BH38" s="1489"/>
      <c r="BI38" s="1489"/>
      <c r="BJ38" s="1489"/>
      <c r="BK38" s="1489"/>
      <c r="BL38" s="1489"/>
      <c r="BM38" s="1489"/>
      <c r="BN38" s="35"/>
      <c r="BO38" s="66"/>
      <c r="BP38" s="66"/>
      <c r="BQ38" s="66"/>
      <c r="BR38" s="35"/>
      <c r="BS38" s="35"/>
      <c r="BT38" s="67"/>
      <c r="BU38" s="67"/>
      <c r="BV38" s="67"/>
      <c r="BW38" s="68"/>
      <c r="BX38" s="67"/>
      <c r="BY38" s="67"/>
      <c r="BZ38" s="67"/>
      <c r="CA38" s="130"/>
      <c r="CB38" s="35"/>
      <c r="CC38" s="30"/>
    </row>
    <row r="39" spans="1:81" s="124" customFormat="1" x14ac:dyDescent="0.25">
      <c r="A39" s="16">
        <v>30</v>
      </c>
      <c r="B39" s="586">
        <v>42461</v>
      </c>
      <c r="C39" s="424" t="s">
        <v>87</v>
      </c>
      <c r="D39" s="675">
        <v>1943</v>
      </c>
      <c r="E39" s="675">
        <v>1</v>
      </c>
      <c r="F39" s="675">
        <v>1</v>
      </c>
      <c r="G39" s="675">
        <v>1</v>
      </c>
      <c r="H39" s="770">
        <v>22</v>
      </c>
      <c r="I39" s="770">
        <v>0</v>
      </c>
      <c r="J39" s="770">
        <v>0</v>
      </c>
      <c r="K39" s="770">
        <v>21.12</v>
      </c>
      <c r="L39" s="770">
        <v>38.72</v>
      </c>
      <c r="M39" s="770">
        <v>0</v>
      </c>
      <c r="N39" s="770">
        <v>0</v>
      </c>
      <c r="O39" s="770">
        <v>150.47999999999999</v>
      </c>
      <c r="P39" s="770">
        <v>260.04000000000002</v>
      </c>
      <c r="Q39" s="628">
        <v>1013.76</v>
      </c>
      <c r="R39" s="628">
        <v>1108.3599999999999</v>
      </c>
      <c r="S39" s="628"/>
      <c r="T39" s="628"/>
      <c r="U39" s="628"/>
      <c r="V39" s="628"/>
      <c r="W39" s="628">
        <f t="shared" si="0"/>
        <v>1185.3599999999999</v>
      </c>
      <c r="X39" s="628">
        <f t="shared" si="1"/>
        <v>1407.12</v>
      </c>
      <c r="Y39" s="1497">
        <f t="shared" si="2"/>
        <v>1110.3692671089079</v>
      </c>
      <c r="Z39" s="591"/>
      <c r="AA39" s="592"/>
      <c r="AB39" s="592"/>
      <c r="AC39" s="592"/>
      <c r="AD39" s="592">
        <f t="shared" si="3"/>
        <v>11.214830743419737</v>
      </c>
      <c r="AE39" s="592">
        <f t="shared" si="4"/>
        <v>53.150426324363572</v>
      </c>
      <c r="AF39" s="592">
        <f t="shared" si="5"/>
        <v>554.33747746211543</v>
      </c>
      <c r="AG39" s="592">
        <f t="shared" si="6"/>
        <v>119.65274920706129</v>
      </c>
      <c r="AH39" s="592"/>
      <c r="AI39" s="592"/>
      <c r="AJ39" s="592"/>
      <c r="AK39" s="1487">
        <f t="shared" si="9"/>
        <v>738.35548373696008</v>
      </c>
      <c r="AL39" s="592"/>
      <c r="AM39" s="592"/>
      <c r="AN39" s="592"/>
      <c r="AO39" s="592"/>
      <c r="AP39" s="592"/>
      <c r="AQ39" s="592"/>
      <c r="AR39" s="1499">
        <f t="shared" si="10"/>
        <v>0</v>
      </c>
      <c r="AS39" s="592"/>
      <c r="AT39" s="592"/>
      <c r="AU39" s="592"/>
      <c r="AV39" s="592"/>
      <c r="AW39" s="1499">
        <f t="shared" si="14"/>
        <v>0</v>
      </c>
      <c r="AX39" s="522"/>
      <c r="AY39" s="522">
        <f t="shared" si="15"/>
        <v>27.808694487852858</v>
      </c>
      <c r="AZ39" s="522">
        <f t="shared" si="16"/>
        <v>344.20508888409501</v>
      </c>
      <c r="BA39" s="522">
        <f t="shared" si="17"/>
        <v>74.990732891091966</v>
      </c>
      <c r="BB39" s="522">
        <f t="shared" si="18"/>
        <v>118.70824053452115</v>
      </c>
      <c r="BC39" s="522">
        <f t="shared" si="19"/>
        <v>5.6079255914591313</v>
      </c>
      <c r="BD39" s="522">
        <f t="shared" si="20"/>
        <v>-221.76</v>
      </c>
      <c r="BE39" s="522">
        <f t="shared" si="21"/>
        <v>0</v>
      </c>
      <c r="BF39" s="522">
        <v>6.2</v>
      </c>
      <c r="BG39" s="522"/>
      <c r="BH39" s="1489"/>
      <c r="BI39" s="1489"/>
      <c r="BJ39" s="1489"/>
      <c r="BK39" s="1489"/>
      <c r="BL39" s="1489"/>
      <c r="BM39" s="1489"/>
      <c r="BN39" s="35"/>
      <c r="BO39" s="66"/>
      <c r="BP39" s="66"/>
      <c r="BQ39" s="66"/>
      <c r="BR39" s="35"/>
      <c r="BS39" s="35"/>
      <c r="BT39" s="67"/>
      <c r="BU39" s="67"/>
      <c r="BV39" s="67"/>
      <c r="BW39" s="68"/>
      <c r="BX39" s="67"/>
      <c r="BY39" s="67"/>
      <c r="BZ39" s="67"/>
      <c r="CA39" s="130"/>
      <c r="CB39" s="35"/>
      <c r="CC39" s="30"/>
    </row>
    <row r="40" spans="1:81" s="124" customFormat="1" x14ac:dyDescent="0.25">
      <c r="A40" s="257">
        <v>31</v>
      </c>
      <c r="B40" s="589"/>
      <c r="C40" s="526" t="s">
        <v>88</v>
      </c>
      <c r="D40" s="813">
        <v>1969</v>
      </c>
      <c r="E40" s="813">
        <v>2</v>
      </c>
      <c r="F40" s="813">
        <v>16</v>
      </c>
      <c r="G40" s="813">
        <v>34</v>
      </c>
      <c r="H40" s="689">
        <v>649.16</v>
      </c>
      <c r="I40" s="689">
        <v>0</v>
      </c>
      <c r="J40" s="689">
        <v>0</v>
      </c>
      <c r="K40" s="689">
        <v>622.02</v>
      </c>
      <c r="L40" s="689">
        <v>703.57</v>
      </c>
      <c r="M40" s="689">
        <v>0</v>
      </c>
      <c r="N40" s="689">
        <v>0</v>
      </c>
      <c r="O40" s="689">
        <v>6919.77</v>
      </c>
      <c r="P40" s="689">
        <v>7827.05</v>
      </c>
      <c r="Q40" s="630">
        <v>53023.35</v>
      </c>
      <c r="R40" s="630">
        <v>48871.96</v>
      </c>
      <c r="S40" s="630">
        <v>1788.46</v>
      </c>
      <c r="T40" s="630">
        <v>1650.11</v>
      </c>
      <c r="U40" s="1343">
        <v>32050.92</v>
      </c>
      <c r="V40" s="1343">
        <v>30577.67</v>
      </c>
      <c r="W40" s="628">
        <f t="shared" si="0"/>
        <v>94404.51999999999</v>
      </c>
      <c r="X40" s="628">
        <f t="shared" si="1"/>
        <v>89630.36</v>
      </c>
      <c r="Y40" s="1497">
        <f t="shared" si="2"/>
        <v>62048.235808197118</v>
      </c>
      <c r="Z40" s="632"/>
      <c r="AA40" s="592"/>
      <c r="AB40" s="592">
        <v>2487.2399999999998</v>
      </c>
      <c r="AC40" s="1343"/>
      <c r="AD40" s="592">
        <f t="shared" si="3"/>
        <v>330.91906933628894</v>
      </c>
      <c r="AE40" s="592">
        <f t="shared" si="4"/>
        <v>1568.3241251238117</v>
      </c>
      <c r="AF40" s="592">
        <f t="shared" si="5"/>
        <v>16356.987130423038</v>
      </c>
      <c r="AG40" s="592">
        <f t="shared" si="6"/>
        <v>3530.6263034207227</v>
      </c>
      <c r="AH40" s="592"/>
      <c r="AI40" s="592">
        <f t="shared" ref="AI40" si="28">561788.8/16358.47*H40</f>
        <v>22293.699680226819</v>
      </c>
      <c r="AJ40" s="592">
        <f t="shared" ref="AJ40" si="29">AI40*0.202</f>
        <v>4503.3273354058174</v>
      </c>
      <c r="AK40" s="1487">
        <f t="shared" si="9"/>
        <v>51071.123643936502</v>
      </c>
      <c r="AL40" s="592"/>
      <c r="AM40" s="592"/>
      <c r="AN40" s="592"/>
      <c r="AO40" s="592"/>
      <c r="AP40" s="592"/>
      <c r="AQ40" s="592"/>
      <c r="AR40" s="1499">
        <f t="shared" si="10"/>
        <v>0</v>
      </c>
      <c r="AS40" s="592"/>
      <c r="AT40" s="592"/>
      <c r="AU40" s="592"/>
      <c r="AV40" s="592"/>
      <c r="AW40" s="1499">
        <f t="shared" si="14"/>
        <v>0</v>
      </c>
      <c r="AX40" s="522"/>
      <c r="AY40" s="522">
        <f t="shared" si="15"/>
        <v>820.55873244248005</v>
      </c>
      <c r="AZ40" s="522">
        <f t="shared" si="16"/>
        <v>10156.553431818142</v>
      </c>
      <c r="BA40" s="522">
        <f t="shared" si="17"/>
        <v>32356.284191802872</v>
      </c>
      <c r="BB40" s="522">
        <f t="shared" si="18"/>
        <v>94.942869260920986</v>
      </c>
      <c r="BC40" s="522">
        <f t="shared" si="19"/>
        <v>10.620260680160536</v>
      </c>
      <c r="BD40" s="522">
        <f t="shared" si="20"/>
        <v>4774.1599999999889</v>
      </c>
      <c r="BE40" s="522">
        <f t="shared" si="21"/>
        <v>1473.25</v>
      </c>
      <c r="BF40" s="522">
        <v>10.76</v>
      </c>
      <c r="BG40" s="522">
        <v>5.5</v>
      </c>
      <c r="BH40" s="1489"/>
      <c r="BI40" s="1489"/>
      <c r="BJ40" s="1489"/>
      <c r="BK40" s="1489"/>
      <c r="BL40" s="1489"/>
      <c r="BM40" s="1489"/>
      <c r="BN40" s="35"/>
      <c r="BO40" s="66"/>
      <c r="BP40" s="66"/>
      <c r="BQ40" s="66"/>
      <c r="BR40" s="35"/>
      <c r="BS40" s="35"/>
      <c r="BT40" s="67"/>
      <c r="BU40" s="67"/>
      <c r="BV40" s="67"/>
      <c r="BW40" s="68"/>
      <c r="BX40" s="67"/>
      <c r="BY40" s="68"/>
      <c r="BZ40" s="67"/>
      <c r="CA40" s="130"/>
      <c r="CB40" s="35"/>
      <c r="CC40" s="30"/>
    </row>
    <row r="41" spans="1:81" s="34" customFormat="1" x14ac:dyDescent="0.25">
      <c r="A41" s="386"/>
      <c r="B41" s="386"/>
      <c r="C41" s="531" t="s">
        <v>89</v>
      </c>
      <c r="D41" s="815"/>
      <c r="E41" s="387">
        <f t="shared" ref="E41:BE41" si="30">SUM(E10:E40)</f>
        <v>53</v>
      </c>
      <c r="F41" s="387">
        <f t="shared" si="30"/>
        <v>337</v>
      </c>
      <c r="G41" s="387">
        <f t="shared" si="30"/>
        <v>1035</v>
      </c>
      <c r="H41" s="387">
        <f t="shared" si="30"/>
        <v>17476.130000000005</v>
      </c>
      <c r="I41" s="387">
        <f t="shared" si="30"/>
        <v>211184.49000000002</v>
      </c>
      <c r="J41" s="387">
        <f t="shared" si="30"/>
        <v>239504.46</v>
      </c>
      <c r="K41" s="387">
        <f t="shared" si="30"/>
        <v>16771.84</v>
      </c>
      <c r="L41" s="387">
        <f t="shared" si="30"/>
        <v>20877.07</v>
      </c>
      <c r="M41" s="387">
        <f t="shared" si="30"/>
        <v>0</v>
      </c>
      <c r="N41" s="387">
        <f t="shared" si="30"/>
        <v>0</v>
      </c>
      <c r="O41" s="387">
        <f t="shared" si="30"/>
        <v>182291.29</v>
      </c>
      <c r="P41" s="387">
        <f t="shared" si="30"/>
        <v>203648.07999999996</v>
      </c>
      <c r="Q41" s="1344">
        <f t="shared" si="30"/>
        <v>1542354.96</v>
      </c>
      <c r="R41" s="1344">
        <f t="shared" si="30"/>
        <v>1364830.6400000001</v>
      </c>
      <c r="S41" s="1344">
        <f t="shared" si="30"/>
        <v>36188.11</v>
      </c>
      <c r="T41" s="1344">
        <f t="shared" si="30"/>
        <v>33372.6</v>
      </c>
      <c r="U41" s="1344">
        <f>SUM(U10:U40)</f>
        <v>809425.12</v>
      </c>
      <c r="V41" s="1344">
        <f>SUM(V10:V40)</f>
        <v>765642.22</v>
      </c>
      <c r="W41" s="1344">
        <f t="shared" si="30"/>
        <v>2798215.8100000005</v>
      </c>
      <c r="X41" s="1344">
        <f t="shared" si="30"/>
        <v>2627875.0700000003</v>
      </c>
      <c r="Y41" s="1498">
        <f t="shared" si="30"/>
        <v>2230627.9205199988</v>
      </c>
      <c r="Z41" s="895">
        <f t="shared" si="30"/>
        <v>7770.9600000000009</v>
      </c>
      <c r="AA41" s="593">
        <f t="shared" si="30"/>
        <v>0</v>
      </c>
      <c r="AB41" s="593">
        <f t="shared" si="30"/>
        <v>59543.960000000006</v>
      </c>
      <c r="AC41" s="593">
        <f t="shared" si="30"/>
        <v>3291.3</v>
      </c>
      <c r="AD41" s="593">
        <f t="shared" si="30"/>
        <v>8908.720000000003</v>
      </c>
      <c r="AE41" s="593">
        <f t="shared" si="30"/>
        <v>42221.080000000009</v>
      </c>
      <c r="AF41" s="593">
        <f t="shared" si="30"/>
        <v>440348.80999999988</v>
      </c>
      <c r="AG41" s="593">
        <f t="shared" si="30"/>
        <v>95048.499999999985</v>
      </c>
      <c r="AH41" s="593">
        <f t="shared" si="30"/>
        <v>1600</v>
      </c>
      <c r="AI41" s="593">
        <f t="shared" si="30"/>
        <v>561788.80000000016</v>
      </c>
      <c r="AJ41" s="593">
        <f t="shared" si="30"/>
        <v>113481.33760000003</v>
      </c>
      <c r="AK41" s="1488">
        <f t="shared" si="30"/>
        <v>1334003.4676000008</v>
      </c>
      <c r="AL41" s="593">
        <f t="shared" si="30"/>
        <v>57756.61</v>
      </c>
      <c r="AM41" s="593">
        <f t="shared" si="30"/>
        <v>0</v>
      </c>
      <c r="AN41" s="593">
        <f t="shared" si="30"/>
        <v>233377.6</v>
      </c>
      <c r="AO41" s="593">
        <f t="shared" si="30"/>
        <v>0</v>
      </c>
      <c r="AP41" s="593">
        <f t="shared" si="30"/>
        <v>15136.55</v>
      </c>
      <c r="AQ41" s="593">
        <f t="shared" si="30"/>
        <v>0</v>
      </c>
      <c r="AR41" s="1500">
        <f t="shared" si="30"/>
        <v>306270.76</v>
      </c>
      <c r="AS41" s="593">
        <f t="shared" si="30"/>
        <v>1116</v>
      </c>
      <c r="AT41" s="593">
        <f t="shared" si="30"/>
        <v>0</v>
      </c>
      <c r="AU41" s="593">
        <f t="shared" si="30"/>
        <v>244360.46000000002</v>
      </c>
      <c r="AV41" s="593">
        <f t="shared" si="30"/>
        <v>49360.812920000011</v>
      </c>
      <c r="AW41" s="1500">
        <f t="shared" si="30"/>
        <v>294837.27292000002</v>
      </c>
      <c r="AX41" s="537">
        <f t="shared" si="30"/>
        <v>0</v>
      </c>
      <c r="AY41" s="537">
        <f t="shared" si="30"/>
        <v>22090.38</v>
      </c>
      <c r="AZ41" s="537">
        <f t="shared" si="30"/>
        <v>273426.03999999998</v>
      </c>
      <c r="BA41" s="537">
        <f t="shared" si="30"/>
        <v>567587.88948000025</v>
      </c>
      <c r="BB41" s="540">
        <f t="shared" si="18"/>
        <v>93.912523137377306</v>
      </c>
      <c r="BC41" s="597">
        <f t="shared" si="19"/>
        <v>14.182061287278376</v>
      </c>
      <c r="BD41" s="537">
        <f t="shared" si="30"/>
        <v>170340.74000000011</v>
      </c>
      <c r="BE41" s="537">
        <f t="shared" si="30"/>
        <v>43782.900000000023</v>
      </c>
      <c r="BF41" s="537"/>
      <c r="BG41" s="537"/>
      <c r="BH41" s="1489"/>
      <c r="BI41" s="1489"/>
      <c r="BJ41" s="1489"/>
      <c r="BK41" s="1489"/>
      <c r="BL41" s="1489"/>
      <c r="BM41" s="1489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127"/>
      <c r="CB41" s="83"/>
      <c r="CC41" s="86"/>
    </row>
    <row r="42" spans="1:81" x14ac:dyDescent="0.25">
      <c r="C42" s="816"/>
      <c r="D42" s="816"/>
      <c r="E42" s="816"/>
      <c r="F42" s="816"/>
      <c r="G42" s="816"/>
      <c r="H42" s="817"/>
      <c r="I42" s="817"/>
      <c r="J42" s="817"/>
      <c r="K42" s="817"/>
      <c r="L42" s="817"/>
      <c r="M42" s="817"/>
      <c r="N42" s="817"/>
      <c r="O42" s="817"/>
      <c r="P42" s="817"/>
      <c r="Q42" s="816"/>
      <c r="R42" s="816"/>
      <c r="S42" s="816"/>
      <c r="T42" s="816"/>
      <c r="U42" s="816" t="s">
        <v>180</v>
      </c>
      <c r="V42" s="816" t="s">
        <v>180</v>
      </c>
      <c r="W42" s="816"/>
      <c r="X42" s="816"/>
      <c r="Y42" s="816"/>
      <c r="Z42" s="818" t="s">
        <v>180</v>
      </c>
      <c r="AA42" s="819"/>
      <c r="AB42" s="816" t="s">
        <v>180</v>
      </c>
      <c r="AC42" s="816" t="s">
        <v>180</v>
      </c>
      <c r="AD42" s="816" t="s">
        <v>180</v>
      </c>
      <c r="AE42" s="816" t="s">
        <v>180</v>
      </c>
      <c r="AF42" s="816" t="s">
        <v>180</v>
      </c>
      <c r="AG42" s="816" t="s">
        <v>180</v>
      </c>
      <c r="AH42" s="816" t="s">
        <v>180</v>
      </c>
      <c r="AI42" s="820"/>
      <c r="AJ42" s="816"/>
      <c r="AK42" s="816"/>
      <c r="AL42" s="816" t="s">
        <v>180</v>
      </c>
      <c r="AM42" s="816"/>
      <c r="AN42" s="816" t="s">
        <v>180</v>
      </c>
      <c r="AO42" s="816"/>
      <c r="AP42" s="816" t="s">
        <v>180</v>
      </c>
      <c r="AQ42" s="816"/>
      <c r="AR42" s="816" t="s">
        <v>180</v>
      </c>
      <c r="AS42" s="816"/>
      <c r="AT42" s="816"/>
      <c r="AU42" s="816"/>
      <c r="AV42" s="816"/>
      <c r="AW42" s="816" t="s">
        <v>180</v>
      </c>
      <c r="AX42" s="816"/>
      <c r="AY42" s="816" t="s">
        <v>180</v>
      </c>
      <c r="AZ42" s="816" t="s">
        <v>180</v>
      </c>
      <c r="BA42" s="816"/>
      <c r="BB42" s="816"/>
      <c r="BC42" s="816"/>
      <c r="BD42" s="816"/>
      <c r="BE42" s="816"/>
      <c r="BF42" s="816"/>
      <c r="BG42" s="816"/>
      <c r="BH42" s="1489"/>
      <c r="BI42" s="1489"/>
      <c r="BJ42" s="1489"/>
      <c r="BK42" s="1489"/>
      <c r="BL42" s="1489"/>
      <c r="BM42" s="1489"/>
      <c r="BN42" s="9"/>
      <c r="BO42" s="9"/>
      <c r="BP42" s="9"/>
      <c r="BQ42" s="9"/>
      <c r="BR42" s="9"/>
      <c r="BS42" s="86"/>
      <c r="BT42" s="9"/>
      <c r="BU42" s="9"/>
      <c r="BV42" s="9"/>
      <c r="BW42" s="9"/>
      <c r="BX42" s="9"/>
      <c r="BY42" s="9"/>
      <c r="BZ42" s="9"/>
      <c r="CA42" s="128"/>
      <c r="CB42" s="9"/>
      <c r="CC42" s="9"/>
    </row>
    <row r="43" spans="1:81" x14ac:dyDescent="0.25">
      <c r="C43" s="821" t="s">
        <v>579</v>
      </c>
      <c r="D43" s="816"/>
      <c r="E43" s="816"/>
      <c r="F43" s="816"/>
      <c r="G43" s="816"/>
      <c r="H43" s="816"/>
      <c r="I43" s="816"/>
      <c r="J43" s="816"/>
      <c r="K43" s="816"/>
      <c r="L43" s="816"/>
      <c r="M43" s="816"/>
      <c r="N43" s="816"/>
      <c r="O43" s="816"/>
      <c r="P43" s="816"/>
      <c r="Q43" s="816"/>
      <c r="R43" s="816"/>
      <c r="S43" s="816"/>
      <c r="T43" s="816"/>
      <c r="U43" s="816"/>
      <c r="V43" s="816"/>
      <c r="W43" s="816"/>
      <c r="X43" s="816"/>
      <c r="Y43" s="816"/>
      <c r="Z43" s="822"/>
      <c r="AA43" s="823"/>
      <c r="AB43" s="823"/>
      <c r="AC43" s="816"/>
      <c r="AD43" s="816"/>
      <c r="AE43" s="816"/>
      <c r="AF43" s="816"/>
      <c r="AG43" s="816"/>
      <c r="AH43" s="816"/>
      <c r="AI43" s="1486">
        <f>AI41+AJ41</f>
        <v>675270.13760000025</v>
      </c>
      <c r="AJ43" s="816"/>
      <c r="AK43" s="816"/>
      <c r="AL43" s="816"/>
      <c r="AM43" s="816"/>
      <c r="AN43" s="816"/>
      <c r="AO43" s="816"/>
      <c r="AP43" s="816"/>
      <c r="AQ43" s="816"/>
      <c r="AR43" s="816"/>
      <c r="AS43" s="816"/>
      <c r="AT43" s="816"/>
      <c r="AU43" s="1486">
        <f>AU41+AV41</f>
        <v>293721.27292000002</v>
      </c>
      <c r="AV43" s="816"/>
      <c r="AW43" s="816"/>
      <c r="AX43" s="816"/>
      <c r="AY43" s="816"/>
      <c r="AZ43" s="816"/>
      <c r="BA43" s="816"/>
      <c r="BB43" s="816"/>
      <c r="BC43" s="816"/>
      <c r="BD43" s="816"/>
      <c r="BE43" s="816"/>
      <c r="BF43" s="816"/>
      <c r="BG43" s="816"/>
      <c r="BH43" s="816"/>
      <c r="BI43" s="532"/>
      <c r="BJ43" s="532"/>
      <c r="BK43" s="9"/>
      <c r="BL43" s="9"/>
      <c r="BM43" s="9"/>
      <c r="BN43" s="9"/>
      <c r="BO43" s="9"/>
      <c r="BP43" s="9"/>
      <c r="BQ43" s="9"/>
      <c r="BR43" s="9"/>
      <c r="BS43" s="86"/>
      <c r="BT43" s="9"/>
      <c r="BU43" s="9"/>
      <c r="BV43" s="9"/>
      <c r="BW43" s="9"/>
      <c r="BX43" s="9"/>
      <c r="BY43" s="9"/>
      <c r="BZ43" s="9"/>
      <c r="CA43" s="128"/>
      <c r="CB43" s="9"/>
      <c r="CC43" s="9"/>
    </row>
    <row r="44" spans="1:81" x14ac:dyDescent="0.25">
      <c r="C44" s="816"/>
      <c r="D44" s="816"/>
      <c r="E44" s="816"/>
      <c r="F44" s="816"/>
      <c r="G44" s="816"/>
      <c r="H44" s="816"/>
      <c r="I44" s="816"/>
      <c r="J44" s="816"/>
      <c r="K44" s="816"/>
      <c r="L44" s="816"/>
      <c r="M44" s="816"/>
      <c r="N44" s="816"/>
      <c r="O44" s="816"/>
      <c r="P44" s="816"/>
      <c r="Q44" s="816"/>
      <c r="R44" s="816"/>
      <c r="S44" s="816"/>
      <c r="T44" s="816"/>
      <c r="U44" s="816"/>
      <c r="V44" s="816"/>
      <c r="W44" s="816"/>
      <c r="X44" s="816"/>
      <c r="Y44" s="816"/>
      <c r="Z44" s="816"/>
      <c r="AA44" s="816"/>
      <c r="AB44" s="816"/>
      <c r="AC44" s="816"/>
      <c r="AD44" s="816"/>
      <c r="AE44" s="816"/>
      <c r="AF44" s="816"/>
      <c r="AG44" s="816"/>
      <c r="AH44" s="816"/>
      <c r="AI44" s="816" t="s">
        <v>180</v>
      </c>
      <c r="AJ44" s="816"/>
      <c r="AK44" s="816"/>
      <c r="AL44" s="816"/>
      <c r="AM44" s="816"/>
      <c r="AN44" s="816"/>
      <c r="AO44" s="816"/>
      <c r="AP44" s="816"/>
      <c r="AQ44" s="816"/>
      <c r="AR44" s="816"/>
      <c r="AS44" s="816"/>
      <c r="AT44" s="816"/>
      <c r="AU44" s="816"/>
      <c r="AV44" s="816"/>
      <c r="AW44" s="816"/>
      <c r="AX44" s="816"/>
      <c r="AY44" s="816"/>
      <c r="AZ44" s="816"/>
      <c r="BA44" s="816"/>
      <c r="BB44" s="816"/>
      <c r="BC44" s="816"/>
      <c r="BD44" s="816"/>
      <c r="BE44" s="816"/>
      <c r="BF44" s="816"/>
      <c r="BG44" s="816"/>
      <c r="BH44" s="816"/>
      <c r="BI44" s="532"/>
      <c r="BJ44" s="532"/>
      <c r="BK44" s="9"/>
      <c r="BL44" s="9"/>
      <c r="BM44" s="9"/>
      <c r="BN44" s="9"/>
      <c r="BO44" s="9"/>
      <c r="BP44" s="9"/>
      <c r="BQ44" s="9"/>
      <c r="BR44" s="9"/>
      <c r="BS44" s="86"/>
      <c r="BT44" s="9"/>
      <c r="BU44" s="9"/>
      <c r="BV44" s="9"/>
      <c r="BW44" s="9"/>
      <c r="BX44" s="9"/>
      <c r="BY44" s="9"/>
      <c r="BZ44" s="9"/>
      <c r="CA44" s="128"/>
      <c r="CB44" s="9"/>
      <c r="CC44" s="9"/>
    </row>
    <row r="45" spans="1:81" ht="18" x14ac:dyDescent="0.25">
      <c r="A45" s="9"/>
      <c r="B45" s="9"/>
      <c r="C45" s="824"/>
      <c r="D45" s="824"/>
      <c r="E45" s="824"/>
      <c r="F45" s="824"/>
      <c r="G45" s="824"/>
      <c r="H45" s="824"/>
      <c r="I45" s="824"/>
      <c r="J45" s="824"/>
      <c r="K45" s="824"/>
      <c r="L45" s="824"/>
      <c r="M45" s="824"/>
      <c r="N45" s="824"/>
      <c r="O45" s="824"/>
      <c r="P45" s="824"/>
      <c r="Q45" s="824"/>
      <c r="R45" s="824"/>
      <c r="S45" s="824"/>
      <c r="T45" s="824"/>
      <c r="U45" s="824"/>
      <c r="V45" s="824"/>
      <c r="W45" s="824"/>
      <c r="X45" s="824"/>
      <c r="Y45" s="824"/>
      <c r="Z45" s="824"/>
      <c r="AA45" s="824"/>
      <c r="AB45" s="816"/>
      <c r="AC45" s="816"/>
      <c r="AD45" s="816"/>
      <c r="AE45" s="816"/>
      <c r="AF45" s="816"/>
      <c r="AG45" s="816"/>
      <c r="AH45" s="816"/>
      <c r="AI45" s="816"/>
      <c r="AJ45" s="816"/>
      <c r="AK45" s="816"/>
      <c r="AL45" s="816"/>
      <c r="AM45" s="816"/>
      <c r="AN45" s="816"/>
      <c r="AO45" s="816"/>
      <c r="AP45" s="816"/>
      <c r="AQ45" s="816"/>
      <c r="AR45" s="816"/>
      <c r="AS45" s="816"/>
      <c r="AT45" s="816"/>
      <c r="AU45" s="816"/>
      <c r="AV45" s="816"/>
      <c r="AW45" s="816"/>
      <c r="AX45" s="816"/>
      <c r="AY45" s="816"/>
      <c r="AZ45" s="816"/>
      <c r="BA45" s="816"/>
      <c r="BB45" s="816"/>
      <c r="BC45" s="816"/>
      <c r="BD45" s="816"/>
      <c r="BE45" s="816"/>
      <c r="BF45" s="816"/>
      <c r="BG45" s="816"/>
      <c r="BH45" s="816"/>
      <c r="BI45" s="532"/>
      <c r="BJ45" s="532"/>
      <c r="BK45" s="9"/>
      <c r="BL45" s="9"/>
      <c r="BM45" s="9"/>
      <c r="BN45" s="9"/>
      <c r="BO45" s="9"/>
      <c r="BP45" s="9"/>
      <c r="BQ45" s="9"/>
      <c r="BR45" s="9"/>
      <c r="BS45" s="86"/>
      <c r="BT45" s="9"/>
      <c r="BU45" s="9"/>
      <c r="BV45" s="9"/>
      <c r="BW45" s="9"/>
      <c r="BX45" s="9"/>
      <c r="BY45" s="9"/>
      <c r="BZ45" s="9"/>
      <c r="CA45" s="128"/>
      <c r="CB45" s="9"/>
      <c r="CC45" s="9"/>
    </row>
    <row r="46" spans="1:81" ht="18.75" x14ac:dyDescent="0.3">
      <c r="C46" s="2205"/>
      <c r="D46" s="2206"/>
      <c r="E46" s="2206"/>
      <c r="F46" s="2206"/>
      <c r="G46" s="2206"/>
      <c r="H46" s="2206"/>
      <c r="I46" s="2206"/>
      <c r="J46" s="2206"/>
      <c r="K46" s="2206"/>
      <c r="L46" s="2206"/>
      <c r="M46" s="2206"/>
      <c r="N46" s="2206"/>
      <c r="O46" s="2206"/>
      <c r="P46" s="2206"/>
      <c r="Q46" s="2206"/>
      <c r="R46" s="2206"/>
      <c r="S46" s="2206"/>
      <c r="T46" s="2206"/>
      <c r="U46" s="2206"/>
      <c r="V46" s="2206"/>
      <c r="W46" s="2206"/>
      <c r="X46" s="2206"/>
      <c r="Y46" s="2206"/>
      <c r="Z46" s="2206"/>
      <c r="AA46" s="2206"/>
      <c r="AB46" s="816"/>
      <c r="AC46" s="816"/>
      <c r="AD46" s="816"/>
      <c r="AE46" s="816"/>
      <c r="AF46" s="816"/>
      <c r="AG46" s="816"/>
      <c r="AH46" s="816"/>
      <c r="AI46" s="816"/>
      <c r="AJ46" s="816"/>
      <c r="AK46" s="816"/>
      <c r="AL46" s="816"/>
      <c r="AM46" s="816"/>
      <c r="AN46" s="816"/>
      <c r="AO46" s="816"/>
      <c r="AP46" s="816"/>
      <c r="AQ46" s="816"/>
      <c r="AR46" s="816"/>
      <c r="AS46" s="816"/>
      <c r="AT46" s="816"/>
      <c r="AU46" s="816"/>
      <c r="AV46" s="816"/>
      <c r="AW46" s="816"/>
      <c r="AX46" s="816"/>
      <c r="AY46" s="816"/>
      <c r="AZ46" s="816"/>
      <c r="BA46" s="816"/>
      <c r="BB46" s="816"/>
      <c r="BC46" s="816"/>
      <c r="BD46" s="816"/>
      <c r="BE46" s="816"/>
      <c r="BF46" s="816"/>
      <c r="BG46" s="816"/>
      <c r="BH46" s="816"/>
      <c r="BI46" s="532"/>
      <c r="BJ46" s="532"/>
    </row>
    <row r="47" spans="1:81" ht="21.75" customHeight="1" x14ac:dyDescent="0.25">
      <c r="C47" s="825" t="s">
        <v>53</v>
      </c>
      <c r="D47" s="825"/>
      <c r="E47" s="825"/>
      <c r="F47" s="825"/>
      <c r="G47" s="825"/>
      <c r="H47" s="825"/>
      <c r="I47" s="825"/>
      <c r="J47" s="825"/>
      <c r="K47" s="825"/>
      <c r="L47" s="825"/>
      <c r="M47" s="825"/>
      <c r="N47" s="825"/>
      <c r="O47" s="825"/>
      <c r="P47" s="825"/>
      <c r="Q47" s="825"/>
      <c r="R47" s="825"/>
      <c r="S47" s="825"/>
      <c r="T47" s="825"/>
      <c r="U47" s="825"/>
      <c r="V47" s="825"/>
      <c r="W47" s="825"/>
      <c r="X47" s="825"/>
      <c r="Y47" s="825"/>
      <c r="Z47" s="825"/>
      <c r="AA47" s="825"/>
      <c r="AB47" s="816"/>
      <c r="AC47" s="816"/>
      <c r="AD47" s="816"/>
      <c r="AE47" s="816"/>
      <c r="AF47" s="816"/>
      <c r="AG47" s="816"/>
      <c r="AH47" s="816"/>
      <c r="AI47" s="816"/>
      <c r="AJ47" s="816"/>
      <c r="AK47" s="816"/>
      <c r="AL47" s="816"/>
      <c r="AM47" s="816"/>
      <c r="AN47" s="816"/>
      <c r="AO47" s="816"/>
      <c r="AP47" s="816"/>
      <c r="AQ47" s="816"/>
      <c r="AR47" s="816"/>
      <c r="AS47" s="816"/>
      <c r="AT47" s="816"/>
      <c r="AU47" s="816"/>
      <c r="AV47" s="816"/>
      <c r="AW47" s="816"/>
      <c r="AX47" s="816"/>
      <c r="AY47" s="816"/>
      <c r="AZ47" s="816"/>
      <c r="BA47" s="816"/>
      <c r="BB47" s="816"/>
      <c r="BC47" s="816"/>
      <c r="BD47" s="816"/>
      <c r="BE47" s="816"/>
      <c r="BF47" s="816"/>
      <c r="BG47" s="816"/>
      <c r="BH47" s="816"/>
      <c r="BI47" s="532"/>
      <c r="BJ47" s="532"/>
      <c r="BK47" s="2193"/>
      <c r="BL47" s="2193"/>
      <c r="BM47" s="2193"/>
      <c r="BN47" s="2193"/>
      <c r="BO47" s="1335"/>
      <c r="BP47" s="1335"/>
      <c r="BQ47" s="1335"/>
      <c r="BR47" s="1335"/>
      <c r="BS47" s="78"/>
      <c r="BT47" s="1335"/>
      <c r="BU47" s="1336"/>
      <c r="BV47" s="1336"/>
      <c r="BW47" s="2192"/>
      <c r="BX47" s="2192"/>
      <c r="BY47" s="2192"/>
      <c r="BZ47" s="2192"/>
      <c r="CA47" s="1333"/>
      <c r="CB47" s="1334"/>
    </row>
    <row r="48" spans="1:81" s="124" customFormat="1" ht="18" x14ac:dyDescent="0.25">
      <c r="A48"/>
      <c r="B48"/>
      <c r="C48" s="825"/>
      <c r="D48" s="825"/>
      <c r="E48" s="825"/>
      <c r="F48" s="825"/>
      <c r="G48" s="825"/>
      <c r="H48" s="825"/>
      <c r="I48" s="1571"/>
      <c r="J48" s="1571"/>
      <c r="K48" s="1571"/>
      <c r="L48" s="1571"/>
      <c r="M48" s="1571"/>
      <c r="N48" s="1571"/>
      <c r="O48" s="1571"/>
      <c r="P48" s="1571"/>
      <c r="Q48" s="1571"/>
      <c r="R48" s="1571"/>
      <c r="S48" s="1571"/>
      <c r="T48" s="1571"/>
      <c r="U48" s="1571"/>
      <c r="V48" s="1571"/>
      <c r="W48" s="1571"/>
      <c r="X48" s="1571"/>
      <c r="Y48" s="1571"/>
      <c r="Z48" s="1571"/>
      <c r="AA48" s="1571"/>
      <c r="AB48" s="1571"/>
      <c r="AC48" s="1571"/>
      <c r="AD48" s="1571"/>
      <c r="AE48" s="1571"/>
      <c r="AF48" s="1571"/>
      <c r="AG48" s="1571"/>
      <c r="AH48" s="1571"/>
      <c r="AI48" s="1571"/>
      <c r="AJ48" s="1571"/>
      <c r="AK48" s="1571"/>
      <c r="AL48" s="816"/>
      <c r="AM48" s="816"/>
      <c r="AN48" s="816"/>
      <c r="AO48" s="816"/>
      <c r="AP48" s="816"/>
      <c r="AQ48" s="816"/>
      <c r="AR48" s="816"/>
      <c r="AS48" s="816"/>
      <c r="AT48" s="816"/>
      <c r="AU48" s="816"/>
      <c r="AV48" s="816"/>
      <c r="AW48" s="816"/>
      <c r="AX48" s="816"/>
      <c r="AY48" s="816"/>
      <c r="AZ48" s="816"/>
      <c r="BA48" s="816"/>
      <c r="BB48" s="816"/>
      <c r="BC48" s="816"/>
      <c r="BD48" s="816"/>
      <c r="BE48" s="816"/>
      <c r="BF48" s="816"/>
      <c r="BG48" s="816"/>
      <c r="BH48" s="816"/>
      <c r="BI48" s="534"/>
      <c r="BJ48" s="534"/>
      <c r="BK48" s="66"/>
      <c r="BL48" s="66"/>
      <c r="BM48" s="66"/>
      <c r="BN48" s="66"/>
      <c r="BO48" s="66"/>
      <c r="BP48" s="66"/>
      <c r="BQ48" s="66"/>
      <c r="BR48" s="30"/>
      <c r="BS48" s="35"/>
      <c r="BT48" s="30"/>
      <c r="BU48" s="67"/>
      <c r="BV48" s="67"/>
      <c r="BW48" s="68"/>
      <c r="BX48" s="67"/>
      <c r="BY48" s="68"/>
      <c r="BZ48" s="67"/>
      <c r="CA48" s="126"/>
      <c r="CB48" s="35"/>
    </row>
    <row r="49" spans="1:80" s="124" customFormat="1" ht="27.75" customHeight="1" x14ac:dyDescent="0.25">
      <c r="A49" s="2017" t="s">
        <v>0</v>
      </c>
      <c r="B49" s="2020"/>
      <c r="C49" s="2197" t="s">
        <v>184</v>
      </c>
      <c r="D49" s="2197" t="s">
        <v>54</v>
      </c>
      <c r="E49" s="2197" t="s">
        <v>55</v>
      </c>
      <c r="F49" s="2197" t="s">
        <v>56</v>
      </c>
      <c r="G49" s="2197" t="s">
        <v>57</v>
      </c>
      <c r="H49" s="2197" t="s">
        <v>6</v>
      </c>
      <c r="I49" s="1571"/>
      <c r="J49" s="1571"/>
      <c r="K49" s="1571"/>
      <c r="L49" s="1571"/>
      <c r="M49" s="1571"/>
      <c r="N49" s="1571"/>
      <c r="O49" s="1571"/>
      <c r="P49" s="1571"/>
      <c r="Q49" s="1571"/>
      <c r="R49" s="1571"/>
      <c r="S49" s="1571"/>
      <c r="T49" s="1571"/>
      <c r="U49" s="1571"/>
      <c r="V49" s="1571"/>
      <c r="W49" s="1571"/>
      <c r="X49" s="1571"/>
      <c r="Y49" s="1571"/>
      <c r="Z49" s="1571"/>
      <c r="AA49" s="1571"/>
      <c r="AB49" s="1571"/>
      <c r="AC49" s="1571"/>
      <c r="AD49" s="1571"/>
      <c r="AE49" s="1571"/>
      <c r="AF49" s="1571"/>
      <c r="AG49" s="1571"/>
      <c r="AH49" s="1571"/>
      <c r="AI49" s="1571"/>
      <c r="AJ49" s="1571"/>
      <c r="AK49" s="1571"/>
      <c r="AL49" s="816"/>
      <c r="AM49" s="816"/>
      <c r="AN49" s="816"/>
      <c r="AO49" s="816"/>
      <c r="AP49" s="816"/>
      <c r="AQ49" s="816"/>
      <c r="AR49" s="816"/>
      <c r="AS49" s="816"/>
      <c r="AT49" s="816"/>
      <c r="AU49" s="816"/>
      <c r="AV49" s="816"/>
      <c r="AW49" s="816"/>
      <c r="AX49" s="816"/>
      <c r="AY49" s="816"/>
      <c r="AZ49" s="816"/>
      <c r="BA49" s="816"/>
      <c r="BB49" s="816"/>
      <c r="BC49" s="816"/>
      <c r="BD49" s="816"/>
      <c r="BE49" s="816"/>
      <c r="BF49" s="816"/>
      <c r="BG49" s="816"/>
      <c r="BH49" s="816"/>
      <c r="BI49" s="534"/>
      <c r="BJ49" s="534"/>
      <c r="BK49" s="66"/>
      <c r="BL49" s="66"/>
      <c r="BM49" s="66"/>
      <c r="BN49" s="35"/>
      <c r="BO49" s="66"/>
      <c r="BP49" s="66"/>
      <c r="BQ49" s="66"/>
      <c r="BR49" s="30"/>
      <c r="BS49" s="35"/>
      <c r="BT49" s="30"/>
      <c r="BU49" s="67"/>
      <c r="BV49" s="67"/>
      <c r="BW49" s="68"/>
      <c r="BX49" s="67"/>
      <c r="BY49" s="68"/>
      <c r="BZ49" s="67"/>
      <c r="CA49" s="126"/>
      <c r="CB49" s="35"/>
    </row>
    <row r="50" spans="1:80" s="124" customFormat="1" ht="15" customHeight="1" x14ac:dyDescent="0.25">
      <c r="A50" s="2017"/>
      <c r="B50" s="2021"/>
      <c r="C50" s="2197"/>
      <c r="D50" s="2197"/>
      <c r="E50" s="2197"/>
      <c r="F50" s="2197"/>
      <c r="G50" s="2197"/>
      <c r="H50" s="2197"/>
      <c r="I50" s="1571"/>
      <c r="J50" s="1571"/>
      <c r="K50" s="1571"/>
      <c r="L50" s="1571"/>
      <c r="M50" s="1571"/>
      <c r="N50" s="1571"/>
      <c r="O50" s="1571"/>
      <c r="P50" s="1571"/>
      <c r="Q50" s="1571"/>
      <c r="R50" s="1571"/>
      <c r="S50" s="1571"/>
      <c r="T50" s="1571"/>
      <c r="U50" s="1571"/>
      <c r="V50" s="1571"/>
      <c r="W50" s="1571"/>
      <c r="X50" s="1571"/>
      <c r="Y50" s="1571"/>
      <c r="Z50" s="1571"/>
      <c r="AA50" s="1571"/>
      <c r="AB50" s="1571"/>
      <c r="AC50" s="1571"/>
      <c r="AD50" s="1571"/>
      <c r="AE50" s="1571"/>
      <c r="AF50" s="1571"/>
      <c r="AG50" s="1571"/>
      <c r="AH50" s="1571"/>
      <c r="AI50" s="1571"/>
      <c r="AJ50" s="1571"/>
      <c r="AK50" s="1571"/>
      <c r="AL50" s="816"/>
      <c r="AM50" s="816"/>
      <c r="AN50" s="816"/>
      <c r="AO50" s="816"/>
      <c r="AP50" s="816"/>
      <c r="AQ50" s="816"/>
      <c r="AR50" s="816"/>
      <c r="AS50" s="816"/>
      <c r="AT50" s="816"/>
      <c r="AU50" s="816"/>
      <c r="AV50" s="816"/>
      <c r="AW50" s="816"/>
      <c r="AX50" s="816"/>
      <c r="AY50" s="816"/>
      <c r="AZ50" s="816"/>
      <c r="BA50" s="816"/>
      <c r="BB50" s="816"/>
      <c r="BC50" s="816"/>
      <c r="BD50" s="816"/>
      <c r="BE50" s="816"/>
      <c r="BF50" s="816"/>
      <c r="BG50" s="816"/>
      <c r="BH50" s="816"/>
      <c r="BI50" s="534"/>
      <c r="BJ50" s="534"/>
      <c r="BK50" s="66"/>
      <c r="BL50" s="66"/>
      <c r="BM50" s="66"/>
      <c r="BN50" s="35"/>
      <c r="BO50" s="66"/>
      <c r="BP50" s="66"/>
      <c r="BQ50" s="66"/>
      <c r="BR50" s="30"/>
      <c r="BS50" s="35"/>
      <c r="BT50" s="30"/>
      <c r="BU50" s="67"/>
      <c r="BV50" s="67"/>
      <c r="BW50" s="68"/>
      <c r="BX50" s="67"/>
      <c r="BY50" s="68"/>
      <c r="BZ50" s="67"/>
      <c r="CA50" s="126"/>
      <c r="CB50" s="35"/>
    </row>
    <row r="51" spans="1:80" s="124" customFormat="1" ht="15" customHeight="1" x14ac:dyDescent="0.25">
      <c r="A51" s="16">
        <v>1</v>
      </c>
      <c r="B51" s="574">
        <v>42491</v>
      </c>
      <c r="C51" s="424" t="s">
        <v>58</v>
      </c>
      <c r="D51" s="675">
        <v>1976</v>
      </c>
      <c r="E51" s="675">
        <v>3</v>
      </c>
      <c r="F51" s="675">
        <v>24</v>
      </c>
      <c r="G51" s="675">
        <v>97</v>
      </c>
      <c r="H51" s="676">
        <v>1461.2</v>
      </c>
      <c r="I51" s="1571"/>
      <c r="J51" s="1571"/>
      <c r="K51" s="1571"/>
      <c r="L51" s="1571"/>
      <c r="M51" s="1571"/>
      <c r="N51" s="1571"/>
      <c r="O51" s="1571"/>
      <c r="P51" s="1571"/>
      <c r="Q51" s="1571"/>
      <c r="R51" s="1571"/>
      <c r="S51" s="1571"/>
      <c r="T51" s="1571"/>
      <c r="U51" s="1571"/>
      <c r="V51" s="1571"/>
      <c r="W51" s="1571"/>
      <c r="X51" s="1571"/>
      <c r="Y51" s="1571"/>
      <c r="Z51" s="1571"/>
      <c r="AA51" s="1571"/>
      <c r="AB51" s="1571"/>
      <c r="AC51" s="1571"/>
      <c r="AD51" s="1571"/>
      <c r="AE51" s="1571"/>
      <c r="AF51" s="1571"/>
      <c r="AG51" s="1571"/>
      <c r="AH51" s="1571"/>
      <c r="AI51" s="1571"/>
      <c r="AJ51" s="1571"/>
      <c r="AK51" s="1571"/>
      <c r="AL51" s="816"/>
      <c r="AM51" s="816"/>
      <c r="AN51" s="816"/>
      <c r="AO51" s="816"/>
      <c r="AP51" s="816"/>
      <c r="AQ51" s="816"/>
      <c r="AR51" s="816"/>
      <c r="AS51" s="816"/>
      <c r="AT51" s="816"/>
      <c r="AU51" s="816"/>
      <c r="AV51" s="816"/>
      <c r="AW51" s="816"/>
      <c r="AX51" s="816"/>
      <c r="AY51" s="816"/>
      <c r="AZ51" s="816"/>
      <c r="BA51" s="816"/>
      <c r="BB51" s="816"/>
      <c r="BC51" s="816"/>
      <c r="BD51" s="816"/>
      <c r="BE51" s="816"/>
      <c r="BF51" s="816"/>
      <c r="BG51" s="816"/>
      <c r="BH51" s="816"/>
      <c r="BI51" s="534"/>
      <c r="BJ51" s="534"/>
      <c r="BK51" s="66"/>
      <c r="BL51" s="66"/>
      <c r="BM51" s="66"/>
      <c r="BN51" s="35"/>
      <c r="BO51" s="66"/>
      <c r="BP51" s="66"/>
      <c r="BQ51" s="66"/>
      <c r="BR51" s="30"/>
      <c r="BS51" s="35"/>
      <c r="BT51" s="30"/>
      <c r="BU51" s="67"/>
      <c r="BV51" s="67"/>
      <c r="BW51" s="68"/>
      <c r="BX51" s="67"/>
      <c r="BY51" s="68"/>
      <c r="BZ51" s="67"/>
      <c r="CA51" s="126"/>
      <c r="CB51" s="35"/>
    </row>
    <row r="52" spans="1:80" s="124" customFormat="1" ht="15" customHeight="1" x14ac:dyDescent="0.25">
      <c r="A52" s="16">
        <v>2</v>
      </c>
      <c r="B52" s="16"/>
      <c r="C52" s="424" t="s">
        <v>59</v>
      </c>
      <c r="D52" s="675">
        <v>1977</v>
      </c>
      <c r="E52" s="675">
        <v>3</v>
      </c>
      <c r="F52" s="675">
        <v>24</v>
      </c>
      <c r="G52" s="675">
        <v>81</v>
      </c>
      <c r="H52" s="676">
        <v>1456.7</v>
      </c>
      <c r="I52" s="1571"/>
      <c r="J52" s="1571"/>
      <c r="K52" s="1571"/>
      <c r="L52" s="1571"/>
      <c r="M52" s="1571"/>
      <c r="N52" s="1571"/>
      <c r="O52" s="1571"/>
      <c r="P52" s="1571"/>
      <c r="Q52" s="1571"/>
      <c r="R52" s="1571"/>
      <c r="S52" s="1571"/>
      <c r="T52" s="1571"/>
      <c r="U52" s="1571"/>
      <c r="V52" s="1571"/>
      <c r="W52" s="1571"/>
      <c r="X52" s="1571"/>
      <c r="Y52" s="1571"/>
      <c r="Z52" s="1571"/>
      <c r="AA52" s="1571"/>
      <c r="AB52" s="1571"/>
      <c r="AC52" s="1571"/>
      <c r="AD52" s="1571"/>
      <c r="AE52" s="1571"/>
      <c r="AF52" s="1571"/>
      <c r="AG52" s="1571"/>
      <c r="AH52" s="1571"/>
      <c r="AI52" s="1571"/>
      <c r="AJ52" s="1571"/>
      <c r="AK52" s="1571"/>
      <c r="AL52" s="816"/>
      <c r="AM52" s="816"/>
      <c r="AN52" s="816"/>
      <c r="AO52" s="816"/>
      <c r="AP52" s="816"/>
      <c r="AQ52" s="816"/>
      <c r="AR52" s="816"/>
      <c r="AS52" s="816"/>
      <c r="AT52" s="816"/>
      <c r="AU52" s="816"/>
      <c r="AV52" s="816"/>
      <c r="AW52" s="816"/>
      <c r="AX52" s="816"/>
      <c r="AY52" s="816"/>
      <c r="AZ52" s="816"/>
      <c r="BA52" s="816"/>
      <c r="BB52" s="816"/>
      <c r="BC52" s="816"/>
      <c r="BD52" s="816"/>
      <c r="BE52" s="816"/>
      <c r="BF52" s="816"/>
      <c r="BG52" s="816"/>
      <c r="BH52" s="816"/>
      <c r="BI52" s="534"/>
      <c r="BJ52" s="534"/>
      <c r="BK52" s="66"/>
      <c r="BL52" s="66"/>
      <c r="BM52" s="66"/>
      <c r="BN52" s="35"/>
      <c r="BO52" s="66"/>
      <c r="BP52" s="66"/>
      <c r="BQ52" s="66"/>
      <c r="BR52" s="30"/>
      <c r="BS52" s="35"/>
      <c r="BT52" s="30"/>
      <c r="BU52" s="67"/>
      <c r="BV52" s="67"/>
      <c r="BW52" s="68"/>
      <c r="BX52" s="67"/>
      <c r="BY52" s="68"/>
      <c r="BZ52" s="67"/>
      <c r="CA52" s="126"/>
      <c r="CB52" s="35"/>
    </row>
    <row r="53" spans="1:80" s="124" customFormat="1" ht="15" customHeight="1" x14ac:dyDescent="0.25">
      <c r="A53" s="16">
        <v>3</v>
      </c>
      <c r="B53" s="16"/>
      <c r="C53" s="424" t="s">
        <v>60</v>
      </c>
      <c r="D53" s="675">
        <v>1972</v>
      </c>
      <c r="E53" s="675">
        <v>2</v>
      </c>
      <c r="F53" s="675">
        <v>18</v>
      </c>
      <c r="G53" s="675">
        <v>57</v>
      </c>
      <c r="H53" s="676">
        <v>776.8</v>
      </c>
      <c r="I53" s="1571"/>
      <c r="J53" s="1571"/>
      <c r="K53" s="1571"/>
      <c r="L53" s="1571"/>
      <c r="M53" s="1571"/>
      <c r="N53" s="1571"/>
      <c r="O53" s="1571"/>
      <c r="P53" s="1571"/>
      <c r="Q53" s="1571"/>
      <c r="R53" s="1571"/>
      <c r="S53" s="1571"/>
      <c r="T53" s="1571"/>
      <c r="U53" s="1571"/>
      <c r="V53" s="1571"/>
      <c r="W53" s="1571"/>
      <c r="X53" s="1571"/>
      <c r="Y53" s="1571"/>
      <c r="Z53" s="1571"/>
      <c r="AA53" s="1571"/>
      <c r="AB53" s="1571"/>
      <c r="AC53" s="1571"/>
      <c r="AD53" s="1571"/>
      <c r="AE53" s="1571"/>
      <c r="AF53" s="1571"/>
      <c r="AG53" s="1571"/>
      <c r="AH53" s="1571"/>
      <c r="AI53" s="1571"/>
      <c r="AJ53" s="1571"/>
      <c r="AK53" s="1571"/>
      <c r="AL53" s="816"/>
      <c r="AM53" s="816"/>
      <c r="AN53" s="816"/>
      <c r="AO53" s="816"/>
      <c r="AP53" s="816"/>
      <c r="AQ53" s="816"/>
      <c r="AR53" s="816"/>
      <c r="AS53" s="816"/>
      <c r="AT53" s="816"/>
      <c r="AU53" s="816"/>
      <c r="AV53" s="816"/>
      <c r="AW53" s="816"/>
      <c r="AX53" s="816"/>
      <c r="AY53" s="816"/>
      <c r="AZ53" s="816"/>
      <c r="BA53" s="816"/>
      <c r="BB53" s="816"/>
      <c r="BC53" s="816"/>
      <c r="BD53" s="816"/>
      <c r="BE53" s="816"/>
      <c r="BF53" s="816"/>
      <c r="BG53" s="816"/>
      <c r="BH53" s="816"/>
      <c r="BI53" s="534"/>
      <c r="BJ53" s="534"/>
      <c r="BK53" s="66"/>
      <c r="BL53" s="66"/>
      <c r="BM53" s="66"/>
      <c r="BN53" s="35"/>
      <c r="BO53" s="66"/>
      <c r="BP53" s="66"/>
      <c r="BQ53" s="66"/>
      <c r="BR53" s="30"/>
      <c r="BS53" s="35"/>
      <c r="BT53" s="30"/>
      <c r="BU53" s="67"/>
      <c r="BV53" s="67"/>
      <c r="BW53" s="68"/>
      <c r="BX53" s="67"/>
      <c r="BY53" s="68"/>
      <c r="BZ53" s="67"/>
      <c r="CA53" s="126"/>
      <c r="CB53" s="35"/>
    </row>
    <row r="54" spans="1:80" s="124" customFormat="1" ht="15" customHeight="1" x14ac:dyDescent="0.25">
      <c r="A54" s="16">
        <v>4</v>
      </c>
      <c r="B54" s="16"/>
      <c r="C54" s="424" t="s">
        <v>318</v>
      </c>
      <c r="D54" s="675">
        <v>1973</v>
      </c>
      <c r="E54" s="675">
        <v>2</v>
      </c>
      <c r="F54" s="675">
        <v>18</v>
      </c>
      <c r="G54" s="675">
        <v>49</v>
      </c>
      <c r="H54" s="676">
        <v>773.51</v>
      </c>
      <c r="I54" s="1571"/>
      <c r="J54" s="1571"/>
      <c r="K54" s="1571"/>
      <c r="L54" s="1571"/>
      <c r="M54" s="1571"/>
      <c r="N54" s="1571"/>
      <c r="O54" s="1571"/>
      <c r="P54" s="1571"/>
      <c r="Q54" s="1571"/>
      <c r="R54" s="1571"/>
      <c r="S54" s="1571"/>
      <c r="T54" s="1571"/>
      <c r="U54" s="1571"/>
      <c r="V54" s="1571"/>
      <c r="W54" s="1571"/>
      <c r="X54" s="1571"/>
      <c r="Y54" s="1571"/>
      <c r="Z54" s="1571"/>
      <c r="AA54" s="1571"/>
      <c r="AB54" s="1571"/>
      <c r="AC54" s="1571"/>
      <c r="AD54" s="1571"/>
      <c r="AE54" s="1571"/>
      <c r="AF54" s="1571"/>
      <c r="AG54" s="1571"/>
      <c r="AH54" s="1571"/>
      <c r="AI54" s="1571"/>
      <c r="AJ54" s="1571"/>
      <c r="AK54" s="1571"/>
      <c r="AL54" s="816"/>
      <c r="AM54" s="816"/>
      <c r="AN54" s="816"/>
      <c r="AO54" s="816"/>
      <c r="AP54" s="816"/>
      <c r="AQ54" s="816"/>
      <c r="AR54" s="816"/>
      <c r="AS54" s="816"/>
      <c r="AT54" s="816"/>
      <c r="AU54" s="816"/>
      <c r="AV54" s="816"/>
      <c r="AW54" s="816"/>
      <c r="AX54" s="816"/>
      <c r="AY54" s="816"/>
      <c r="AZ54" s="816"/>
      <c r="BA54" s="816"/>
      <c r="BB54" s="816"/>
      <c r="BC54" s="816"/>
      <c r="BD54" s="816"/>
      <c r="BE54" s="816"/>
      <c r="BF54" s="816"/>
      <c r="BG54" s="816"/>
      <c r="BH54" s="816"/>
      <c r="BI54" s="534"/>
      <c r="BJ54" s="534"/>
      <c r="BK54" s="66"/>
      <c r="BL54" s="66"/>
      <c r="BM54" s="66"/>
      <c r="BN54" s="35"/>
      <c r="BO54" s="66"/>
      <c r="BP54" s="66"/>
      <c r="BQ54" s="66"/>
      <c r="BR54" s="30"/>
      <c r="BS54" s="35"/>
      <c r="BT54" s="30"/>
      <c r="BU54" s="67"/>
      <c r="BV54" s="67"/>
      <c r="BW54" s="68"/>
      <c r="BX54" s="67"/>
      <c r="BY54" s="68"/>
      <c r="BZ54" s="67"/>
      <c r="CA54" s="126"/>
      <c r="CB54" s="35"/>
    </row>
    <row r="55" spans="1:80" s="124" customFormat="1" ht="15" customHeight="1" x14ac:dyDescent="0.25">
      <c r="A55" s="16">
        <v>5</v>
      </c>
      <c r="B55" s="16"/>
      <c r="C55" s="424" t="s">
        <v>62</v>
      </c>
      <c r="D55" s="675">
        <v>1980</v>
      </c>
      <c r="E55" s="675">
        <v>3</v>
      </c>
      <c r="F55" s="675">
        <v>36</v>
      </c>
      <c r="G55" s="675">
        <v>93</v>
      </c>
      <c r="H55" s="676">
        <v>1799.9</v>
      </c>
      <c r="I55" s="1571"/>
      <c r="J55" s="1571"/>
      <c r="K55" s="1571"/>
      <c r="L55" s="1571"/>
      <c r="M55" s="1571"/>
      <c r="N55" s="1571"/>
      <c r="O55" s="1571"/>
      <c r="P55" s="1571"/>
      <c r="Q55" s="1571"/>
      <c r="R55" s="1571"/>
      <c r="S55" s="1571"/>
      <c r="T55" s="1571"/>
      <c r="U55" s="1571"/>
      <c r="V55" s="1571"/>
      <c r="W55" s="1571"/>
      <c r="X55" s="1571"/>
      <c r="Y55" s="1571"/>
      <c r="Z55" s="1571"/>
      <c r="AA55" s="1571"/>
      <c r="AB55" s="1571"/>
      <c r="AC55" s="1571"/>
      <c r="AD55" s="1571"/>
      <c r="AE55" s="1571"/>
      <c r="AF55" s="1571"/>
      <c r="AG55" s="1571"/>
      <c r="AH55" s="1571"/>
      <c r="AI55" s="1571"/>
      <c r="AJ55" s="1571"/>
      <c r="AK55" s="1571"/>
      <c r="AL55" s="816"/>
      <c r="AM55" s="816"/>
      <c r="AN55" s="816"/>
      <c r="AO55" s="816"/>
      <c r="AP55" s="816"/>
      <c r="AQ55" s="816"/>
      <c r="AR55" s="816"/>
      <c r="AS55" s="816"/>
      <c r="AT55" s="816"/>
      <c r="AU55" s="816"/>
      <c r="AV55" s="816"/>
      <c r="AW55" s="816"/>
      <c r="AX55" s="816"/>
      <c r="AY55" s="816"/>
      <c r="AZ55" s="816"/>
      <c r="BA55" s="816"/>
      <c r="BB55" s="816"/>
      <c r="BC55" s="816"/>
      <c r="BD55" s="816"/>
      <c r="BE55" s="816"/>
      <c r="BF55" s="816"/>
      <c r="BG55" s="816"/>
      <c r="BH55" s="816"/>
      <c r="BI55" s="534"/>
      <c r="BJ55" s="534"/>
      <c r="BK55" s="66"/>
      <c r="BL55" s="66"/>
      <c r="BM55" s="66"/>
      <c r="BN55" s="35"/>
      <c r="BO55" s="66"/>
      <c r="BP55" s="66"/>
      <c r="BQ55" s="66"/>
      <c r="BR55" s="30"/>
      <c r="BS55" s="35"/>
      <c r="BT55" s="30"/>
      <c r="BU55" s="67"/>
      <c r="BV55" s="67"/>
      <c r="BW55" s="68"/>
      <c r="BX55" s="67"/>
      <c r="BY55" s="68"/>
      <c r="BZ55" s="67"/>
      <c r="CA55" s="126"/>
      <c r="CB55" s="35"/>
    </row>
    <row r="56" spans="1:80" s="124" customFormat="1" ht="15" customHeight="1" x14ac:dyDescent="0.25">
      <c r="A56" s="16">
        <v>6</v>
      </c>
      <c r="B56" s="16"/>
      <c r="C56" s="424" t="s">
        <v>63</v>
      </c>
      <c r="D56" s="675">
        <v>1982</v>
      </c>
      <c r="E56" s="675">
        <v>3</v>
      </c>
      <c r="F56" s="675">
        <v>24</v>
      </c>
      <c r="G56" s="675">
        <v>84</v>
      </c>
      <c r="H56" s="676">
        <v>1454.5</v>
      </c>
      <c r="I56" s="1571"/>
      <c r="J56" s="1571"/>
      <c r="K56" s="1571"/>
      <c r="L56" s="1571"/>
      <c r="M56" s="1571"/>
      <c r="N56" s="1571"/>
      <c r="O56" s="1571"/>
      <c r="P56" s="1571"/>
      <c r="Q56" s="1571"/>
      <c r="R56" s="1571"/>
      <c r="S56" s="1571"/>
      <c r="T56" s="1571"/>
      <c r="U56" s="1571"/>
      <c r="V56" s="1571"/>
      <c r="W56" s="1571"/>
      <c r="X56" s="1571"/>
      <c r="Y56" s="1571"/>
      <c r="Z56" s="1571"/>
      <c r="AA56" s="1571"/>
      <c r="AB56" s="1571"/>
      <c r="AC56" s="1571"/>
      <c r="AD56" s="1571"/>
      <c r="AE56" s="1571"/>
      <c r="AF56" s="1571"/>
      <c r="AG56" s="1571"/>
      <c r="AH56" s="1571"/>
      <c r="AI56" s="1571"/>
      <c r="AJ56" s="1571"/>
      <c r="AK56" s="1571"/>
      <c r="AL56" s="816"/>
      <c r="AM56" s="816"/>
      <c r="AN56" s="816"/>
      <c r="AO56" s="816"/>
      <c r="AP56" s="816"/>
      <c r="AQ56" s="816"/>
      <c r="AR56" s="816"/>
      <c r="AS56" s="816"/>
      <c r="AT56" s="816"/>
      <c r="AU56" s="816"/>
      <c r="AV56" s="816"/>
      <c r="AW56" s="816"/>
      <c r="AX56" s="816"/>
      <c r="AY56" s="816"/>
      <c r="AZ56" s="816"/>
      <c r="BA56" s="816"/>
      <c r="BB56" s="816"/>
      <c r="BC56" s="816"/>
      <c r="BD56" s="816"/>
      <c r="BE56" s="816"/>
      <c r="BF56" s="816"/>
      <c r="BG56" s="816"/>
      <c r="BH56" s="816"/>
      <c r="BI56" s="534"/>
      <c r="BJ56" s="534"/>
      <c r="BK56" s="66"/>
      <c r="BL56" s="66"/>
      <c r="BM56" s="66"/>
      <c r="BN56" s="35"/>
      <c r="BO56" s="66"/>
      <c r="BP56" s="66"/>
      <c r="BQ56" s="66"/>
      <c r="BR56" s="30"/>
      <c r="BS56" s="35"/>
      <c r="BT56" s="30"/>
      <c r="BU56" s="67"/>
      <c r="BV56" s="67"/>
      <c r="BW56" s="68"/>
      <c r="BX56" s="67"/>
      <c r="BY56" s="68"/>
      <c r="BZ56" s="67"/>
      <c r="CA56" s="126"/>
      <c r="CB56" s="35"/>
    </row>
    <row r="57" spans="1:80" s="124" customFormat="1" ht="15" customHeight="1" x14ac:dyDescent="0.25">
      <c r="A57" s="16">
        <v>7</v>
      </c>
      <c r="B57" s="16"/>
      <c r="C57" s="424" t="s">
        <v>64</v>
      </c>
      <c r="D57" s="675">
        <v>1982</v>
      </c>
      <c r="E57" s="675">
        <v>3</v>
      </c>
      <c r="F57" s="675">
        <v>24</v>
      </c>
      <c r="G57" s="675">
        <v>95</v>
      </c>
      <c r="H57" s="676">
        <v>1458.3</v>
      </c>
      <c r="I57" s="1571"/>
      <c r="J57" s="1571"/>
      <c r="K57" s="1571"/>
      <c r="L57" s="1571"/>
      <c r="M57" s="1571"/>
      <c r="N57" s="1571"/>
      <c r="O57" s="1571"/>
      <c r="P57" s="1571"/>
      <c r="Q57" s="1571"/>
      <c r="R57" s="1571"/>
      <c r="S57" s="1571"/>
      <c r="T57" s="1571"/>
      <c r="U57" s="1571"/>
      <c r="V57" s="1571"/>
      <c r="W57" s="1571"/>
      <c r="X57" s="1571"/>
      <c r="Y57" s="1571"/>
      <c r="Z57" s="1571"/>
      <c r="AA57" s="1571"/>
      <c r="AB57" s="1571"/>
      <c r="AC57" s="1571"/>
      <c r="AD57" s="1571"/>
      <c r="AE57" s="1571"/>
      <c r="AF57" s="1571"/>
      <c r="AG57" s="1571"/>
      <c r="AH57" s="1571"/>
      <c r="AI57" s="1571"/>
      <c r="AJ57" s="1571"/>
      <c r="AK57" s="1571"/>
      <c r="AL57" s="816"/>
      <c r="AM57" s="816"/>
      <c r="AN57" s="816"/>
      <c r="AO57" s="816"/>
      <c r="AP57" s="816"/>
      <c r="AQ57" s="816"/>
      <c r="AR57" s="816"/>
      <c r="AS57" s="816"/>
      <c r="AT57" s="816"/>
      <c r="AU57" s="816"/>
      <c r="AV57" s="816"/>
      <c r="AW57" s="816"/>
      <c r="AX57" s="816"/>
      <c r="AY57" s="816"/>
      <c r="AZ57" s="816"/>
      <c r="BA57" s="816"/>
      <c r="BB57" s="816"/>
      <c r="BC57" s="816"/>
      <c r="BD57" s="816"/>
      <c r="BE57" s="816"/>
      <c r="BF57" s="816"/>
      <c r="BG57" s="816"/>
      <c r="BH57" s="816"/>
      <c r="BI57" s="534"/>
      <c r="BJ57" s="534"/>
      <c r="BK57" s="66"/>
      <c r="BL57" s="66"/>
      <c r="BM57" s="66"/>
      <c r="BN57" s="35"/>
      <c r="BO57" s="66"/>
      <c r="BP57" s="66"/>
      <c r="BQ57" s="66"/>
      <c r="BR57" s="30"/>
      <c r="BS57" s="35"/>
      <c r="BT57" s="30"/>
      <c r="BU57" s="67"/>
      <c r="BV57" s="67"/>
      <c r="BW57" s="68"/>
      <c r="BX57" s="67"/>
      <c r="BY57" s="68"/>
      <c r="BZ57" s="67"/>
      <c r="CA57" s="126"/>
      <c r="CB57" s="35"/>
    </row>
    <row r="58" spans="1:80" s="124" customFormat="1" ht="15" customHeight="1" x14ac:dyDescent="0.25">
      <c r="A58" s="16">
        <v>8</v>
      </c>
      <c r="B58" s="16"/>
      <c r="C58" s="424" t="s">
        <v>65</v>
      </c>
      <c r="D58" s="675">
        <v>1983</v>
      </c>
      <c r="E58" s="675">
        <v>3</v>
      </c>
      <c r="F58" s="675">
        <v>24</v>
      </c>
      <c r="G58" s="675">
        <v>83</v>
      </c>
      <c r="H58" s="676">
        <v>1446.6</v>
      </c>
      <c r="I58" s="1571"/>
      <c r="J58" s="1571"/>
      <c r="K58" s="1571"/>
      <c r="L58" s="1571"/>
      <c r="M58" s="1571"/>
      <c r="N58" s="1571"/>
      <c r="O58" s="1571"/>
      <c r="P58" s="1571"/>
      <c r="Q58" s="1571"/>
      <c r="R58" s="1571"/>
      <c r="S58" s="1571"/>
      <c r="T58" s="1571"/>
      <c r="U58" s="1571"/>
      <c r="V58" s="1571"/>
      <c r="W58" s="1571"/>
      <c r="X58" s="1571"/>
      <c r="Y58" s="1571"/>
      <c r="Z58" s="1571"/>
      <c r="AA58" s="1571"/>
      <c r="AB58" s="1571"/>
      <c r="AC58" s="1571"/>
      <c r="AD58" s="1571"/>
      <c r="AE58" s="1571"/>
      <c r="AF58" s="1571"/>
      <c r="AG58" s="1571"/>
      <c r="AH58" s="1571"/>
      <c r="AI58" s="1571"/>
      <c r="AJ58" s="1571"/>
      <c r="AK58" s="1571"/>
      <c r="AL58" s="816"/>
      <c r="AM58" s="816"/>
      <c r="AN58" s="816"/>
      <c r="AO58" s="816"/>
      <c r="AP58" s="816"/>
      <c r="AQ58" s="816"/>
      <c r="AR58" s="816"/>
      <c r="AS58" s="816"/>
      <c r="AT58" s="816"/>
      <c r="AU58" s="816"/>
      <c r="AV58" s="816"/>
      <c r="AW58" s="816"/>
      <c r="AX58" s="816"/>
      <c r="AY58" s="816"/>
      <c r="AZ58" s="816"/>
      <c r="BA58" s="816"/>
      <c r="BB58" s="816"/>
      <c r="BC58" s="816"/>
      <c r="BD58" s="816"/>
      <c r="BE58" s="816"/>
      <c r="BF58" s="816"/>
      <c r="BG58" s="816"/>
      <c r="BH58" s="816"/>
      <c r="BI58" s="534"/>
      <c r="BJ58" s="534"/>
      <c r="BK58" s="66"/>
      <c r="BL58" s="66"/>
      <c r="BM58" s="66"/>
      <c r="BN58" s="35"/>
      <c r="BO58" s="66"/>
      <c r="BP58" s="66"/>
      <c r="BQ58" s="66"/>
      <c r="BR58" s="30"/>
      <c r="BS58" s="35"/>
      <c r="BT58" s="30"/>
      <c r="BU58" s="67"/>
      <c r="BV58" s="67"/>
      <c r="BW58" s="68"/>
      <c r="BX58" s="67"/>
      <c r="BY58" s="30"/>
      <c r="BZ58" s="67"/>
      <c r="CA58" s="126"/>
      <c r="CB58" s="35"/>
    </row>
    <row r="59" spans="1:80" s="124" customFormat="1" ht="15" customHeight="1" x14ac:dyDescent="0.25">
      <c r="A59" s="16">
        <v>9</v>
      </c>
      <c r="B59" s="16"/>
      <c r="C59" s="424" t="s">
        <v>66</v>
      </c>
      <c r="D59" s="675">
        <v>1984</v>
      </c>
      <c r="E59" s="675">
        <v>3</v>
      </c>
      <c r="F59" s="675">
        <v>24</v>
      </c>
      <c r="G59" s="675">
        <v>68</v>
      </c>
      <c r="H59" s="676">
        <v>1448</v>
      </c>
      <c r="I59" s="1571"/>
      <c r="J59" s="1571"/>
      <c r="K59" s="1571"/>
      <c r="L59" s="1571"/>
      <c r="M59" s="1571"/>
      <c r="N59" s="1571"/>
      <c r="O59" s="1571"/>
      <c r="P59" s="1571"/>
      <c r="Q59" s="1571"/>
      <c r="R59" s="1571"/>
      <c r="S59" s="1571"/>
      <c r="T59" s="1571"/>
      <c r="U59" s="1571"/>
      <c r="V59" s="1571"/>
      <c r="W59" s="1571"/>
      <c r="X59" s="1571"/>
      <c r="Y59" s="1571"/>
      <c r="Z59" s="1571"/>
      <c r="AA59" s="1571"/>
      <c r="AB59" s="1571"/>
      <c r="AC59" s="1571"/>
      <c r="AD59" s="1571"/>
      <c r="AE59" s="1571"/>
      <c r="AF59" s="1571"/>
      <c r="AG59" s="1571"/>
      <c r="AH59" s="1571"/>
      <c r="AI59" s="1571"/>
      <c r="AJ59" s="1571"/>
      <c r="AK59" s="1571"/>
      <c r="AL59" s="816"/>
      <c r="AM59" s="816"/>
      <c r="AN59" s="816"/>
      <c r="AO59" s="816"/>
      <c r="AP59" s="816"/>
      <c r="AQ59" s="816"/>
      <c r="AR59" s="816"/>
      <c r="AS59" s="816"/>
      <c r="AT59" s="816"/>
      <c r="AU59" s="816"/>
      <c r="AV59" s="816"/>
      <c r="AW59" s="816"/>
      <c r="AX59" s="816"/>
      <c r="AY59" s="816"/>
      <c r="AZ59" s="816"/>
      <c r="BA59" s="816"/>
      <c r="BB59" s="816"/>
      <c r="BC59" s="816"/>
      <c r="BD59" s="816"/>
      <c r="BE59" s="816"/>
      <c r="BF59" s="816"/>
      <c r="BG59" s="816"/>
      <c r="BH59" s="816"/>
      <c r="BI59" s="534"/>
      <c r="BJ59" s="534"/>
      <c r="BK59" s="66"/>
      <c r="BL59" s="66"/>
      <c r="BM59" s="66"/>
      <c r="BN59" s="35"/>
      <c r="BO59" s="66"/>
      <c r="BP59" s="66"/>
      <c r="BQ59" s="66"/>
      <c r="BR59" s="30"/>
      <c r="BS59" s="35"/>
      <c r="BT59" s="30"/>
      <c r="BU59" s="67"/>
      <c r="BV59" s="67"/>
      <c r="BW59" s="68"/>
      <c r="BX59" s="67"/>
      <c r="BY59" s="68"/>
      <c r="BZ59" s="67"/>
      <c r="CA59" s="126"/>
      <c r="CB59" s="35"/>
    </row>
    <row r="60" spans="1:80" s="124" customFormat="1" ht="15" customHeight="1" x14ac:dyDescent="0.25">
      <c r="A60" s="16">
        <v>10</v>
      </c>
      <c r="B60" s="16"/>
      <c r="C60" s="424" t="s">
        <v>67</v>
      </c>
      <c r="D60" s="675">
        <v>1987</v>
      </c>
      <c r="E60" s="675">
        <v>3</v>
      </c>
      <c r="F60" s="675">
        <v>27</v>
      </c>
      <c r="G60" s="675">
        <v>82</v>
      </c>
      <c r="H60" s="676">
        <v>1459.2</v>
      </c>
      <c r="I60" s="1571"/>
      <c r="J60" s="1571"/>
      <c r="K60" s="1571"/>
      <c r="L60" s="1571"/>
      <c r="M60" s="1571"/>
      <c r="N60" s="1571"/>
      <c r="O60" s="1571"/>
      <c r="P60" s="1571"/>
      <c r="Q60" s="1571"/>
      <c r="R60" s="1571"/>
      <c r="S60" s="1571"/>
      <c r="T60" s="1571"/>
      <c r="U60" s="1571"/>
      <c r="V60" s="1571"/>
      <c r="W60" s="1571"/>
      <c r="X60" s="1571"/>
      <c r="Y60" s="1571"/>
      <c r="Z60" s="1571"/>
      <c r="AA60" s="1571"/>
      <c r="AB60" s="1571"/>
      <c r="AC60" s="1571"/>
      <c r="AD60" s="1571"/>
      <c r="AE60" s="1571"/>
      <c r="AF60" s="1571"/>
      <c r="AG60" s="1571"/>
      <c r="AH60" s="1571"/>
      <c r="AI60" s="1571"/>
      <c r="AJ60" s="1571"/>
      <c r="AK60" s="1571"/>
      <c r="AL60" s="816"/>
      <c r="AM60" s="816"/>
      <c r="AN60" s="816"/>
      <c r="AO60" s="816"/>
      <c r="AP60" s="816"/>
      <c r="AQ60" s="816"/>
      <c r="AR60" s="816"/>
      <c r="AS60" s="816"/>
      <c r="AT60" s="816"/>
      <c r="AU60" s="816"/>
      <c r="AV60" s="816"/>
      <c r="AW60" s="816"/>
      <c r="AX60" s="816"/>
      <c r="AY60" s="816"/>
      <c r="AZ60" s="816"/>
      <c r="BA60" s="816"/>
      <c r="BB60" s="816"/>
      <c r="BC60" s="816"/>
      <c r="BD60" s="816"/>
      <c r="BE60" s="816"/>
      <c r="BF60" s="816"/>
      <c r="BG60" s="816"/>
      <c r="BH60" s="816"/>
      <c r="BI60" s="534"/>
      <c r="BJ60" s="534"/>
      <c r="BK60" s="66"/>
      <c r="BL60" s="66"/>
      <c r="BM60" s="66"/>
      <c r="BN60" s="35"/>
      <c r="BO60" s="66"/>
      <c r="BP60" s="66"/>
      <c r="BQ60" s="66"/>
      <c r="BR60" s="30"/>
      <c r="BS60" s="35"/>
      <c r="BT60" s="30"/>
      <c r="BU60" s="67"/>
      <c r="BV60" s="67"/>
      <c r="BW60" s="68"/>
      <c r="BX60" s="67"/>
      <c r="BY60" s="68"/>
      <c r="BZ60" s="67"/>
      <c r="CA60" s="126"/>
      <c r="CB60" s="35"/>
    </row>
    <row r="61" spans="1:80" s="124" customFormat="1" ht="15" customHeight="1" x14ac:dyDescent="0.25">
      <c r="A61" s="16">
        <v>11</v>
      </c>
      <c r="B61" s="16"/>
      <c r="C61" s="424" t="s">
        <v>72</v>
      </c>
      <c r="D61" s="675">
        <v>1968</v>
      </c>
      <c r="E61" s="675">
        <v>2</v>
      </c>
      <c r="F61" s="675">
        <v>16</v>
      </c>
      <c r="G61" s="675">
        <v>36</v>
      </c>
      <c r="H61" s="676">
        <v>722.8</v>
      </c>
      <c r="I61" s="1571"/>
      <c r="J61" s="1571"/>
      <c r="K61" s="1571"/>
      <c r="L61" s="1571"/>
      <c r="M61" s="1571"/>
      <c r="N61" s="1571"/>
      <c r="O61" s="1571"/>
      <c r="P61" s="1571"/>
      <c r="Q61" s="1571"/>
      <c r="R61" s="1571"/>
      <c r="S61" s="1571"/>
      <c r="T61" s="1571"/>
      <c r="U61" s="1571"/>
      <c r="V61" s="1571"/>
      <c r="W61" s="1571"/>
      <c r="X61" s="1571"/>
      <c r="Y61" s="1571"/>
      <c r="Z61" s="1571"/>
      <c r="AA61" s="1571"/>
      <c r="AB61" s="1571"/>
      <c r="AC61" s="1571"/>
      <c r="AD61" s="1571"/>
      <c r="AE61" s="1571"/>
      <c r="AF61" s="1571"/>
      <c r="AG61" s="1571"/>
      <c r="AH61" s="1571"/>
      <c r="AI61" s="1571"/>
      <c r="AJ61" s="1571"/>
      <c r="AK61" s="1571"/>
      <c r="AL61" s="816"/>
      <c r="AM61" s="816"/>
      <c r="AN61" s="816"/>
      <c r="AO61" s="816"/>
      <c r="AP61" s="816"/>
      <c r="AQ61" s="816"/>
      <c r="AR61" s="816"/>
      <c r="AS61" s="816"/>
      <c r="AT61" s="816"/>
      <c r="AU61" s="816"/>
      <c r="AV61" s="816"/>
      <c r="AW61" s="816"/>
      <c r="AX61" s="816"/>
      <c r="AY61" s="816"/>
      <c r="AZ61" s="816"/>
      <c r="BA61" s="816"/>
      <c r="BB61" s="816"/>
      <c r="BC61" s="816"/>
      <c r="BD61" s="816"/>
      <c r="BE61" s="816"/>
      <c r="BF61" s="816"/>
      <c r="BG61" s="816"/>
      <c r="BH61" s="816"/>
      <c r="BI61" s="534"/>
      <c r="BJ61" s="534"/>
      <c r="BK61" s="66"/>
      <c r="BL61" s="66"/>
      <c r="BM61" s="66"/>
      <c r="BN61" s="35"/>
      <c r="BO61" s="66"/>
      <c r="BP61" s="66"/>
      <c r="BQ61" s="66"/>
      <c r="BR61" s="30"/>
      <c r="BS61" s="35"/>
      <c r="BT61" s="30"/>
      <c r="BU61" s="67"/>
      <c r="BV61" s="67"/>
      <c r="BW61" s="68"/>
      <c r="BX61" s="67"/>
      <c r="BY61" s="30"/>
      <c r="BZ61" s="67"/>
      <c r="CA61" s="126"/>
      <c r="CB61" s="35"/>
    </row>
    <row r="62" spans="1:80" s="124" customFormat="1" ht="15" customHeight="1" x14ac:dyDescent="0.25">
      <c r="A62" s="16">
        <v>12</v>
      </c>
      <c r="B62" s="16"/>
      <c r="C62" s="424" t="s">
        <v>73</v>
      </c>
      <c r="D62" s="675">
        <v>1971</v>
      </c>
      <c r="E62" s="675">
        <v>2</v>
      </c>
      <c r="F62" s="675">
        <v>16</v>
      </c>
      <c r="G62" s="675">
        <v>47</v>
      </c>
      <c r="H62" s="676">
        <v>727.4</v>
      </c>
      <c r="I62" s="1571"/>
      <c r="J62" s="1571"/>
      <c r="K62" s="1571"/>
      <c r="L62" s="1571"/>
      <c r="M62" s="1571"/>
      <c r="N62" s="1571"/>
      <c r="O62" s="1571"/>
      <c r="P62" s="1571"/>
      <c r="Q62" s="1571"/>
      <c r="R62" s="1571"/>
      <c r="S62" s="1571"/>
      <c r="T62" s="1571"/>
      <c r="U62" s="1571"/>
      <c r="V62" s="1571"/>
      <c r="W62" s="1571"/>
      <c r="X62" s="1571"/>
      <c r="Y62" s="1571"/>
      <c r="Z62" s="1571"/>
      <c r="AA62" s="1571"/>
      <c r="AB62" s="1571"/>
      <c r="AC62" s="1571"/>
      <c r="AD62" s="1571"/>
      <c r="AE62" s="1571"/>
      <c r="AF62" s="1571"/>
      <c r="AG62" s="1571"/>
      <c r="AH62" s="1571"/>
      <c r="AI62" s="1571"/>
      <c r="AJ62" s="1571"/>
      <c r="AK62" s="1571"/>
      <c r="AL62" s="816"/>
      <c r="AM62" s="816"/>
      <c r="AN62" s="816"/>
      <c r="AO62" s="816"/>
      <c r="AP62" s="816"/>
      <c r="AQ62" s="816"/>
      <c r="AR62" s="816"/>
      <c r="AS62" s="816"/>
      <c r="AT62" s="816"/>
      <c r="AU62" s="816"/>
      <c r="AV62" s="816"/>
      <c r="AW62" s="816"/>
      <c r="AX62" s="816"/>
      <c r="AY62" s="816"/>
      <c r="AZ62" s="816"/>
      <c r="BA62" s="816"/>
      <c r="BB62" s="816"/>
      <c r="BC62" s="816"/>
      <c r="BD62" s="816"/>
      <c r="BE62" s="816"/>
      <c r="BF62" s="816"/>
      <c r="BG62" s="816"/>
      <c r="BH62" s="816"/>
      <c r="BI62" s="534"/>
      <c r="BJ62" s="534"/>
      <c r="BK62" s="66"/>
      <c r="BL62" s="66"/>
      <c r="BM62" s="66"/>
      <c r="BN62" s="35"/>
      <c r="BO62" s="66"/>
      <c r="BP62" s="66"/>
      <c r="BQ62" s="66"/>
      <c r="BR62" s="30"/>
      <c r="BS62" s="35"/>
      <c r="BT62" s="30"/>
      <c r="BU62" s="67"/>
      <c r="BV62" s="67"/>
      <c r="BW62" s="68"/>
      <c r="BX62" s="67"/>
      <c r="BY62" s="30"/>
      <c r="BZ62" s="67"/>
      <c r="CA62" s="126"/>
      <c r="CB62" s="35"/>
    </row>
    <row r="63" spans="1:80" s="124" customFormat="1" ht="15" customHeight="1" x14ac:dyDescent="0.25">
      <c r="A63" s="257">
        <v>13</v>
      </c>
      <c r="B63" s="257"/>
      <c r="C63" s="424" t="s">
        <v>74</v>
      </c>
      <c r="D63" s="675">
        <v>1960</v>
      </c>
      <c r="E63" s="675">
        <v>2</v>
      </c>
      <c r="F63" s="675">
        <v>16</v>
      </c>
      <c r="G63" s="675">
        <v>44</v>
      </c>
      <c r="H63" s="676">
        <v>724.7</v>
      </c>
      <c r="I63" s="1571"/>
      <c r="J63" s="1571"/>
      <c r="K63" s="1571"/>
      <c r="L63" s="1571"/>
      <c r="M63" s="1571"/>
      <c r="N63" s="1571"/>
      <c r="O63" s="1571"/>
      <c r="P63" s="1571"/>
      <c r="Q63" s="1571"/>
      <c r="R63" s="1571"/>
      <c r="S63" s="1571"/>
      <c r="T63" s="1571"/>
      <c r="U63" s="1571"/>
      <c r="V63" s="1571"/>
      <c r="W63" s="1571"/>
      <c r="X63" s="1571"/>
      <c r="Y63" s="1571"/>
      <c r="Z63" s="1571"/>
      <c r="AA63" s="1571"/>
      <c r="AB63" s="1571"/>
      <c r="AC63" s="1571"/>
      <c r="AD63" s="1571"/>
      <c r="AE63" s="1571"/>
      <c r="AF63" s="1571"/>
      <c r="AG63" s="1571"/>
      <c r="AH63" s="1571"/>
      <c r="AI63" s="1571"/>
      <c r="AJ63" s="1571"/>
      <c r="AK63" s="1571"/>
      <c r="AL63" s="816"/>
      <c r="AM63" s="816"/>
      <c r="AN63" s="816"/>
      <c r="AO63" s="816"/>
      <c r="AP63" s="816"/>
      <c r="AQ63" s="816"/>
      <c r="AR63" s="816"/>
      <c r="AS63" s="816"/>
      <c r="AT63" s="816"/>
      <c r="AU63" s="816"/>
      <c r="AV63" s="816"/>
      <c r="AW63" s="816"/>
      <c r="AX63" s="816"/>
      <c r="AY63" s="816"/>
      <c r="AZ63" s="816"/>
      <c r="BA63" s="816"/>
      <c r="BB63" s="816"/>
      <c r="BC63" s="816"/>
      <c r="BD63" s="816"/>
      <c r="BE63" s="816"/>
      <c r="BF63" s="816"/>
      <c r="BG63" s="816"/>
      <c r="BH63" s="816"/>
      <c r="BI63" s="534"/>
      <c r="BJ63" s="534"/>
      <c r="BK63" s="66"/>
      <c r="BL63" s="66"/>
      <c r="BM63" s="66"/>
      <c r="BN63" s="35"/>
      <c r="BO63" s="66"/>
      <c r="BP63" s="66"/>
      <c r="BQ63" s="66"/>
      <c r="BR63" s="30"/>
      <c r="BS63" s="35"/>
      <c r="BT63" s="30"/>
      <c r="BU63" s="67"/>
      <c r="BV63" s="67"/>
      <c r="BW63" s="68"/>
      <c r="BX63" s="67"/>
      <c r="BY63" s="30"/>
      <c r="BZ63" s="67"/>
      <c r="CA63" s="126"/>
      <c r="CB63" s="35"/>
    </row>
    <row r="64" spans="1:80" s="34" customFormat="1" ht="15" customHeight="1" x14ac:dyDescent="0.25">
      <c r="A64" s="257">
        <v>14</v>
      </c>
      <c r="B64" s="257"/>
      <c r="C64" s="526" t="s">
        <v>88</v>
      </c>
      <c r="D64" s="813">
        <v>1969</v>
      </c>
      <c r="E64" s="813">
        <v>2</v>
      </c>
      <c r="F64" s="813">
        <v>16</v>
      </c>
      <c r="G64" s="813">
        <v>34</v>
      </c>
      <c r="H64" s="689">
        <v>649.16</v>
      </c>
      <c r="I64" s="1571"/>
      <c r="J64" s="1571"/>
      <c r="K64" s="1571"/>
      <c r="L64" s="1571"/>
      <c r="M64" s="1571"/>
      <c r="N64" s="1571"/>
      <c r="O64" s="1571"/>
      <c r="P64" s="1571"/>
      <c r="Q64" s="1571"/>
      <c r="R64" s="1571"/>
      <c r="S64" s="1571"/>
      <c r="T64" s="1571"/>
      <c r="U64" s="1571"/>
      <c r="V64" s="1571"/>
      <c r="W64" s="1571"/>
      <c r="X64" s="1571"/>
      <c r="Y64" s="1571"/>
      <c r="Z64" s="1571"/>
      <c r="AA64" s="1571"/>
      <c r="AB64" s="1571"/>
      <c r="AC64" s="1571"/>
      <c r="AD64" s="1571"/>
      <c r="AE64" s="1571"/>
      <c r="AF64" s="1571"/>
      <c r="AG64" s="1571"/>
      <c r="AH64" s="1571"/>
      <c r="AI64" s="1571"/>
      <c r="AJ64" s="1571"/>
      <c r="AK64" s="1571"/>
      <c r="AL64" s="816"/>
      <c r="AM64" s="816"/>
      <c r="AN64" s="816"/>
      <c r="AO64" s="816"/>
      <c r="AP64" s="816"/>
      <c r="AQ64" s="816"/>
      <c r="AR64" s="816"/>
      <c r="AS64" s="816"/>
      <c r="AT64" s="816"/>
      <c r="AU64" s="816"/>
      <c r="AV64" s="816"/>
      <c r="AW64" s="816"/>
      <c r="AX64" s="816"/>
      <c r="AY64" s="816"/>
      <c r="AZ64" s="816"/>
      <c r="BA64" s="816"/>
      <c r="BB64" s="816"/>
      <c r="BC64" s="816"/>
      <c r="BD64" s="816"/>
      <c r="BE64" s="816"/>
      <c r="BF64" s="816"/>
      <c r="BG64" s="816"/>
      <c r="BH64" s="816"/>
      <c r="BI64" s="534"/>
      <c r="BJ64" s="534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127"/>
      <c r="CB64" s="83"/>
    </row>
    <row r="65" spans="1:80" ht="15" customHeight="1" x14ac:dyDescent="0.25">
      <c r="A65" s="386"/>
      <c r="B65" s="386"/>
      <c r="C65" s="531" t="s">
        <v>89</v>
      </c>
      <c r="D65" s="815"/>
      <c r="E65" s="387"/>
      <c r="F65" s="387">
        <f t="shared" ref="F65:H65" si="31">SUM(F51:F64)</f>
        <v>307</v>
      </c>
      <c r="G65" s="387">
        <f t="shared" si="31"/>
        <v>950</v>
      </c>
      <c r="H65" s="387">
        <f t="shared" si="31"/>
        <v>16358.77</v>
      </c>
      <c r="I65" s="1571"/>
      <c r="J65" s="1571"/>
      <c r="K65" s="1571"/>
      <c r="L65" s="1571"/>
      <c r="M65" s="1571"/>
      <c r="N65" s="1571"/>
      <c r="O65" s="1571"/>
      <c r="P65" s="1571"/>
      <c r="Q65" s="1571"/>
      <c r="R65" s="1571"/>
      <c r="S65" s="1571"/>
      <c r="T65" s="1571"/>
      <c r="U65" s="1571"/>
      <c r="V65" s="1571"/>
      <c r="W65" s="1571"/>
      <c r="X65" s="1571"/>
      <c r="Y65" s="1571"/>
      <c r="Z65" s="1571"/>
      <c r="AA65" s="1571"/>
      <c r="AB65" s="1571"/>
      <c r="AC65" s="1571"/>
      <c r="AD65" s="1571"/>
      <c r="AE65" s="1571"/>
      <c r="AF65" s="1571"/>
      <c r="AG65" s="1571"/>
      <c r="AH65" s="1571"/>
      <c r="AI65" s="1571"/>
      <c r="AJ65" s="1571"/>
      <c r="AK65" s="1571"/>
      <c r="AL65" s="816" t="s">
        <v>180</v>
      </c>
      <c r="AM65" s="816"/>
      <c r="AN65" s="816"/>
      <c r="AO65" s="816"/>
      <c r="AP65" s="816"/>
      <c r="AQ65" s="816"/>
      <c r="AR65" s="816"/>
      <c r="AS65" s="816"/>
      <c r="AT65" s="816"/>
      <c r="AU65" s="816"/>
      <c r="AV65" s="816"/>
      <c r="AW65" s="816"/>
      <c r="AX65" s="816"/>
      <c r="AY65" s="816"/>
      <c r="AZ65" s="816"/>
      <c r="BA65" s="816"/>
      <c r="BB65" s="816"/>
      <c r="BC65" s="816"/>
      <c r="BD65" s="816"/>
      <c r="BE65" s="816"/>
      <c r="BF65" s="816"/>
      <c r="BG65" s="816"/>
      <c r="BH65" s="816"/>
      <c r="BI65" s="534"/>
      <c r="BJ65" s="534"/>
      <c r="BK65" s="9"/>
      <c r="BL65" s="9"/>
      <c r="BM65" s="9"/>
      <c r="BN65" s="9"/>
      <c r="BO65" s="9"/>
      <c r="BP65" s="9"/>
      <c r="BQ65" s="9"/>
      <c r="BR65" s="9"/>
      <c r="BS65" s="86"/>
      <c r="BT65" s="9"/>
      <c r="BU65" s="9"/>
      <c r="BV65" s="9"/>
      <c r="BW65" s="9"/>
      <c r="BX65" s="9"/>
      <c r="BY65" s="9"/>
      <c r="BZ65" s="9"/>
      <c r="CA65" s="128"/>
      <c r="CB65" s="9"/>
    </row>
    <row r="66" spans="1:80" ht="15" customHeight="1" x14ac:dyDescent="0.25">
      <c r="C66" s="816"/>
      <c r="D66" s="816"/>
      <c r="E66" s="816"/>
      <c r="F66" s="816"/>
      <c r="G66" s="816"/>
      <c r="H66" s="816"/>
      <c r="I66" s="1571"/>
      <c r="J66" s="1571"/>
      <c r="K66" s="1571"/>
      <c r="L66" s="1571"/>
      <c r="M66" s="1571"/>
      <c r="N66" s="1571"/>
      <c r="O66" s="1571"/>
      <c r="P66" s="1571"/>
      <c r="Q66" s="1571"/>
      <c r="R66" s="1571"/>
      <c r="S66" s="1571"/>
      <c r="T66" s="1571"/>
      <c r="U66" s="1571"/>
      <c r="V66" s="1571"/>
      <c r="W66" s="1571"/>
      <c r="X66" s="1571"/>
      <c r="Y66" s="1571"/>
      <c r="Z66" s="1571"/>
      <c r="AA66" s="1571"/>
      <c r="AB66" s="1571"/>
      <c r="AC66" s="1571"/>
      <c r="AD66" s="1571"/>
      <c r="AE66" s="1571"/>
      <c r="AF66" s="1571"/>
      <c r="AG66" s="1571"/>
      <c r="AH66" s="1571"/>
      <c r="AI66" s="1571"/>
      <c r="AJ66" s="1571"/>
      <c r="AK66" s="1571"/>
      <c r="AL66" s="816"/>
      <c r="AM66" s="816"/>
      <c r="AN66" s="816"/>
      <c r="AO66" s="816"/>
      <c r="AP66" s="816"/>
      <c r="AQ66" s="816"/>
      <c r="AR66" s="816"/>
      <c r="AS66" s="816"/>
      <c r="AT66" s="816"/>
      <c r="AU66" s="816"/>
      <c r="AV66" s="816"/>
      <c r="AW66" s="816"/>
      <c r="AX66" s="816"/>
      <c r="AY66" s="816"/>
      <c r="AZ66" s="816"/>
      <c r="BA66" s="816"/>
      <c r="BB66" s="816"/>
      <c r="BC66" s="816"/>
      <c r="BD66" s="816"/>
      <c r="BE66" s="816"/>
      <c r="BF66" s="816"/>
      <c r="BG66" s="816"/>
      <c r="BH66" s="816"/>
      <c r="BI66" s="534"/>
      <c r="BJ66" s="534"/>
      <c r="BK66" s="9"/>
      <c r="BL66" s="9"/>
      <c r="BM66" s="9"/>
      <c r="BN66" s="9"/>
      <c r="BO66" s="9"/>
      <c r="BP66" s="9"/>
      <c r="BQ66" s="9"/>
      <c r="BR66" s="9"/>
      <c r="BS66" s="86"/>
      <c r="BT66" s="9"/>
      <c r="BU66" s="9"/>
      <c r="BV66" s="9"/>
      <c r="BW66" s="9"/>
      <c r="BX66" s="9"/>
      <c r="BY66" s="9"/>
      <c r="BZ66" s="9"/>
      <c r="CA66" s="128"/>
      <c r="CB66" s="9"/>
    </row>
    <row r="67" spans="1:80" ht="15" customHeight="1" x14ac:dyDescent="0.25">
      <c r="C67" s="828" t="s">
        <v>432</v>
      </c>
      <c r="D67" s="816"/>
      <c r="E67" s="816"/>
      <c r="F67" s="816"/>
      <c r="G67" s="816"/>
      <c r="H67" s="816"/>
      <c r="I67" s="1571"/>
      <c r="J67" s="1571"/>
      <c r="K67" s="1571"/>
      <c r="L67" s="1571"/>
      <c r="M67" s="1571"/>
      <c r="N67" s="1571"/>
      <c r="O67" s="1571"/>
      <c r="P67" s="1571"/>
      <c r="Q67" s="1571"/>
      <c r="R67" s="1571"/>
      <c r="S67" s="1571"/>
      <c r="T67" s="1571"/>
      <c r="U67" s="1571"/>
      <c r="V67" s="1571"/>
      <c r="W67" s="1571"/>
      <c r="X67" s="1571"/>
      <c r="Y67" s="1571"/>
      <c r="Z67" s="1571"/>
      <c r="AA67" s="1571"/>
      <c r="AB67" s="1571"/>
      <c r="AC67" s="1571"/>
      <c r="AD67" s="1571"/>
      <c r="AE67" s="1571"/>
      <c r="AF67" s="1571"/>
      <c r="AG67" s="1571"/>
      <c r="AH67" s="1571"/>
      <c r="AI67" s="1571"/>
      <c r="AJ67" s="1571"/>
      <c r="AK67" s="1571"/>
      <c r="AL67" s="816"/>
      <c r="AM67" s="816"/>
      <c r="AN67" s="816"/>
      <c r="AO67" s="816"/>
      <c r="AP67" s="816"/>
      <c r="AQ67" s="816"/>
      <c r="AR67" s="816"/>
      <c r="AS67" s="816"/>
      <c r="AT67" s="816"/>
      <c r="AU67" s="816"/>
      <c r="AV67" s="816"/>
      <c r="AW67" s="816"/>
      <c r="AX67" s="816"/>
      <c r="AY67" s="816"/>
      <c r="AZ67" s="816"/>
      <c r="BA67" s="816"/>
      <c r="BB67" s="816"/>
      <c r="BC67" s="816"/>
      <c r="BD67" s="816"/>
      <c r="BE67" s="816"/>
      <c r="BF67" s="816"/>
      <c r="BG67" s="816"/>
      <c r="BH67" s="816"/>
      <c r="BI67" s="534"/>
      <c r="BJ67" s="534"/>
      <c r="BK67" s="9"/>
      <c r="BL67" s="9"/>
      <c r="BM67" s="9"/>
      <c r="BN67" s="9"/>
      <c r="BO67" s="9"/>
      <c r="BP67" s="9"/>
      <c r="BQ67" s="9"/>
      <c r="BR67" s="9"/>
      <c r="BS67" s="86"/>
      <c r="BT67" s="9"/>
      <c r="BU67" s="9"/>
      <c r="BV67" s="9"/>
      <c r="BW67" s="9"/>
      <c r="BX67" s="9"/>
      <c r="BY67" s="9"/>
      <c r="BZ67" s="9"/>
      <c r="CA67" s="128"/>
      <c r="CB67" s="9"/>
    </row>
    <row r="68" spans="1:80" x14ac:dyDescent="0.25">
      <c r="C68" s="816"/>
      <c r="D68" s="816"/>
      <c r="E68" s="816"/>
      <c r="F68" s="816"/>
      <c r="G68" s="816"/>
      <c r="H68" s="816"/>
      <c r="I68" s="816"/>
      <c r="J68" s="816"/>
      <c r="K68" s="816"/>
      <c r="L68" s="816"/>
      <c r="M68" s="816"/>
      <c r="N68" s="816"/>
      <c r="O68" s="816"/>
      <c r="P68" s="816"/>
      <c r="Q68" s="816"/>
      <c r="R68" s="816"/>
      <c r="S68" s="816"/>
      <c r="T68" s="816"/>
      <c r="U68" s="816"/>
      <c r="V68" s="816"/>
      <c r="W68" s="816"/>
      <c r="X68" s="816"/>
      <c r="Y68" s="816"/>
      <c r="Z68" s="816"/>
      <c r="AA68" s="816"/>
      <c r="AB68" s="829"/>
      <c r="AC68" s="816"/>
      <c r="AD68" s="816"/>
      <c r="AE68" s="816"/>
      <c r="AF68" s="816"/>
      <c r="AG68" s="816"/>
      <c r="AH68" s="816"/>
      <c r="AI68" s="816"/>
      <c r="AJ68" s="816"/>
      <c r="AK68" s="816"/>
      <c r="AL68" s="816"/>
      <c r="AM68" s="816"/>
      <c r="AN68" s="816"/>
      <c r="AO68" s="816"/>
      <c r="AP68" s="816"/>
      <c r="AQ68" s="816"/>
      <c r="AR68" s="816"/>
      <c r="AS68" s="816"/>
      <c r="AT68" s="816"/>
      <c r="AU68" s="816"/>
      <c r="AV68" s="816"/>
      <c r="AW68" s="816"/>
      <c r="AX68" s="816"/>
      <c r="AY68" s="816"/>
      <c r="AZ68" s="816"/>
      <c r="BA68" s="816"/>
      <c r="BB68" s="816"/>
      <c r="BC68" s="816"/>
      <c r="BD68" s="816"/>
      <c r="BE68" s="816"/>
      <c r="BF68" s="816"/>
      <c r="BG68" s="816"/>
      <c r="BH68" s="816"/>
      <c r="BI68" s="534"/>
      <c r="BJ68" s="534"/>
      <c r="BK68" s="9"/>
      <c r="BL68" s="9"/>
      <c r="BM68" s="9"/>
      <c r="BN68" s="9"/>
      <c r="BO68" s="9"/>
      <c r="BP68" s="9"/>
      <c r="BQ68" s="9"/>
      <c r="BR68" s="9"/>
      <c r="BS68" s="86"/>
      <c r="BT68" s="9"/>
      <c r="BU68" s="9"/>
      <c r="BV68" s="9"/>
      <c r="BW68" s="9"/>
      <c r="BX68" s="9"/>
      <c r="BY68" s="9"/>
      <c r="BZ68" s="9"/>
      <c r="CA68" s="128"/>
      <c r="CB68" s="9"/>
    </row>
    <row r="69" spans="1:80" x14ac:dyDescent="0.25">
      <c r="C69" s="816"/>
      <c r="D69" s="816"/>
      <c r="E69" s="816"/>
      <c r="F69" s="816"/>
      <c r="G69" s="816"/>
      <c r="H69" s="816"/>
      <c r="I69" s="816"/>
      <c r="J69" s="816"/>
      <c r="K69" s="816"/>
      <c r="L69" s="816"/>
      <c r="M69" s="816"/>
      <c r="N69" s="816"/>
      <c r="O69" s="816"/>
      <c r="P69" s="816"/>
      <c r="Q69" s="816"/>
      <c r="R69" s="816"/>
      <c r="S69" s="816"/>
      <c r="T69" s="816"/>
      <c r="U69" s="816"/>
      <c r="V69" s="816"/>
      <c r="W69" s="816"/>
      <c r="X69" s="816"/>
      <c r="Y69" s="816"/>
      <c r="Z69" s="816"/>
      <c r="AA69" s="816"/>
      <c r="AB69" s="830"/>
      <c r="AC69" s="830"/>
      <c r="AD69" s="830"/>
      <c r="AE69" s="830"/>
      <c r="AF69" s="830"/>
      <c r="AG69" s="830"/>
      <c r="AH69" s="830"/>
      <c r="AI69" s="830"/>
      <c r="AJ69" s="830"/>
      <c r="AK69" s="816"/>
      <c r="AL69" s="816"/>
      <c r="AM69" s="816"/>
      <c r="AN69" s="816"/>
      <c r="AO69" s="816"/>
      <c r="AP69" s="816"/>
      <c r="AQ69" s="816"/>
      <c r="AR69" s="816"/>
      <c r="AS69" s="816"/>
      <c r="AT69" s="816"/>
      <c r="AU69" s="816"/>
      <c r="AV69" s="816"/>
      <c r="AW69" s="816"/>
      <c r="AX69" s="816"/>
      <c r="AY69" s="816"/>
      <c r="AZ69" s="816"/>
      <c r="BA69" s="816"/>
      <c r="BB69" s="816"/>
      <c r="BC69" s="816"/>
      <c r="BD69" s="816"/>
      <c r="BE69" s="816"/>
      <c r="BF69" s="816"/>
      <c r="BG69" s="816"/>
      <c r="BH69" s="816"/>
      <c r="BI69" s="534"/>
      <c r="BJ69" s="534"/>
      <c r="BK69" s="9"/>
      <c r="BL69" s="9"/>
      <c r="BM69" s="9"/>
      <c r="BN69" s="9"/>
      <c r="BO69" s="9"/>
      <c r="BP69" s="9"/>
      <c r="BQ69" s="9"/>
      <c r="BR69" s="9"/>
      <c r="BS69" s="86"/>
      <c r="BT69" s="9"/>
      <c r="BU69" s="9"/>
      <c r="BV69" s="9"/>
      <c r="BW69" s="9"/>
      <c r="BX69" s="9"/>
      <c r="BY69" s="9"/>
      <c r="BZ69" s="9"/>
      <c r="CA69" s="128"/>
      <c r="CB69" s="9"/>
    </row>
    <row r="70" spans="1:80" x14ac:dyDescent="0.25">
      <c r="C70" s="816"/>
      <c r="D70" s="816"/>
      <c r="E70" s="816"/>
      <c r="F70" s="816"/>
      <c r="G70" s="816"/>
      <c r="H70" s="816"/>
      <c r="I70" s="816"/>
      <c r="J70" s="816"/>
      <c r="K70" s="816"/>
      <c r="L70" s="816"/>
      <c r="M70" s="816"/>
      <c r="N70" s="816"/>
      <c r="O70" s="816"/>
      <c r="P70" s="816"/>
      <c r="Q70" s="816"/>
      <c r="R70" s="816"/>
      <c r="S70" s="816"/>
      <c r="T70" s="816"/>
      <c r="U70" s="816"/>
      <c r="V70" s="816"/>
      <c r="W70" s="816"/>
      <c r="X70" s="816"/>
      <c r="Y70" s="816"/>
      <c r="Z70" s="816"/>
      <c r="AA70" s="816"/>
      <c r="AB70" s="816"/>
      <c r="AC70" s="816"/>
      <c r="AD70" s="816"/>
      <c r="AE70" s="816"/>
      <c r="AF70" s="816"/>
      <c r="AG70" s="816"/>
      <c r="AH70" s="816"/>
      <c r="AI70" s="816"/>
      <c r="AJ70" s="816"/>
      <c r="AK70" s="816"/>
      <c r="AL70" s="816"/>
      <c r="AM70" s="816"/>
      <c r="AN70" s="816"/>
      <c r="AO70" s="816"/>
      <c r="AP70" s="816"/>
      <c r="AQ70" s="816"/>
      <c r="AR70" s="816"/>
      <c r="AS70" s="816"/>
      <c r="AT70" s="816"/>
      <c r="AU70" s="816"/>
      <c r="AV70" s="816"/>
      <c r="AW70" s="816"/>
      <c r="AX70" s="816"/>
      <c r="AY70" s="816"/>
      <c r="AZ70" s="816"/>
      <c r="BA70" s="816"/>
      <c r="BB70" s="816"/>
      <c r="BC70" s="816"/>
      <c r="BD70" s="816"/>
      <c r="BE70" s="816"/>
      <c r="BF70" s="816"/>
      <c r="BG70" s="816"/>
      <c r="BH70" s="816"/>
      <c r="BI70" s="534"/>
      <c r="BJ70" s="534"/>
    </row>
    <row r="71" spans="1:80" x14ac:dyDescent="0.25">
      <c r="C71" s="816"/>
      <c r="D71" s="816"/>
      <c r="E71" s="816"/>
      <c r="F71" s="816"/>
      <c r="G71" s="816"/>
      <c r="H71" s="816"/>
      <c r="I71" s="816"/>
      <c r="J71" s="816"/>
      <c r="K71" s="816"/>
      <c r="L71" s="816"/>
      <c r="M71" s="816"/>
      <c r="N71" s="816"/>
      <c r="O71" s="816"/>
      <c r="P71" s="816"/>
      <c r="Q71" s="816"/>
      <c r="R71" s="816"/>
      <c r="S71" s="816"/>
      <c r="T71" s="816"/>
      <c r="U71" s="816"/>
      <c r="V71" s="816"/>
      <c r="W71" s="816"/>
      <c r="X71" s="816"/>
      <c r="Y71" s="816"/>
      <c r="Z71" s="816"/>
      <c r="AA71" s="816"/>
      <c r="AB71" s="816"/>
      <c r="AC71" s="816"/>
      <c r="AD71" s="816"/>
      <c r="AE71" s="816"/>
      <c r="AF71" s="816"/>
      <c r="AG71" s="816"/>
      <c r="AH71" s="816"/>
      <c r="AI71" s="816"/>
      <c r="AJ71" s="816"/>
      <c r="AK71" s="816"/>
      <c r="AL71" s="816"/>
      <c r="AM71" s="816"/>
      <c r="AN71" s="816"/>
      <c r="AO71" s="816"/>
      <c r="AP71" s="816"/>
      <c r="AQ71" s="816"/>
      <c r="AR71" s="816"/>
      <c r="AS71" s="816"/>
      <c r="AT71" s="816"/>
      <c r="AU71" s="816"/>
      <c r="AV71" s="816"/>
      <c r="AW71" s="816"/>
      <c r="AX71" s="816"/>
      <c r="AY71" s="816"/>
      <c r="AZ71" s="816"/>
      <c r="BA71" s="816"/>
      <c r="BB71" s="816"/>
      <c r="BC71" s="816"/>
      <c r="BD71" s="816"/>
      <c r="BE71" s="816"/>
      <c r="BF71" s="816"/>
      <c r="BG71" s="816"/>
      <c r="BH71" s="816"/>
      <c r="BI71" s="532"/>
      <c r="BJ71" s="532"/>
    </row>
    <row r="72" spans="1:80" x14ac:dyDescent="0.25">
      <c r="C72" s="816"/>
      <c r="D72" s="816"/>
      <c r="E72" s="816"/>
      <c r="F72" s="816"/>
      <c r="G72" s="816"/>
      <c r="H72" s="816"/>
      <c r="I72" s="816"/>
      <c r="J72" s="816"/>
      <c r="K72" s="816"/>
      <c r="L72" s="816"/>
      <c r="M72" s="816"/>
      <c r="N72" s="816"/>
      <c r="O72" s="816"/>
      <c r="P72" s="816"/>
      <c r="Q72" s="816"/>
      <c r="R72" s="816"/>
      <c r="S72" s="816"/>
      <c r="T72" s="816"/>
      <c r="U72" s="816"/>
      <c r="V72" s="816"/>
      <c r="W72" s="816"/>
      <c r="X72" s="816"/>
      <c r="Y72" s="816"/>
      <c r="Z72" s="816"/>
      <c r="AA72" s="816"/>
      <c r="AB72" s="816"/>
      <c r="AC72" s="816"/>
      <c r="AD72" s="816"/>
      <c r="AE72" s="816"/>
      <c r="AF72" s="816"/>
      <c r="AG72" s="816"/>
      <c r="AH72" s="816"/>
      <c r="AI72" s="816"/>
      <c r="AJ72" s="816"/>
      <c r="AK72" s="816"/>
      <c r="AL72" s="816"/>
      <c r="AM72" s="816"/>
      <c r="AN72" s="816"/>
      <c r="AO72" s="816"/>
      <c r="AP72" s="816"/>
      <c r="AQ72" s="816"/>
      <c r="AR72" s="816"/>
      <c r="AS72" s="816"/>
      <c r="AT72" s="816"/>
      <c r="AU72" s="816"/>
      <c r="AV72" s="816"/>
      <c r="AW72" s="816"/>
      <c r="AX72" s="816"/>
      <c r="AY72" s="816"/>
      <c r="AZ72" s="816"/>
      <c r="BA72" s="816"/>
      <c r="BB72" s="816"/>
      <c r="BC72" s="816"/>
      <c r="BD72" s="816"/>
      <c r="BE72" s="816"/>
      <c r="BF72" s="816"/>
      <c r="BG72" s="816"/>
      <c r="BH72" s="816"/>
      <c r="BI72" s="532"/>
      <c r="BJ72" s="532"/>
    </row>
    <row r="73" spans="1:80" ht="15.75" x14ac:dyDescent="0.25">
      <c r="C73" s="2200"/>
      <c r="D73" s="2201"/>
      <c r="E73" s="2201"/>
      <c r="F73" s="2201"/>
      <c r="G73" s="2201"/>
      <c r="H73" s="2201"/>
      <c r="I73" s="2201"/>
      <c r="J73" s="2201"/>
      <c r="K73" s="2201"/>
      <c r="L73" s="2201"/>
      <c r="M73" s="2201"/>
      <c r="N73" s="2201"/>
      <c r="O73" s="2201"/>
      <c r="P73" s="2201"/>
      <c r="Q73" s="2201"/>
      <c r="R73" s="2201"/>
      <c r="S73" s="2201"/>
      <c r="T73" s="2201"/>
      <c r="U73" s="2201"/>
      <c r="V73" s="2201"/>
      <c r="W73" s="2201"/>
      <c r="X73" s="2201"/>
      <c r="Y73" s="2201"/>
      <c r="Z73" s="2201"/>
      <c r="AA73" s="2201"/>
      <c r="AB73" s="831"/>
      <c r="AC73" s="831"/>
      <c r="AD73" s="831"/>
      <c r="AE73" s="831"/>
      <c r="AF73" s="831"/>
      <c r="AG73" s="831"/>
      <c r="AH73" s="831"/>
      <c r="AI73" s="831"/>
      <c r="AJ73" s="816"/>
      <c r="AK73" s="816"/>
      <c r="AL73" s="816"/>
      <c r="AM73" s="816"/>
      <c r="AN73" s="816"/>
      <c r="AO73" s="816"/>
      <c r="AP73" s="816"/>
      <c r="AQ73" s="816"/>
      <c r="AR73" s="816"/>
      <c r="AS73" s="816"/>
      <c r="AT73" s="816"/>
      <c r="AU73" s="816"/>
      <c r="AV73" s="816"/>
      <c r="AW73" s="816"/>
      <c r="AX73" s="816"/>
      <c r="AY73" s="816"/>
      <c r="AZ73" s="816"/>
      <c r="BA73" s="816"/>
      <c r="BB73" s="816"/>
      <c r="BC73" s="816"/>
      <c r="BD73" s="816"/>
      <c r="BE73" s="816"/>
      <c r="BF73" s="816"/>
      <c r="BG73" s="816"/>
      <c r="BH73" s="816"/>
      <c r="BI73" s="532"/>
      <c r="BJ73" s="532"/>
    </row>
    <row r="74" spans="1:80" ht="21.75" customHeight="1" x14ac:dyDescent="0.25">
      <c r="C74" s="832" t="s">
        <v>53</v>
      </c>
      <c r="D74" s="832"/>
      <c r="E74" s="832"/>
      <c r="F74" s="832"/>
      <c r="G74" s="832"/>
      <c r="H74" s="832"/>
      <c r="I74" s="832"/>
      <c r="J74" s="832"/>
      <c r="K74" s="832"/>
      <c r="L74" s="832"/>
      <c r="M74" s="832"/>
      <c r="N74" s="832"/>
      <c r="O74" s="832"/>
      <c r="P74" s="832"/>
      <c r="Q74" s="832"/>
      <c r="R74" s="832"/>
      <c r="S74" s="832"/>
      <c r="T74" s="832"/>
      <c r="U74" s="832"/>
      <c r="V74" s="832"/>
      <c r="W74" s="832"/>
      <c r="X74" s="832"/>
      <c r="Y74" s="832"/>
      <c r="Z74" s="832"/>
      <c r="AA74" s="832"/>
      <c r="AB74" s="831"/>
      <c r="AC74" s="831"/>
      <c r="AD74" s="831"/>
      <c r="AE74" s="831"/>
      <c r="AF74" s="831"/>
      <c r="AG74" s="831"/>
      <c r="AH74" s="831"/>
      <c r="AI74" s="831"/>
      <c r="AJ74" s="816"/>
      <c r="AK74" s="816"/>
      <c r="AL74" s="816"/>
      <c r="AM74" s="816"/>
      <c r="AN74" s="816"/>
      <c r="AO74" s="816"/>
      <c r="AP74" s="816"/>
      <c r="AQ74" s="816"/>
      <c r="AR74" s="816"/>
      <c r="AS74" s="816"/>
      <c r="AT74" s="816"/>
      <c r="AU74" s="816"/>
      <c r="AV74" s="816"/>
      <c r="AW74" s="816"/>
      <c r="AX74" s="816"/>
      <c r="AY74" s="816"/>
      <c r="AZ74" s="816"/>
      <c r="BA74" s="816"/>
      <c r="BB74" s="816"/>
      <c r="BC74" s="816"/>
      <c r="BD74" s="816"/>
      <c r="BE74" s="816"/>
      <c r="BF74" s="816"/>
      <c r="BG74" s="816"/>
      <c r="BH74" s="816"/>
      <c r="BI74" s="532"/>
      <c r="BJ74" s="532"/>
      <c r="BK74" s="2193"/>
      <c r="BL74" s="2193"/>
      <c r="BM74" s="2193"/>
      <c r="BN74" s="2193"/>
      <c r="BO74" s="2209"/>
      <c r="BP74" s="1335"/>
      <c r="BQ74" s="1335"/>
      <c r="BR74" s="2209"/>
      <c r="BS74" s="78"/>
      <c r="BT74" s="1335"/>
      <c r="BU74" s="2210"/>
      <c r="BV74" s="2210"/>
      <c r="BW74" s="2192"/>
      <c r="BX74" s="2192"/>
      <c r="BY74" s="2192"/>
      <c r="BZ74" s="2192"/>
      <c r="CA74" s="2207"/>
      <c r="CB74" s="2208"/>
    </row>
    <row r="75" spans="1:80" ht="29.25" customHeight="1" x14ac:dyDescent="0.25">
      <c r="C75" s="832"/>
      <c r="D75" s="832"/>
      <c r="E75" s="832"/>
      <c r="F75" s="832"/>
      <c r="G75" s="832"/>
      <c r="H75" s="832"/>
      <c r="I75" s="832"/>
      <c r="J75" s="1570"/>
      <c r="K75" s="1570"/>
      <c r="L75" s="1570"/>
      <c r="M75" s="1570"/>
      <c r="N75" s="1570"/>
      <c r="O75" s="1570"/>
      <c r="P75" s="1570"/>
      <c r="Q75" s="1570"/>
      <c r="R75" s="1570"/>
      <c r="S75" s="1570"/>
      <c r="T75" s="1570"/>
      <c r="U75" s="1570"/>
      <c r="V75" s="1570"/>
      <c r="W75" s="1570"/>
      <c r="X75" s="1570"/>
      <c r="Y75" s="1570"/>
      <c r="Z75" s="1570"/>
      <c r="AA75" s="1570"/>
      <c r="AB75" s="1570"/>
      <c r="AC75" s="1570"/>
      <c r="AD75" s="1570"/>
      <c r="AE75" s="1570"/>
      <c r="AF75" s="1570"/>
      <c r="AG75" s="1570"/>
      <c r="AH75" s="1570"/>
      <c r="AI75" s="1570"/>
      <c r="AJ75" s="1570"/>
      <c r="AK75" s="1570"/>
      <c r="AL75" s="1570"/>
      <c r="AM75" s="816"/>
      <c r="AN75" s="816"/>
      <c r="AO75" s="816"/>
      <c r="AP75" s="816"/>
      <c r="AQ75" s="816"/>
      <c r="AR75" s="816"/>
      <c r="AS75" s="816"/>
      <c r="AT75" s="816"/>
      <c r="AU75" s="816"/>
      <c r="AV75" s="816"/>
      <c r="AW75" s="816"/>
      <c r="AX75" s="816"/>
      <c r="AY75" s="816"/>
      <c r="AZ75" s="816"/>
      <c r="BA75" s="816"/>
      <c r="BB75" s="816"/>
      <c r="BC75" s="816"/>
      <c r="BD75" s="816"/>
      <c r="BE75" s="816"/>
      <c r="BF75" s="816"/>
      <c r="BG75" s="816"/>
      <c r="BH75" s="816"/>
      <c r="BI75" s="532"/>
      <c r="BJ75" s="532"/>
      <c r="BK75" s="1331"/>
      <c r="BL75" s="1331"/>
      <c r="BM75" s="1331"/>
      <c r="BN75" s="1331"/>
      <c r="BO75" s="2209"/>
      <c r="BP75" s="1335"/>
      <c r="BQ75" s="1335"/>
      <c r="BR75" s="2209"/>
      <c r="BS75" s="78"/>
      <c r="BT75" s="1335"/>
      <c r="BU75" s="2210"/>
      <c r="BV75" s="2210"/>
      <c r="BW75" s="1336"/>
      <c r="BX75" s="1336"/>
      <c r="BY75" s="1336"/>
      <c r="BZ75" s="1336"/>
      <c r="CA75" s="2207"/>
      <c r="CB75" s="2208"/>
    </row>
    <row r="76" spans="1:80" s="124" customFormat="1" x14ac:dyDescent="0.25">
      <c r="A76"/>
      <c r="B76"/>
      <c r="C76" s="832"/>
      <c r="D76" s="832"/>
      <c r="E76" s="832"/>
      <c r="F76" s="832"/>
      <c r="G76" s="832"/>
      <c r="H76" s="832"/>
      <c r="I76" s="832"/>
      <c r="J76" s="1570"/>
      <c r="K76" s="1570"/>
      <c r="L76" s="1570"/>
      <c r="M76" s="1570"/>
      <c r="N76" s="1570"/>
      <c r="O76" s="1570"/>
      <c r="P76" s="1570"/>
      <c r="Q76" s="1570"/>
      <c r="R76" s="1570"/>
      <c r="S76" s="1570"/>
      <c r="T76" s="1570"/>
      <c r="U76" s="1570"/>
      <c r="V76" s="1570"/>
      <c r="W76" s="1570"/>
      <c r="X76" s="1570"/>
      <c r="Y76" s="1570"/>
      <c r="Z76" s="1570"/>
      <c r="AA76" s="1570"/>
      <c r="AB76" s="1570"/>
      <c r="AC76" s="1570"/>
      <c r="AD76" s="1570"/>
      <c r="AE76" s="1570"/>
      <c r="AF76" s="1570"/>
      <c r="AG76" s="1570"/>
      <c r="AH76" s="1570"/>
      <c r="AI76" s="1570"/>
      <c r="AJ76" s="1570"/>
      <c r="AK76" s="1570"/>
      <c r="AL76" s="1570"/>
      <c r="AM76" s="816"/>
      <c r="AN76" s="816"/>
      <c r="AO76" s="816"/>
      <c r="AP76" s="816"/>
      <c r="AQ76" s="816"/>
      <c r="AR76" s="816"/>
      <c r="AS76" s="816"/>
      <c r="AT76" s="816"/>
      <c r="AU76" s="816"/>
      <c r="AV76" s="816"/>
      <c r="AW76" s="816"/>
      <c r="AX76" s="816"/>
      <c r="AY76" s="816"/>
      <c r="AZ76" s="816"/>
      <c r="BA76" s="816"/>
      <c r="BB76" s="816"/>
      <c r="BC76" s="816"/>
      <c r="BD76" s="816"/>
      <c r="BE76" s="816"/>
      <c r="BF76" s="816"/>
      <c r="BG76" s="816"/>
      <c r="BH76" s="816"/>
      <c r="BI76" s="534"/>
      <c r="BJ76" s="534"/>
      <c r="BK76" s="250"/>
      <c r="BL76" s="66"/>
      <c r="BM76" s="66"/>
      <c r="BN76" s="66"/>
      <c r="BO76" s="66"/>
      <c r="BP76" s="66"/>
      <c r="BQ76" s="66"/>
      <c r="BR76" s="30"/>
      <c r="BS76" s="35"/>
      <c r="BT76" s="30"/>
      <c r="BU76" s="67"/>
      <c r="BV76" s="67"/>
      <c r="BW76" s="68"/>
      <c r="BX76" s="67"/>
      <c r="BY76" s="68"/>
      <c r="BZ76" s="67"/>
      <c r="CA76" s="126"/>
      <c r="CB76" s="35"/>
    </row>
    <row r="77" spans="1:80" s="124" customFormat="1" ht="37.5" customHeight="1" x14ac:dyDescent="0.25">
      <c r="A77" s="2017" t="s">
        <v>0</v>
      </c>
      <c r="B77" s="2020"/>
      <c r="C77" s="2197" t="s">
        <v>184</v>
      </c>
      <c r="D77" s="2197" t="s">
        <v>54</v>
      </c>
      <c r="E77" s="2197" t="s">
        <v>55</v>
      </c>
      <c r="F77" s="2197" t="s">
        <v>56</v>
      </c>
      <c r="G77" s="2197" t="s">
        <v>57</v>
      </c>
      <c r="H77" s="1332" t="s">
        <v>6</v>
      </c>
      <c r="I77" s="1341"/>
      <c r="J77" s="1570"/>
      <c r="K77" s="1570"/>
      <c r="L77" s="1570"/>
      <c r="M77" s="1570"/>
      <c r="N77" s="1570"/>
      <c r="O77" s="1570"/>
      <c r="P77" s="1570"/>
      <c r="Q77" s="1570"/>
      <c r="R77" s="1570"/>
      <c r="S77" s="1570"/>
      <c r="T77" s="1570"/>
      <c r="U77" s="1570"/>
      <c r="V77" s="1570"/>
      <c r="W77" s="1570"/>
      <c r="X77" s="1570"/>
      <c r="Y77" s="1570"/>
      <c r="Z77" s="1570"/>
      <c r="AA77" s="1570"/>
      <c r="AB77" s="1570"/>
      <c r="AC77" s="1570"/>
      <c r="AD77" s="1570"/>
      <c r="AE77" s="1570"/>
      <c r="AF77" s="1570"/>
      <c r="AG77" s="1570"/>
      <c r="AH77" s="1570"/>
      <c r="AI77" s="1570"/>
      <c r="AJ77" s="1570"/>
      <c r="AK77" s="1570"/>
      <c r="AL77" s="1570"/>
      <c r="AM77" s="816"/>
      <c r="AN77" s="816"/>
      <c r="AO77" s="816"/>
      <c r="AP77" s="816"/>
      <c r="AQ77" s="816"/>
      <c r="AR77" s="816"/>
      <c r="AS77" s="816"/>
      <c r="AT77" s="816"/>
      <c r="AU77" s="816"/>
      <c r="AV77" s="816"/>
      <c r="AW77" s="816"/>
      <c r="AX77" s="816"/>
      <c r="AY77" s="816"/>
      <c r="AZ77" s="816"/>
      <c r="BA77" s="816"/>
      <c r="BB77" s="816"/>
      <c r="BC77" s="816"/>
      <c r="BD77" s="816"/>
      <c r="BE77" s="816"/>
      <c r="BF77" s="816"/>
      <c r="BG77" s="816"/>
      <c r="BH77" s="816"/>
      <c r="BI77" s="534"/>
      <c r="BJ77" s="534"/>
      <c r="BK77" s="250"/>
      <c r="BL77" s="66"/>
      <c r="BM77" s="66"/>
      <c r="BN77" s="35"/>
      <c r="BO77" s="66"/>
      <c r="BP77" s="66"/>
      <c r="BQ77" s="66"/>
      <c r="BR77" s="30"/>
      <c r="BS77" s="35"/>
      <c r="BT77" s="30"/>
      <c r="BU77" s="67"/>
      <c r="BV77" s="67"/>
      <c r="BW77" s="68"/>
      <c r="BX77" s="67"/>
      <c r="BY77" s="68"/>
      <c r="BZ77" s="67"/>
      <c r="CA77" s="126"/>
      <c r="CB77" s="35"/>
    </row>
    <row r="78" spans="1:80" s="124" customFormat="1" ht="27.75" customHeight="1" x14ac:dyDescent="0.25">
      <c r="A78" s="2017"/>
      <c r="B78" s="2021"/>
      <c r="C78" s="2197"/>
      <c r="D78" s="2197"/>
      <c r="E78" s="2197"/>
      <c r="F78" s="2197"/>
      <c r="G78" s="2197"/>
      <c r="H78" s="1332"/>
      <c r="I78" s="1342"/>
      <c r="J78" s="1570"/>
      <c r="K78" s="1570"/>
      <c r="L78" s="1570"/>
      <c r="M78" s="1570"/>
      <c r="N78" s="1570"/>
      <c r="O78" s="1570"/>
      <c r="P78" s="1570"/>
      <c r="Q78" s="1570"/>
      <c r="R78" s="1570"/>
      <c r="S78" s="1570"/>
      <c r="T78" s="1570"/>
      <c r="U78" s="1570"/>
      <c r="V78" s="1570"/>
      <c r="W78" s="1570"/>
      <c r="X78" s="1570"/>
      <c r="Y78" s="1570"/>
      <c r="Z78" s="1570"/>
      <c r="AA78" s="1570"/>
      <c r="AB78" s="1570"/>
      <c r="AC78" s="1570"/>
      <c r="AD78" s="1570"/>
      <c r="AE78" s="1570"/>
      <c r="AF78" s="1570"/>
      <c r="AG78" s="1570"/>
      <c r="AH78" s="1570"/>
      <c r="AI78" s="1570"/>
      <c r="AJ78" s="1570"/>
      <c r="AK78" s="1570"/>
      <c r="AL78" s="1570"/>
      <c r="AM78" s="816"/>
      <c r="AN78" s="816"/>
      <c r="AO78" s="816"/>
      <c r="AP78" s="816"/>
      <c r="AQ78" s="816"/>
      <c r="AR78" s="816"/>
      <c r="AS78" s="816"/>
      <c r="AT78" s="816"/>
      <c r="AU78" s="816"/>
      <c r="AV78" s="816"/>
      <c r="AW78" s="816"/>
      <c r="AX78" s="816"/>
      <c r="AY78" s="816"/>
      <c r="AZ78" s="816"/>
      <c r="BA78" s="816"/>
      <c r="BB78" s="816"/>
      <c r="BC78" s="816"/>
      <c r="BD78" s="816"/>
      <c r="BE78" s="816"/>
      <c r="BF78" s="816"/>
      <c r="BG78" s="816"/>
      <c r="BH78" s="816"/>
      <c r="BI78" s="534"/>
      <c r="BJ78" s="534"/>
      <c r="BK78" s="250"/>
      <c r="BL78" s="66"/>
      <c r="BM78" s="66"/>
      <c r="BN78" s="35"/>
      <c r="BO78" s="66"/>
      <c r="BP78" s="66"/>
      <c r="BQ78" s="66"/>
      <c r="BR78" s="30"/>
      <c r="BS78" s="35"/>
      <c r="BT78" s="30"/>
      <c r="BU78" s="67"/>
      <c r="BV78" s="67"/>
      <c r="BW78" s="68"/>
      <c r="BX78" s="67"/>
      <c r="BY78" s="68"/>
      <c r="BZ78" s="67"/>
      <c r="CA78" s="126"/>
      <c r="CB78" s="35"/>
    </row>
    <row r="79" spans="1:80" s="124" customFormat="1" x14ac:dyDescent="0.25">
      <c r="A79" s="16">
        <v>1</v>
      </c>
      <c r="B79" s="574">
        <v>42491</v>
      </c>
      <c r="C79" s="424" t="s">
        <v>58</v>
      </c>
      <c r="D79" s="675">
        <v>1976</v>
      </c>
      <c r="E79" s="675">
        <v>3</v>
      </c>
      <c r="F79" s="675">
        <v>24</v>
      </c>
      <c r="G79" s="675">
        <v>97</v>
      </c>
      <c r="H79" s="676">
        <v>1461.2</v>
      </c>
      <c r="I79" s="676"/>
      <c r="J79" s="1570"/>
      <c r="K79" s="1570"/>
      <c r="L79" s="1570"/>
      <c r="M79" s="1570"/>
      <c r="N79" s="1570"/>
      <c r="O79" s="1570"/>
      <c r="P79" s="1570"/>
      <c r="Q79" s="1570"/>
      <c r="R79" s="1570"/>
      <c r="S79" s="1570"/>
      <c r="T79" s="1570"/>
      <c r="U79" s="1570"/>
      <c r="V79" s="1570"/>
      <c r="W79" s="1570"/>
      <c r="X79" s="1570"/>
      <c r="Y79" s="1570"/>
      <c r="Z79" s="1570"/>
      <c r="AA79" s="1570"/>
      <c r="AB79" s="1570"/>
      <c r="AC79" s="1570"/>
      <c r="AD79" s="1570"/>
      <c r="AE79" s="1570"/>
      <c r="AF79" s="1570"/>
      <c r="AG79" s="1570"/>
      <c r="AH79" s="1570"/>
      <c r="AI79" s="1570"/>
      <c r="AJ79" s="1570"/>
      <c r="AK79" s="1570"/>
      <c r="AL79" s="1570"/>
      <c r="AM79" s="816"/>
      <c r="AN79" s="816"/>
      <c r="AO79" s="816"/>
      <c r="AP79" s="816"/>
      <c r="AQ79" s="816"/>
      <c r="AR79" s="816"/>
      <c r="AS79" s="816"/>
      <c r="AT79" s="816"/>
      <c r="AU79" s="816"/>
      <c r="AV79" s="816"/>
      <c r="AW79" s="816"/>
      <c r="AX79" s="816"/>
      <c r="AY79" s="816"/>
      <c r="AZ79" s="816"/>
      <c r="BA79" s="816"/>
      <c r="BB79" s="816"/>
      <c r="BC79" s="816"/>
      <c r="BD79" s="816"/>
      <c r="BE79" s="816"/>
      <c r="BF79" s="816"/>
      <c r="BG79" s="816"/>
      <c r="BH79" s="816"/>
      <c r="BI79" s="534"/>
      <c r="BJ79" s="534"/>
      <c r="BK79" s="250"/>
      <c r="BL79" s="66"/>
      <c r="BM79" s="66"/>
      <c r="BN79" s="35"/>
      <c r="BO79" s="66"/>
      <c r="BP79" s="66"/>
      <c r="BQ79" s="66"/>
      <c r="BR79" s="30"/>
      <c r="BS79" s="35"/>
      <c r="BT79" s="30"/>
      <c r="BU79" s="67"/>
      <c r="BV79" s="67"/>
      <c r="BW79" s="68"/>
      <c r="BX79" s="67"/>
      <c r="BY79" s="68"/>
      <c r="BZ79" s="67"/>
      <c r="CA79" s="126"/>
      <c r="CB79" s="35"/>
    </row>
    <row r="80" spans="1:80" s="124" customFormat="1" x14ac:dyDescent="0.25">
      <c r="A80" s="16">
        <v>2</v>
      </c>
      <c r="B80" s="16"/>
      <c r="C80" s="424" t="s">
        <v>59</v>
      </c>
      <c r="D80" s="675">
        <v>1977</v>
      </c>
      <c r="E80" s="675">
        <v>3</v>
      </c>
      <c r="F80" s="675">
        <v>24</v>
      </c>
      <c r="G80" s="675">
        <v>81</v>
      </c>
      <c r="H80" s="676">
        <v>1456.7</v>
      </c>
      <c r="I80" s="676"/>
      <c r="J80" s="1570"/>
      <c r="K80" s="1570"/>
      <c r="L80" s="1570"/>
      <c r="M80" s="1570"/>
      <c r="N80" s="1570"/>
      <c r="O80" s="1570"/>
      <c r="P80" s="1570"/>
      <c r="Q80" s="1570"/>
      <c r="R80" s="1570"/>
      <c r="S80" s="1570"/>
      <c r="T80" s="1570"/>
      <c r="U80" s="1570"/>
      <c r="V80" s="1570"/>
      <c r="W80" s="1570"/>
      <c r="X80" s="1570"/>
      <c r="Y80" s="1570"/>
      <c r="Z80" s="1570"/>
      <c r="AA80" s="1570"/>
      <c r="AB80" s="1570"/>
      <c r="AC80" s="1570"/>
      <c r="AD80" s="1570"/>
      <c r="AE80" s="1570"/>
      <c r="AF80" s="1570"/>
      <c r="AG80" s="1570"/>
      <c r="AH80" s="1570"/>
      <c r="AI80" s="1570"/>
      <c r="AJ80" s="1570"/>
      <c r="AK80" s="1570"/>
      <c r="AL80" s="1570"/>
      <c r="AM80" s="816"/>
      <c r="AN80" s="816"/>
      <c r="AO80" s="816"/>
      <c r="AP80" s="816"/>
      <c r="AQ80" s="816"/>
      <c r="AR80" s="816"/>
      <c r="AS80" s="816"/>
      <c r="AT80" s="816"/>
      <c r="AU80" s="816"/>
      <c r="AV80" s="816"/>
      <c r="AW80" s="816"/>
      <c r="AX80" s="816"/>
      <c r="AY80" s="816"/>
      <c r="AZ80" s="816"/>
      <c r="BA80" s="816"/>
      <c r="BB80" s="816"/>
      <c r="BC80" s="816"/>
      <c r="BD80" s="816"/>
      <c r="BE80" s="816"/>
      <c r="BF80" s="816"/>
      <c r="BG80" s="816"/>
      <c r="BH80" s="816"/>
      <c r="BI80" s="534"/>
      <c r="BJ80" s="534"/>
      <c r="BK80" s="250"/>
      <c r="BL80" s="66"/>
      <c r="BM80" s="66"/>
      <c r="BN80" s="35"/>
      <c r="BO80" s="66"/>
      <c r="BP80" s="66"/>
      <c r="BQ80" s="66"/>
      <c r="BR80" s="30"/>
      <c r="BS80" s="35"/>
      <c r="BT80" s="30"/>
      <c r="BU80" s="67"/>
      <c r="BV80" s="67"/>
      <c r="BW80" s="68"/>
      <c r="BX80" s="67"/>
      <c r="BY80" s="68"/>
      <c r="BZ80" s="67"/>
      <c r="CA80" s="126"/>
      <c r="CB80" s="35"/>
    </row>
    <row r="81" spans="1:80" s="124" customFormat="1" x14ac:dyDescent="0.25">
      <c r="A81" s="16">
        <v>3</v>
      </c>
      <c r="B81" s="16"/>
      <c r="C81" s="424" t="s">
        <v>60</v>
      </c>
      <c r="D81" s="675">
        <v>1972</v>
      </c>
      <c r="E81" s="675">
        <v>2</v>
      </c>
      <c r="F81" s="675">
        <v>18</v>
      </c>
      <c r="G81" s="675">
        <v>57</v>
      </c>
      <c r="H81" s="676">
        <v>776.8</v>
      </c>
      <c r="I81" s="676"/>
      <c r="J81" s="1570"/>
      <c r="K81" s="1570"/>
      <c r="L81" s="1570"/>
      <c r="M81" s="1570"/>
      <c r="N81" s="1570"/>
      <c r="O81" s="1570"/>
      <c r="P81" s="1570"/>
      <c r="Q81" s="1570"/>
      <c r="R81" s="1570"/>
      <c r="S81" s="1570"/>
      <c r="T81" s="1570"/>
      <c r="U81" s="1570"/>
      <c r="V81" s="1570"/>
      <c r="W81" s="1570"/>
      <c r="X81" s="1570"/>
      <c r="Y81" s="1570"/>
      <c r="Z81" s="1570"/>
      <c r="AA81" s="1570"/>
      <c r="AB81" s="1570"/>
      <c r="AC81" s="1570"/>
      <c r="AD81" s="1570"/>
      <c r="AE81" s="1570"/>
      <c r="AF81" s="1570"/>
      <c r="AG81" s="1570"/>
      <c r="AH81" s="1570"/>
      <c r="AI81" s="1570"/>
      <c r="AJ81" s="1570"/>
      <c r="AK81" s="1570"/>
      <c r="AL81" s="1570"/>
      <c r="AM81" s="816"/>
      <c r="AN81" s="816"/>
      <c r="AO81" s="816"/>
      <c r="AP81" s="816"/>
      <c r="AQ81" s="816"/>
      <c r="AR81" s="816"/>
      <c r="AS81" s="816"/>
      <c r="AT81" s="816"/>
      <c r="AU81" s="816"/>
      <c r="AV81" s="816"/>
      <c r="AW81" s="816"/>
      <c r="AX81" s="816"/>
      <c r="AY81" s="816"/>
      <c r="AZ81" s="816"/>
      <c r="BA81" s="816"/>
      <c r="BB81" s="816"/>
      <c r="BC81" s="816"/>
      <c r="BD81" s="816"/>
      <c r="BE81" s="816"/>
      <c r="BF81" s="816"/>
      <c r="BG81" s="816"/>
      <c r="BH81" s="816"/>
      <c r="BI81" s="534"/>
      <c r="BJ81" s="534"/>
      <c r="BK81" s="250"/>
      <c r="BL81" s="66"/>
      <c r="BM81" s="66"/>
      <c r="BN81" s="35"/>
      <c r="BO81" s="66"/>
      <c r="BP81" s="66"/>
      <c r="BQ81" s="66"/>
      <c r="BR81" s="30"/>
      <c r="BS81" s="35"/>
      <c r="BT81" s="30"/>
      <c r="BU81" s="67"/>
      <c r="BV81" s="67"/>
      <c r="BW81" s="68"/>
      <c r="BX81" s="67"/>
      <c r="BY81" s="68"/>
      <c r="BZ81" s="67"/>
      <c r="CA81" s="126"/>
      <c r="CB81" s="35"/>
    </row>
    <row r="82" spans="1:80" s="124" customFormat="1" x14ac:dyDescent="0.25">
      <c r="A82" s="16">
        <v>4</v>
      </c>
      <c r="B82" s="16"/>
      <c r="C82" s="424" t="s">
        <v>61</v>
      </c>
      <c r="D82" s="675">
        <v>1973</v>
      </c>
      <c r="E82" s="675">
        <v>2</v>
      </c>
      <c r="F82" s="675">
        <v>18</v>
      </c>
      <c r="G82" s="675">
        <v>49</v>
      </c>
      <c r="H82" s="676">
        <v>773.51</v>
      </c>
      <c r="I82" s="676"/>
      <c r="J82" s="1570"/>
      <c r="K82" s="1570"/>
      <c r="L82" s="1570"/>
      <c r="M82" s="1570"/>
      <c r="N82" s="1570"/>
      <c r="O82" s="1570"/>
      <c r="P82" s="1570"/>
      <c r="Q82" s="1570"/>
      <c r="R82" s="1570"/>
      <c r="S82" s="1570"/>
      <c r="T82" s="1570"/>
      <c r="U82" s="1570"/>
      <c r="V82" s="1570"/>
      <c r="W82" s="1570"/>
      <c r="X82" s="1570"/>
      <c r="Y82" s="1570"/>
      <c r="Z82" s="1570"/>
      <c r="AA82" s="1570"/>
      <c r="AB82" s="1570"/>
      <c r="AC82" s="1570"/>
      <c r="AD82" s="1570"/>
      <c r="AE82" s="1570"/>
      <c r="AF82" s="1570"/>
      <c r="AG82" s="1570"/>
      <c r="AH82" s="1570"/>
      <c r="AI82" s="1570"/>
      <c r="AJ82" s="1570"/>
      <c r="AK82" s="1570"/>
      <c r="AL82" s="1570"/>
      <c r="AM82" s="816"/>
      <c r="AN82" s="816"/>
      <c r="AO82" s="816"/>
      <c r="AP82" s="816"/>
      <c r="AQ82" s="816"/>
      <c r="AR82" s="816"/>
      <c r="AS82" s="816"/>
      <c r="AT82" s="816"/>
      <c r="AU82" s="816"/>
      <c r="AV82" s="816"/>
      <c r="AW82" s="816"/>
      <c r="AX82" s="816"/>
      <c r="AY82" s="816"/>
      <c r="AZ82" s="816"/>
      <c r="BA82" s="816"/>
      <c r="BB82" s="816"/>
      <c r="BC82" s="816"/>
      <c r="BD82" s="816"/>
      <c r="BE82" s="816"/>
      <c r="BF82" s="816"/>
      <c r="BG82" s="816"/>
      <c r="BH82" s="816"/>
      <c r="BI82" s="534"/>
      <c r="BJ82" s="534"/>
      <c r="BK82" s="250"/>
      <c r="BL82" s="66"/>
      <c r="BM82" s="66"/>
      <c r="BN82" s="35"/>
      <c r="BO82" s="66"/>
      <c r="BP82" s="66"/>
      <c r="BQ82" s="66"/>
      <c r="BR82" s="30"/>
      <c r="BS82" s="35"/>
      <c r="BT82" s="30"/>
      <c r="BU82" s="67"/>
      <c r="BV82" s="67"/>
      <c r="BW82" s="68"/>
      <c r="BX82" s="67"/>
      <c r="BY82" s="68"/>
      <c r="BZ82" s="67"/>
      <c r="CA82" s="126"/>
      <c r="CB82" s="35"/>
    </row>
    <row r="83" spans="1:80" s="124" customFormat="1" x14ac:dyDescent="0.25">
      <c r="A83" s="16">
        <v>5</v>
      </c>
      <c r="B83" s="16"/>
      <c r="C83" s="424" t="s">
        <v>62</v>
      </c>
      <c r="D83" s="675">
        <v>1980</v>
      </c>
      <c r="E83" s="675">
        <v>3</v>
      </c>
      <c r="F83" s="675">
        <v>36</v>
      </c>
      <c r="G83" s="675">
        <v>93</v>
      </c>
      <c r="H83" s="676">
        <v>1799.9</v>
      </c>
      <c r="I83" s="676"/>
      <c r="J83" s="1570"/>
      <c r="K83" s="1570"/>
      <c r="L83" s="1570"/>
      <c r="M83" s="1570"/>
      <c r="N83" s="1570"/>
      <c r="O83" s="1570"/>
      <c r="P83" s="1570"/>
      <c r="Q83" s="1570"/>
      <c r="R83" s="1570"/>
      <c r="S83" s="1570"/>
      <c r="T83" s="1570"/>
      <c r="U83" s="1570"/>
      <c r="V83" s="1570"/>
      <c r="W83" s="1570"/>
      <c r="X83" s="1570"/>
      <c r="Y83" s="1570"/>
      <c r="Z83" s="1570"/>
      <c r="AA83" s="1570"/>
      <c r="AB83" s="1570"/>
      <c r="AC83" s="1570"/>
      <c r="AD83" s="1570"/>
      <c r="AE83" s="1570"/>
      <c r="AF83" s="1570"/>
      <c r="AG83" s="1570"/>
      <c r="AH83" s="1570"/>
      <c r="AI83" s="1570"/>
      <c r="AJ83" s="1570"/>
      <c r="AK83" s="1570"/>
      <c r="AL83" s="1570"/>
      <c r="AM83" s="816"/>
      <c r="AN83" s="816"/>
      <c r="AO83" s="816"/>
      <c r="AP83" s="816"/>
      <c r="AQ83" s="816"/>
      <c r="AR83" s="816"/>
      <c r="AS83" s="816"/>
      <c r="AT83" s="816"/>
      <c r="AU83" s="816"/>
      <c r="AV83" s="816"/>
      <c r="AW83" s="816"/>
      <c r="AX83" s="816"/>
      <c r="AY83" s="816"/>
      <c r="AZ83" s="816"/>
      <c r="BA83" s="816"/>
      <c r="BB83" s="816"/>
      <c r="BC83" s="816"/>
      <c r="BD83" s="816"/>
      <c r="BE83" s="816"/>
      <c r="BF83" s="816"/>
      <c r="BG83" s="816"/>
      <c r="BH83" s="816"/>
      <c r="BI83" s="534"/>
      <c r="BJ83" s="534"/>
      <c r="BK83" s="250"/>
      <c r="BL83" s="66"/>
      <c r="BM83" s="66"/>
      <c r="BN83" s="35"/>
      <c r="BO83" s="66"/>
      <c r="BP83" s="66"/>
      <c r="BQ83" s="66"/>
      <c r="BR83" s="30"/>
      <c r="BS83" s="35"/>
      <c r="BT83" s="30"/>
      <c r="BU83" s="67"/>
      <c r="BV83" s="67"/>
      <c r="BW83" s="68"/>
      <c r="BX83" s="67"/>
      <c r="BY83" s="68"/>
      <c r="BZ83" s="67"/>
      <c r="CA83" s="126"/>
      <c r="CB83" s="35"/>
    </row>
    <row r="84" spans="1:80" s="124" customFormat="1" x14ac:dyDescent="0.25">
      <c r="A84" s="16">
        <v>6</v>
      </c>
      <c r="B84" s="16"/>
      <c r="C84" s="424" t="s">
        <v>63</v>
      </c>
      <c r="D84" s="675">
        <v>1982</v>
      </c>
      <c r="E84" s="675">
        <v>3</v>
      </c>
      <c r="F84" s="675">
        <v>24</v>
      </c>
      <c r="G84" s="675">
        <v>84</v>
      </c>
      <c r="H84" s="676">
        <v>1454.2</v>
      </c>
      <c r="I84" s="676"/>
      <c r="J84" s="1570"/>
      <c r="K84" s="1570"/>
      <c r="L84" s="1570"/>
      <c r="M84" s="1570"/>
      <c r="N84" s="1570"/>
      <c r="O84" s="1570"/>
      <c r="P84" s="1570"/>
      <c r="Q84" s="1570"/>
      <c r="R84" s="1570"/>
      <c r="S84" s="1570"/>
      <c r="T84" s="1570"/>
      <c r="U84" s="1570"/>
      <c r="V84" s="1570"/>
      <c r="W84" s="1570"/>
      <c r="X84" s="1570"/>
      <c r="Y84" s="1570"/>
      <c r="Z84" s="1570"/>
      <c r="AA84" s="1570"/>
      <c r="AB84" s="1570"/>
      <c r="AC84" s="1570"/>
      <c r="AD84" s="1570"/>
      <c r="AE84" s="1570"/>
      <c r="AF84" s="1570"/>
      <c r="AG84" s="1570"/>
      <c r="AH84" s="1570"/>
      <c r="AI84" s="1570"/>
      <c r="AJ84" s="1570"/>
      <c r="AK84" s="1570"/>
      <c r="AL84" s="1570"/>
      <c r="AM84" s="816"/>
      <c r="AN84" s="816"/>
      <c r="AO84" s="816"/>
      <c r="AP84" s="816"/>
      <c r="AQ84" s="816"/>
      <c r="AR84" s="816"/>
      <c r="AS84" s="816"/>
      <c r="AT84" s="816"/>
      <c r="AU84" s="816"/>
      <c r="AV84" s="816"/>
      <c r="AW84" s="816"/>
      <c r="AX84" s="816"/>
      <c r="AY84" s="816"/>
      <c r="AZ84" s="816"/>
      <c r="BA84" s="816"/>
      <c r="BB84" s="816"/>
      <c r="BC84" s="816"/>
      <c r="BD84" s="816"/>
      <c r="BE84" s="816"/>
      <c r="BF84" s="816"/>
      <c r="BG84" s="816"/>
      <c r="BH84" s="816"/>
      <c r="BI84" s="534"/>
      <c r="BJ84" s="534"/>
      <c r="BK84" s="250"/>
      <c r="BL84" s="66"/>
      <c r="BM84" s="66"/>
      <c r="BN84" s="35"/>
      <c r="BO84" s="66"/>
      <c r="BP84" s="66"/>
      <c r="BQ84" s="66"/>
      <c r="BR84" s="30"/>
      <c r="BS84" s="35"/>
      <c r="BT84" s="30"/>
      <c r="BU84" s="67"/>
      <c r="BV84" s="67"/>
      <c r="BW84" s="68"/>
      <c r="BX84" s="67"/>
      <c r="BY84" s="68"/>
      <c r="BZ84" s="67"/>
      <c r="CA84" s="126"/>
      <c r="CB84" s="35"/>
    </row>
    <row r="85" spans="1:80" s="124" customFormat="1" x14ac:dyDescent="0.25">
      <c r="A85" s="16">
        <v>7</v>
      </c>
      <c r="B85" s="16"/>
      <c r="C85" s="424" t="s">
        <v>64</v>
      </c>
      <c r="D85" s="675">
        <v>1982</v>
      </c>
      <c r="E85" s="675">
        <v>3</v>
      </c>
      <c r="F85" s="675">
        <v>24</v>
      </c>
      <c r="G85" s="675">
        <v>95</v>
      </c>
      <c r="H85" s="676">
        <v>1458.3</v>
      </c>
      <c r="I85" s="676"/>
      <c r="J85" s="1570"/>
      <c r="K85" s="1570"/>
      <c r="L85" s="1570"/>
      <c r="M85" s="1570"/>
      <c r="N85" s="1570"/>
      <c r="O85" s="1570"/>
      <c r="P85" s="1570"/>
      <c r="Q85" s="1570"/>
      <c r="R85" s="1570"/>
      <c r="S85" s="1570"/>
      <c r="T85" s="1570"/>
      <c r="U85" s="1570"/>
      <c r="V85" s="1570"/>
      <c r="W85" s="1570"/>
      <c r="X85" s="1570"/>
      <c r="Y85" s="1570"/>
      <c r="Z85" s="1570"/>
      <c r="AA85" s="1570"/>
      <c r="AB85" s="1570"/>
      <c r="AC85" s="1570"/>
      <c r="AD85" s="1570"/>
      <c r="AE85" s="1570"/>
      <c r="AF85" s="1570"/>
      <c r="AG85" s="1570"/>
      <c r="AH85" s="1570"/>
      <c r="AI85" s="1570"/>
      <c r="AJ85" s="1570"/>
      <c r="AK85" s="1570"/>
      <c r="AL85" s="1570"/>
      <c r="AM85" s="816"/>
      <c r="AN85" s="816"/>
      <c r="AO85" s="816"/>
      <c r="AP85" s="816"/>
      <c r="AQ85" s="816"/>
      <c r="AR85" s="816"/>
      <c r="AS85" s="816"/>
      <c r="AT85" s="816"/>
      <c r="AU85" s="816"/>
      <c r="AV85" s="816"/>
      <c r="AW85" s="816"/>
      <c r="AX85" s="816"/>
      <c r="AY85" s="816"/>
      <c r="AZ85" s="816"/>
      <c r="BA85" s="816"/>
      <c r="BB85" s="816"/>
      <c r="BC85" s="816"/>
      <c r="BD85" s="816"/>
      <c r="BE85" s="816"/>
      <c r="BF85" s="816"/>
      <c r="BG85" s="816"/>
      <c r="BH85" s="816"/>
      <c r="BI85" s="534"/>
      <c r="BJ85" s="534"/>
      <c r="BK85" s="250"/>
      <c r="BL85" s="66"/>
      <c r="BM85" s="66"/>
      <c r="BN85" s="35"/>
      <c r="BO85" s="66"/>
      <c r="BP85" s="66"/>
      <c r="BQ85" s="66"/>
      <c r="BR85" s="30"/>
      <c r="BS85" s="35"/>
      <c r="BT85" s="30"/>
      <c r="BU85" s="67"/>
      <c r="BV85" s="67"/>
      <c r="BW85" s="68"/>
      <c r="BX85" s="67"/>
      <c r="BY85" s="68"/>
      <c r="BZ85" s="67"/>
      <c r="CA85" s="126"/>
      <c r="CB85" s="35"/>
    </row>
    <row r="86" spans="1:80" s="124" customFormat="1" x14ac:dyDescent="0.25">
      <c r="A86" s="16">
        <v>8</v>
      </c>
      <c r="B86" s="16"/>
      <c r="C86" s="424" t="s">
        <v>65</v>
      </c>
      <c r="D86" s="675">
        <v>1983</v>
      </c>
      <c r="E86" s="675">
        <v>3</v>
      </c>
      <c r="F86" s="675">
        <v>24</v>
      </c>
      <c r="G86" s="675">
        <v>83</v>
      </c>
      <c r="H86" s="676">
        <v>1446.6</v>
      </c>
      <c r="I86" s="676"/>
      <c r="J86" s="1570"/>
      <c r="K86" s="1570"/>
      <c r="L86" s="1570"/>
      <c r="M86" s="1570"/>
      <c r="N86" s="1570"/>
      <c r="O86" s="1570"/>
      <c r="P86" s="1570"/>
      <c r="Q86" s="1570"/>
      <c r="R86" s="1570"/>
      <c r="S86" s="1570"/>
      <c r="T86" s="1570"/>
      <c r="U86" s="1570"/>
      <c r="V86" s="1570"/>
      <c r="W86" s="1570"/>
      <c r="X86" s="1570"/>
      <c r="Y86" s="1570"/>
      <c r="Z86" s="1570"/>
      <c r="AA86" s="1570"/>
      <c r="AB86" s="1570"/>
      <c r="AC86" s="1570"/>
      <c r="AD86" s="1570"/>
      <c r="AE86" s="1570"/>
      <c r="AF86" s="1570"/>
      <c r="AG86" s="1570"/>
      <c r="AH86" s="1570"/>
      <c r="AI86" s="1570"/>
      <c r="AJ86" s="1570"/>
      <c r="AK86" s="1570"/>
      <c r="AL86" s="1570"/>
      <c r="AM86" s="816"/>
      <c r="AN86" s="816"/>
      <c r="AO86" s="816"/>
      <c r="AP86" s="816"/>
      <c r="AQ86" s="816"/>
      <c r="AR86" s="816"/>
      <c r="AS86" s="816"/>
      <c r="AT86" s="816"/>
      <c r="AU86" s="816"/>
      <c r="AV86" s="816"/>
      <c r="AW86" s="816"/>
      <c r="AX86" s="816"/>
      <c r="AY86" s="816"/>
      <c r="AZ86" s="816"/>
      <c r="BA86" s="816"/>
      <c r="BB86" s="816"/>
      <c r="BC86" s="816"/>
      <c r="BD86" s="816"/>
      <c r="BE86" s="816"/>
      <c r="BF86" s="816"/>
      <c r="BG86" s="816"/>
      <c r="BH86" s="816"/>
      <c r="BI86" s="534"/>
      <c r="BJ86" s="534"/>
      <c r="BK86" s="250"/>
      <c r="BL86" s="66"/>
      <c r="BM86" s="66"/>
      <c r="BN86" s="35"/>
      <c r="BO86" s="66"/>
      <c r="BP86" s="66"/>
      <c r="BQ86" s="66"/>
      <c r="BR86" s="30"/>
      <c r="BS86" s="35"/>
      <c r="BT86" s="30"/>
      <c r="BU86" s="67"/>
      <c r="BV86" s="67"/>
      <c r="BW86" s="68"/>
      <c r="BX86" s="67"/>
      <c r="BY86" s="30"/>
      <c r="BZ86" s="67"/>
      <c r="CA86" s="126"/>
      <c r="CB86" s="35"/>
    </row>
    <row r="87" spans="1:80" s="124" customFormat="1" x14ac:dyDescent="0.25">
      <c r="A87" s="16">
        <v>9</v>
      </c>
      <c r="B87" s="16"/>
      <c r="C87" s="424" t="s">
        <v>66</v>
      </c>
      <c r="D87" s="675">
        <v>1984</v>
      </c>
      <c r="E87" s="675">
        <v>3</v>
      </c>
      <c r="F87" s="675">
        <v>24</v>
      </c>
      <c r="G87" s="675">
        <v>68</v>
      </c>
      <c r="H87" s="676">
        <v>1448</v>
      </c>
      <c r="I87" s="676"/>
      <c r="J87" s="1570"/>
      <c r="K87" s="1570"/>
      <c r="L87" s="1570"/>
      <c r="M87" s="1570"/>
      <c r="N87" s="1570"/>
      <c r="O87" s="1570"/>
      <c r="P87" s="1570"/>
      <c r="Q87" s="1570"/>
      <c r="R87" s="1570"/>
      <c r="S87" s="1570"/>
      <c r="T87" s="1570"/>
      <c r="U87" s="1570"/>
      <c r="V87" s="1570"/>
      <c r="W87" s="1570"/>
      <c r="X87" s="1570"/>
      <c r="Y87" s="1570"/>
      <c r="Z87" s="1570"/>
      <c r="AA87" s="1570"/>
      <c r="AB87" s="1570"/>
      <c r="AC87" s="1570"/>
      <c r="AD87" s="1570"/>
      <c r="AE87" s="1570"/>
      <c r="AF87" s="1570"/>
      <c r="AG87" s="1570"/>
      <c r="AH87" s="1570"/>
      <c r="AI87" s="1570"/>
      <c r="AJ87" s="1570"/>
      <c r="AK87" s="1570"/>
      <c r="AL87" s="1570"/>
      <c r="AM87" s="816"/>
      <c r="AN87" s="816"/>
      <c r="AO87" s="816"/>
      <c r="AP87" s="816"/>
      <c r="AQ87" s="816"/>
      <c r="AR87" s="816"/>
      <c r="AS87" s="816"/>
      <c r="AT87" s="816"/>
      <c r="AU87" s="816"/>
      <c r="AV87" s="816"/>
      <c r="AW87" s="816"/>
      <c r="AX87" s="816"/>
      <c r="AY87" s="816"/>
      <c r="AZ87" s="816"/>
      <c r="BA87" s="816"/>
      <c r="BB87" s="816"/>
      <c r="BC87" s="816"/>
      <c r="BD87" s="816"/>
      <c r="BE87" s="816"/>
      <c r="BF87" s="816"/>
      <c r="BG87" s="816"/>
      <c r="BH87" s="816"/>
      <c r="BI87" s="534"/>
      <c r="BJ87" s="534"/>
      <c r="BK87" s="250"/>
      <c r="BL87" s="66"/>
      <c r="BM87" s="66"/>
      <c r="BN87" s="35"/>
      <c r="BO87" s="66"/>
      <c r="BP87" s="66"/>
      <c r="BQ87" s="66"/>
      <c r="BR87" s="30"/>
      <c r="BS87" s="35"/>
      <c r="BT87" s="30"/>
      <c r="BU87" s="67"/>
      <c r="BV87" s="67"/>
      <c r="BW87" s="68"/>
      <c r="BX87" s="67"/>
      <c r="BY87" s="68"/>
      <c r="BZ87" s="67"/>
      <c r="CA87" s="126"/>
      <c r="CB87" s="35"/>
    </row>
    <row r="88" spans="1:80" s="124" customFormat="1" x14ac:dyDescent="0.25">
      <c r="A88" s="16">
        <v>10</v>
      </c>
      <c r="B88" s="16"/>
      <c r="C88" s="424" t="s">
        <v>67</v>
      </c>
      <c r="D88" s="675">
        <v>1987</v>
      </c>
      <c r="E88" s="675">
        <v>3</v>
      </c>
      <c r="F88" s="675">
        <v>27</v>
      </c>
      <c r="G88" s="675">
        <v>82</v>
      </c>
      <c r="H88" s="676">
        <v>1459.2</v>
      </c>
      <c r="I88" s="676"/>
      <c r="J88" s="1570"/>
      <c r="K88" s="1570"/>
      <c r="L88" s="1570"/>
      <c r="M88" s="1570"/>
      <c r="N88" s="1570"/>
      <c r="O88" s="1570"/>
      <c r="P88" s="1570"/>
      <c r="Q88" s="1570"/>
      <c r="R88" s="1570"/>
      <c r="S88" s="1570"/>
      <c r="T88" s="1570"/>
      <c r="U88" s="1570"/>
      <c r="V88" s="1570"/>
      <c r="W88" s="1570"/>
      <c r="X88" s="1570"/>
      <c r="Y88" s="1570"/>
      <c r="Z88" s="1570"/>
      <c r="AA88" s="1570"/>
      <c r="AB88" s="1570"/>
      <c r="AC88" s="1570"/>
      <c r="AD88" s="1570"/>
      <c r="AE88" s="1570"/>
      <c r="AF88" s="1570"/>
      <c r="AG88" s="1570"/>
      <c r="AH88" s="1570"/>
      <c r="AI88" s="1570"/>
      <c r="AJ88" s="1570"/>
      <c r="AK88" s="1570"/>
      <c r="AL88" s="1570"/>
      <c r="AM88" s="816"/>
      <c r="AN88" s="816"/>
      <c r="AO88" s="816"/>
      <c r="AP88" s="816"/>
      <c r="AQ88" s="816"/>
      <c r="AR88" s="816"/>
      <c r="AS88" s="816"/>
      <c r="AT88" s="816"/>
      <c r="AU88" s="816"/>
      <c r="AV88" s="816"/>
      <c r="AW88" s="816"/>
      <c r="AX88" s="816"/>
      <c r="AY88" s="816"/>
      <c r="AZ88" s="816"/>
      <c r="BA88" s="816"/>
      <c r="BB88" s="816"/>
      <c r="BC88" s="816"/>
      <c r="BD88" s="816"/>
      <c r="BE88" s="816"/>
      <c r="BF88" s="816"/>
      <c r="BG88" s="816"/>
      <c r="BH88" s="816"/>
      <c r="BI88" s="534"/>
      <c r="BJ88" s="534"/>
      <c r="BK88" s="250"/>
      <c r="BL88" s="66"/>
      <c r="BM88" s="66"/>
      <c r="BN88" s="35"/>
      <c r="BO88" s="66"/>
      <c r="BP88" s="66"/>
      <c r="BQ88" s="66"/>
      <c r="BR88" s="30"/>
      <c r="BS88" s="35"/>
      <c r="BT88" s="30"/>
      <c r="BU88" s="67"/>
      <c r="BV88" s="67"/>
      <c r="BW88" s="68"/>
      <c r="BX88" s="67"/>
      <c r="BY88" s="68"/>
      <c r="BZ88" s="67"/>
      <c r="CA88" s="126"/>
      <c r="CB88" s="35"/>
    </row>
    <row r="89" spans="1:80" s="124" customFormat="1" x14ac:dyDescent="0.25">
      <c r="A89" s="16">
        <v>11</v>
      </c>
      <c r="B89" s="16"/>
      <c r="C89" s="424" t="s">
        <v>72</v>
      </c>
      <c r="D89" s="675">
        <v>1968</v>
      </c>
      <c r="E89" s="675">
        <v>2</v>
      </c>
      <c r="F89" s="675">
        <v>16</v>
      </c>
      <c r="G89" s="675">
        <v>36</v>
      </c>
      <c r="H89" s="676">
        <v>722.8</v>
      </c>
      <c r="I89" s="676"/>
      <c r="J89" s="1570"/>
      <c r="K89" s="1570"/>
      <c r="L89" s="1570"/>
      <c r="M89" s="1570"/>
      <c r="N89" s="1570"/>
      <c r="O89" s="1570"/>
      <c r="P89" s="1570"/>
      <c r="Q89" s="1570"/>
      <c r="R89" s="1570"/>
      <c r="S89" s="1570"/>
      <c r="T89" s="1570"/>
      <c r="U89" s="1570"/>
      <c r="V89" s="1570"/>
      <c r="W89" s="1570"/>
      <c r="X89" s="1570"/>
      <c r="Y89" s="1570"/>
      <c r="Z89" s="1570"/>
      <c r="AA89" s="1570"/>
      <c r="AB89" s="1570"/>
      <c r="AC89" s="1570"/>
      <c r="AD89" s="1570"/>
      <c r="AE89" s="1570"/>
      <c r="AF89" s="1570"/>
      <c r="AG89" s="1570"/>
      <c r="AH89" s="1570"/>
      <c r="AI89" s="1570"/>
      <c r="AJ89" s="1570"/>
      <c r="AK89" s="1570"/>
      <c r="AL89" s="1570"/>
      <c r="AM89" s="816"/>
      <c r="AN89" s="816"/>
      <c r="AO89" s="816"/>
      <c r="AP89" s="816"/>
      <c r="AQ89" s="816"/>
      <c r="AR89" s="816"/>
      <c r="AS89" s="816"/>
      <c r="AT89" s="816"/>
      <c r="AU89" s="816"/>
      <c r="AV89" s="816"/>
      <c r="AW89" s="816"/>
      <c r="AX89" s="816"/>
      <c r="AY89" s="816"/>
      <c r="AZ89" s="816"/>
      <c r="BA89" s="816"/>
      <c r="BB89" s="816"/>
      <c r="BC89" s="816"/>
      <c r="BD89" s="816"/>
      <c r="BE89" s="816"/>
      <c r="BF89" s="816"/>
      <c r="BG89" s="816"/>
      <c r="BH89" s="816"/>
      <c r="BI89" s="534"/>
      <c r="BJ89" s="534"/>
      <c r="BK89" s="250"/>
      <c r="BL89" s="66"/>
      <c r="BM89" s="66"/>
      <c r="BN89" s="35"/>
      <c r="BO89" s="66"/>
      <c r="BP89" s="66"/>
      <c r="BQ89" s="66"/>
      <c r="BR89" s="30"/>
      <c r="BS89" s="35"/>
      <c r="BT89" s="30"/>
      <c r="BU89" s="67"/>
      <c r="BV89" s="67"/>
      <c r="BW89" s="68"/>
      <c r="BX89" s="67"/>
      <c r="BY89" s="30"/>
      <c r="BZ89" s="67"/>
      <c r="CA89" s="126"/>
      <c r="CB89" s="35"/>
    </row>
    <row r="90" spans="1:80" s="124" customFormat="1" x14ac:dyDescent="0.25">
      <c r="A90" s="16">
        <v>12</v>
      </c>
      <c r="B90" s="16"/>
      <c r="C90" s="424" t="s">
        <v>73</v>
      </c>
      <c r="D90" s="675">
        <v>1971</v>
      </c>
      <c r="E90" s="675">
        <v>2</v>
      </c>
      <c r="F90" s="675">
        <v>16</v>
      </c>
      <c r="G90" s="675">
        <v>47</v>
      </c>
      <c r="H90" s="676">
        <v>727.4</v>
      </c>
      <c r="I90" s="676"/>
      <c r="J90" s="1570"/>
      <c r="K90" s="1570"/>
      <c r="L90" s="1570"/>
      <c r="M90" s="1570"/>
      <c r="N90" s="1570"/>
      <c r="O90" s="1570"/>
      <c r="P90" s="1570"/>
      <c r="Q90" s="1570"/>
      <c r="R90" s="1570"/>
      <c r="S90" s="1570"/>
      <c r="T90" s="1570"/>
      <c r="U90" s="1570"/>
      <c r="V90" s="1570"/>
      <c r="W90" s="1570"/>
      <c r="X90" s="1570"/>
      <c r="Y90" s="1570"/>
      <c r="Z90" s="1570"/>
      <c r="AA90" s="1570"/>
      <c r="AB90" s="1570"/>
      <c r="AC90" s="1570"/>
      <c r="AD90" s="1570"/>
      <c r="AE90" s="1570"/>
      <c r="AF90" s="1570"/>
      <c r="AG90" s="1570"/>
      <c r="AH90" s="1570"/>
      <c r="AI90" s="1570"/>
      <c r="AJ90" s="1570"/>
      <c r="AK90" s="1570"/>
      <c r="AL90" s="1570"/>
      <c r="AM90" s="816"/>
      <c r="AN90" s="816"/>
      <c r="AO90" s="816"/>
      <c r="AP90" s="816"/>
      <c r="AQ90" s="816"/>
      <c r="AR90" s="816"/>
      <c r="AS90" s="816"/>
      <c r="AT90" s="816"/>
      <c r="AU90" s="816"/>
      <c r="AV90" s="816"/>
      <c r="AW90" s="816"/>
      <c r="AX90" s="816"/>
      <c r="AY90" s="816"/>
      <c r="AZ90" s="816"/>
      <c r="BA90" s="816"/>
      <c r="BB90" s="816"/>
      <c r="BC90" s="816"/>
      <c r="BD90" s="816"/>
      <c r="BE90" s="816"/>
      <c r="BF90" s="816"/>
      <c r="BG90" s="816"/>
      <c r="BH90" s="816"/>
      <c r="BI90" s="534"/>
      <c r="BJ90" s="534"/>
      <c r="BK90" s="250"/>
      <c r="BL90" s="66"/>
      <c r="BM90" s="66"/>
      <c r="BN90" s="35"/>
      <c r="BO90" s="66"/>
      <c r="BP90" s="66"/>
      <c r="BQ90" s="66"/>
      <c r="BR90" s="30"/>
      <c r="BS90" s="35"/>
      <c r="BT90" s="30"/>
      <c r="BU90" s="67"/>
      <c r="BV90" s="67"/>
      <c r="BW90" s="68"/>
      <c r="BX90" s="67"/>
      <c r="BY90" s="30"/>
      <c r="BZ90" s="67"/>
      <c r="CA90" s="126"/>
      <c r="CB90" s="35"/>
    </row>
    <row r="91" spans="1:80" s="124" customFormat="1" x14ac:dyDescent="0.25">
      <c r="A91" s="257">
        <v>13</v>
      </c>
      <c r="B91" s="257"/>
      <c r="C91" s="526" t="s">
        <v>74</v>
      </c>
      <c r="D91" s="813">
        <v>1960</v>
      </c>
      <c r="E91" s="813">
        <v>2</v>
      </c>
      <c r="F91" s="813">
        <v>16</v>
      </c>
      <c r="G91" s="813">
        <v>44</v>
      </c>
      <c r="H91" s="689">
        <v>724.7</v>
      </c>
      <c r="I91" s="689"/>
      <c r="J91" s="1570"/>
      <c r="K91" s="1570"/>
      <c r="L91" s="1570"/>
      <c r="M91" s="1570"/>
      <c r="N91" s="1570"/>
      <c r="O91" s="1570"/>
      <c r="P91" s="1570"/>
      <c r="Q91" s="1570"/>
      <c r="R91" s="1570"/>
      <c r="S91" s="1570"/>
      <c r="T91" s="1570"/>
      <c r="U91" s="1570"/>
      <c r="V91" s="1570"/>
      <c r="W91" s="1570"/>
      <c r="X91" s="1570"/>
      <c r="Y91" s="1570"/>
      <c r="Z91" s="1570"/>
      <c r="AA91" s="1570"/>
      <c r="AB91" s="1570"/>
      <c r="AC91" s="1570"/>
      <c r="AD91" s="1570"/>
      <c r="AE91" s="1570"/>
      <c r="AF91" s="1570"/>
      <c r="AG91" s="1570"/>
      <c r="AH91" s="1570"/>
      <c r="AI91" s="1570"/>
      <c r="AJ91" s="1570"/>
      <c r="AK91" s="1570"/>
      <c r="AL91" s="1570"/>
      <c r="AM91" s="816"/>
      <c r="AN91" s="816"/>
      <c r="AO91" s="816"/>
      <c r="AP91" s="816"/>
      <c r="AQ91" s="816"/>
      <c r="AR91" s="816"/>
      <c r="AS91" s="816"/>
      <c r="AT91" s="816"/>
      <c r="AU91" s="816"/>
      <c r="AV91" s="816"/>
      <c r="AW91" s="816"/>
      <c r="AX91" s="816"/>
      <c r="AY91" s="816"/>
      <c r="AZ91" s="816"/>
      <c r="BA91" s="816"/>
      <c r="BB91" s="816"/>
      <c r="BC91" s="816"/>
      <c r="BD91" s="816"/>
      <c r="BE91" s="816"/>
      <c r="BF91" s="816"/>
      <c r="BG91" s="816"/>
      <c r="BH91" s="816"/>
      <c r="BI91" s="534"/>
      <c r="BJ91" s="534"/>
      <c r="BK91" s="250"/>
      <c r="BL91" s="66"/>
      <c r="BM91" s="66"/>
      <c r="BN91" s="35"/>
      <c r="BO91" s="66"/>
      <c r="BP91" s="66"/>
      <c r="BQ91" s="66"/>
      <c r="BR91" s="30"/>
      <c r="BS91" s="35"/>
      <c r="BT91" s="30"/>
      <c r="BU91" s="67"/>
      <c r="BV91" s="67"/>
      <c r="BW91" s="68"/>
      <c r="BX91" s="67"/>
      <c r="BY91" s="68"/>
      <c r="BZ91" s="67"/>
      <c r="CA91" s="126"/>
      <c r="CB91" s="35"/>
    </row>
    <row r="92" spans="1:80" x14ac:dyDescent="0.25">
      <c r="A92" s="386"/>
      <c r="B92" s="386"/>
      <c r="C92" s="531" t="s">
        <v>89</v>
      </c>
      <c r="D92" s="815"/>
      <c r="E92" s="387">
        <f t="shared" ref="E92:H92" si="32">SUM(E79:E91)</f>
        <v>34</v>
      </c>
      <c r="F92" s="387">
        <f t="shared" si="32"/>
        <v>291</v>
      </c>
      <c r="G92" s="387">
        <f t="shared" si="32"/>
        <v>916</v>
      </c>
      <c r="H92" s="836">
        <f t="shared" si="32"/>
        <v>15709.310000000001</v>
      </c>
      <c r="I92" s="836"/>
      <c r="J92" s="1570"/>
      <c r="K92" s="1570"/>
      <c r="L92" s="1570"/>
      <c r="M92" s="1570"/>
      <c r="N92" s="1570"/>
      <c r="O92" s="1570"/>
      <c r="P92" s="1570"/>
      <c r="Q92" s="1570"/>
      <c r="R92" s="1570"/>
      <c r="S92" s="1570"/>
      <c r="T92" s="1570"/>
      <c r="U92" s="1570"/>
      <c r="V92" s="1570"/>
      <c r="W92" s="1570"/>
      <c r="X92" s="1570"/>
      <c r="Y92" s="1570"/>
      <c r="Z92" s="1570"/>
      <c r="AA92" s="1570"/>
      <c r="AB92" s="1570"/>
      <c r="AC92" s="1570"/>
      <c r="AD92" s="1570"/>
      <c r="AE92" s="1570"/>
      <c r="AF92" s="1570"/>
      <c r="AG92" s="1570"/>
      <c r="AH92" s="1570"/>
      <c r="AI92" s="1570"/>
      <c r="AJ92" s="1570"/>
      <c r="AK92" s="1570"/>
      <c r="AL92" s="1570"/>
      <c r="AM92" s="816"/>
      <c r="AN92" s="816"/>
      <c r="AO92" s="816"/>
      <c r="AP92" s="816"/>
      <c r="AQ92" s="816"/>
      <c r="AR92" s="816"/>
      <c r="AS92" s="816"/>
      <c r="AT92" s="816"/>
      <c r="AU92" s="816"/>
      <c r="AV92" s="816"/>
      <c r="AW92" s="816"/>
      <c r="AX92" s="816"/>
      <c r="AY92" s="816"/>
      <c r="AZ92" s="816"/>
      <c r="BA92" s="816"/>
      <c r="BB92" s="816"/>
      <c r="BC92" s="816"/>
      <c r="BD92" s="816"/>
      <c r="BE92" s="816"/>
      <c r="BF92" s="816"/>
      <c r="BG92" s="816"/>
      <c r="BH92" s="816"/>
      <c r="BI92" s="534"/>
      <c r="BJ92" s="534"/>
      <c r="BK92" s="250"/>
      <c r="BL92" s="9"/>
      <c r="BM92" s="9"/>
      <c r="BN92" s="9"/>
      <c r="BO92" s="9"/>
      <c r="BP92" s="9"/>
      <c r="BQ92" s="9"/>
      <c r="BR92" s="9"/>
      <c r="BS92" s="86"/>
      <c r="BT92" s="9"/>
      <c r="BU92" s="9"/>
      <c r="BV92" s="9"/>
      <c r="BW92" s="9"/>
      <c r="BX92" s="9"/>
      <c r="BY92" s="9"/>
      <c r="BZ92" s="9"/>
      <c r="CA92" s="128"/>
      <c r="CB92" s="9"/>
    </row>
    <row r="93" spans="1:80" x14ac:dyDescent="0.25">
      <c r="C93" s="831"/>
      <c r="D93" s="831"/>
      <c r="E93" s="831"/>
      <c r="F93" s="831"/>
      <c r="G93" s="831"/>
      <c r="H93" s="831"/>
      <c r="I93" s="831"/>
      <c r="J93" s="1570"/>
      <c r="K93" s="1570"/>
      <c r="L93" s="1570"/>
      <c r="M93" s="1570"/>
      <c r="N93" s="1570"/>
      <c r="O93" s="1570"/>
      <c r="P93" s="1570"/>
      <c r="Q93" s="1570"/>
      <c r="R93" s="1570"/>
      <c r="S93" s="1570"/>
      <c r="T93" s="1570"/>
      <c r="U93" s="1570"/>
      <c r="V93" s="1570"/>
      <c r="W93" s="1570"/>
      <c r="X93" s="1570"/>
      <c r="Y93" s="1570"/>
      <c r="Z93" s="1570"/>
      <c r="AA93" s="1570"/>
      <c r="AB93" s="1570"/>
      <c r="AC93" s="1570"/>
      <c r="AD93" s="1570"/>
      <c r="AE93" s="1570"/>
      <c r="AF93" s="1570"/>
      <c r="AG93" s="1570"/>
      <c r="AH93" s="1570"/>
      <c r="AI93" s="1570"/>
      <c r="AJ93" s="1570"/>
      <c r="AK93" s="1570"/>
      <c r="AL93" s="1570"/>
      <c r="AM93" s="816"/>
      <c r="AN93" s="816"/>
      <c r="AO93" s="816"/>
      <c r="AP93" s="816"/>
      <c r="AQ93" s="816"/>
      <c r="AR93" s="816"/>
      <c r="AS93" s="816"/>
      <c r="AT93" s="816"/>
      <c r="AU93" s="816"/>
      <c r="AV93" s="816"/>
      <c r="AW93" s="816"/>
      <c r="AX93" s="816"/>
      <c r="AY93" s="816"/>
      <c r="AZ93" s="816"/>
      <c r="BA93" s="816"/>
      <c r="BB93" s="816"/>
      <c r="BC93" s="816"/>
      <c r="BD93" s="816"/>
      <c r="BE93" s="816"/>
      <c r="BF93" s="816"/>
      <c r="BG93" s="816"/>
      <c r="BH93" s="816"/>
      <c r="BI93" s="534"/>
      <c r="BJ93" s="534"/>
      <c r="BK93" s="250"/>
      <c r="BL93" s="9"/>
      <c r="BM93" s="9"/>
      <c r="BN93" s="9"/>
      <c r="BO93" s="9"/>
      <c r="BP93" s="9"/>
      <c r="BQ93" s="9"/>
      <c r="BR93" s="9"/>
      <c r="BS93" s="86"/>
      <c r="BT93" s="9"/>
      <c r="BU93" s="9"/>
      <c r="BV93" s="9"/>
      <c r="BW93" s="9"/>
      <c r="BX93" s="9"/>
      <c r="BY93" s="9"/>
      <c r="BZ93" s="9"/>
      <c r="CA93" s="128"/>
      <c r="CB93" s="9"/>
    </row>
    <row r="94" spans="1:80" x14ac:dyDescent="0.25">
      <c r="C94" s="828"/>
      <c r="D94" s="816"/>
      <c r="E94" s="816"/>
      <c r="F94" s="816"/>
      <c r="G94" s="816"/>
      <c r="H94" s="816"/>
      <c r="I94" s="816"/>
      <c r="J94" s="1570"/>
      <c r="K94" s="1570"/>
      <c r="L94" s="1570"/>
      <c r="M94" s="1570"/>
      <c r="N94" s="1570"/>
      <c r="O94" s="1570"/>
      <c r="P94" s="1570"/>
      <c r="Q94" s="1570"/>
      <c r="R94" s="1570"/>
      <c r="S94" s="1570"/>
      <c r="T94" s="1570"/>
      <c r="U94" s="1570"/>
      <c r="V94" s="1570"/>
      <c r="W94" s="1570"/>
      <c r="X94" s="1570"/>
      <c r="Y94" s="1570"/>
      <c r="Z94" s="1570"/>
      <c r="AA94" s="1570"/>
      <c r="AB94" s="1570"/>
      <c r="AC94" s="1570"/>
      <c r="AD94" s="1570"/>
      <c r="AE94" s="1570"/>
      <c r="AF94" s="1570"/>
      <c r="AG94" s="1570"/>
      <c r="AH94" s="1570"/>
      <c r="AI94" s="1570"/>
      <c r="AJ94" s="1570"/>
      <c r="AK94" s="1570"/>
      <c r="AL94" s="1570"/>
      <c r="AM94" s="816"/>
      <c r="AN94" s="816"/>
      <c r="AO94" s="816"/>
      <c r="AP94" s="816"/>
      <c r="AQ94" s="816"/>
      <c r="AR94" s="816"/>
      <c r="AS94" s="816"/>
      <c r="AT94" s="816"/>
      <c r="AU94" s="816"/>
      <c r="AV94" s="816"/>
      <c r="AW94" s="816"/>
      <c r="AX94" s="816"/>
      <c r="AY94" s="816"/>
      <c r="AZ94" s="816"/>
      <c r="BA94" s="816"/>
      <c r="BB94" s="816"/>
      <c r="BC94" s="816"/>
      <c r="BD94" s="816"/>
      <c r="BE94" s="816"/>
      <c r="BF94" s="816"/>
      <c r="BG94" s="816"/>
      <c r="BH94" s="816"/>
      <c r="BI94" s="534"/>
      <c r="BJ94" s="534"/>
      <c r="BK94" s="250"/>
      <c r="BL94" s="9"/>
      <c r="BM94" s="9"/>
      <c r="BN94" s="9"/>
      <c r="BO94" s="9"/>
      <c r="BP94" s="9"/>
      <c r="BQ94" s="9"/>
      <c r="BR94" s="9"/>
      <c r="BS94" s="86"/>
      <c r="BT94" s="9"/>
      <c r="BU94" s="9"/>
      <c r="BV94" s="9"/>
      <c r="BW94" s="9"/>
      <c r="BX94" s="9"/>
      <c r="BY94" s="9"/>
      <c r="BZ94" s="9"/>
      <c r="CA94" s="128"/>
      <c r="CB94" s="9"/>
    </row>
    <row r="95" spans="1:80" x14ac:dyDescent="0.25">
      <c r="C95" s="816"/>
      <c r="D95" s="816"/>
      <c r="E95" s="816"/>
      <c r="F95" s="816"/>
      <c r="G95" s="816"/>
      <c r="H95" s="816"/>
      <c r="I95" s="816"/>
      <c r="J95" s="816"/>
      <c r="K95" s="816"/>
      <c r="L95" s="816"/>
      <c r="M95" s="816"/>
      <c r="N95" s="816"/>
      <c r="O95" s="816"/>
      <c r="P95" s="816"/>
      <c r="Q95" s="816"/>
      <c r="R95" s="816"/>
      <c r="S95" s="816"/>
      <c r="T95" s="816"/>
      <c r="U95" s="816"/>
      <c r="V95" s="816"/>
      <c r="W95" s="816"/>
      <c r="X95" s="816"/>
      <c r="Y95" s="816"/>
      <c r="Z95" s="816"/>
      <c r="AA95" s="816"/>
      <c r="AB95" s="816"/>
      <c r="AC95" s="816"/>
      <c r="AD95" s="816"/>
      <c r="AE95" s="816"/>
      <c r="AF95" s="816"/>
      <c r="AG95" s="816"/>
      <c r="AH95" s="816"/>
      <c r="AI95" s="816"/>
      <c r="AJ95" s="816"/>
      <c r="AK95" s="816"/>
      <c r="AL95" s="816"/>
      <c r="AM95" s="816"/>
      <c r="AN95" s="816"/>
      <c r="AO95" s="816"/>
      <c r="AP95" s="816"/>
      <c r="AQ95" s="816"/>
      <c r="AR95" s="816"/>
      <c r="AS95" s="816"/>
      <c r="AT95" s="816"/>
      <c r="AU95" s="816"/>
      <c r="AV95" s="816"/>
      <c r="AW95" s="816"/>
      <c r="AX95" s="816"/>
      <c r="AY95" s="816"/>
      <c r="AZ95" s="816"/>
      <c r="BA95" s="816"/>
      <c r="BB95" s="816"/>
      <c r="BC95" s="816"/>
      <c r="BD95" s="816"/>
      <c r="BE95" s="816"/>
      <c r="BF95" s="816"/>
      <c r="BG95" s="816"/>
      <c r="BH95" s="816"/>
      <c r="BI95" s="534"/>
      <c r="BJ95" s="534"/>
      <c r="BK95" s="250"/>
      <c r="BL95" s="9"/>
      <c r="BM95" s="9"/>
      <c r="BN95" s="9"/>
      <c r="BO95" s="9"/>
      <c r="BP95" s="9"/>
      <c r="BQ95" s="9"/>
      <c r="BR95" s="9"/>
      <c r="BS95" s="86"/>
      <c r="BT95" s="9"/>
      <c r="BU95" s="9"/>
      <c r="BV95" s="9"/>
      <c r="BW95" s="9"/>
      <c r="BX95" s="9"/>
      <c r="BY95" s="9"/>
      <c r="BZ95" s="9"/>
      <c r="CA95" s="128"/>
      <c r="CB95" s="9"/>
    </row>
    <row r="96" spans="1:80" x14ac:dyDescent="0.25">
      <c r="C96" s="375"/>
      <c r="D96" s="375"/>
      <c r="E96" s="375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49"/>
      <c r="AC96" s="349"/>
      <c r="AD96" s="349"/>
      <c r="AE96" s="349"/>
      <c r="AF96" s="349"/>
      <c r="AG96" s="349"/>
      <c r="AH96" s="349"/>
      <c r="AI96" s="349"/>
      <c r="AJ96" s="349"/>
      <c r="AK96" s="349"/>
      <c r="AL96" s="349"/>
      <c r="AM96" s="349"/>
      <c r="AN96" s="349"/>
      <c r="AO96" s="349"/>
      <c r="AP96" s="349"/>
      <c r="AQ96" s="349"/>
      <c r="AR96" s="349"/>
      <c r="AS96" s="349"/>
      <c r="AT96" s="349"/>
      <c r="AU96" s="349"/>
      <c r="AV96" s="349"/>
      <c r="AW96" s="349"/>
      <c r="AX96" s="349"/>
      <c r="AY96" s="349"/>
      <c r="AZ96" s="349"/>
      <c r="BA96" s="349"/>
      <c r="BB96" s="349"/>
      <c r="BC96" s="349"/>
      <c r="BD96" s="349"/>
      <c r="BE96" s="349"/>
      <c r="BF96" s="349"/>
      <c r="BG96" s="349"/>
      <c r="BH96" s="34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86"/>
      <c r="BT96" s="9"/>
      <c r="BU96" s="9"/>
      <c r="BV96" s="9"/>
      <c r="BW96" s="9"/>
      <c r="BX96" s="9"/>
      <c r="BY96" s="9"/>
      <c r="BZ96" s="9"/>
      <c r="CA96" s="128"/>
      <c r="CB96" s="9"/>
    </row>
    <row r="97" spans="1:60" x14ac:dyDescent="0.25">
      <c r="C97" s="375"/>
      <c r="D97" s="375"/>
      <c r="E97" s="375"/>
      <c r="F97" s="375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  <c r="AE97" s="375"/>
      <c r="AF97" s="375"/>
      <c r="AG97" s="375"/>
      <c r="AH97" s="375"/>
      <c r="AI97" s="375"/>
      <c r="AJ97" s="375"/>
      <c r="AK97" s="375"/>
      <c r="AL97" s="375"/>
      <c r="AM97" s="375"/>
      <c r="AN97" s="375"/>
      <c r="AO97" s="375"/>
      <c r="AP97" s="375"/>
      <c r="AQ97" s="375"/>
      <c r="AR97" s="375"/>
      <c r="AS97" s="375"/>
      <c r="AT97" s="375"/>
      <c r="AU97" s="375"/>
      <c r="AV97" s="375"/>
      <c r="AW97" s="375"/>
      <c r="AX97" s="375"/>
      <c r="AY97" s="375"/>
      <c r="AZ97" s="375"/>
      <c r="BA97" s="375"/>
      <c r="BB97" s="375"/>
      <c r="BC97" s="375"/>
      <c r="BD97" s="375"/>
      <c r="BE97" s="375"/>
      <c r="BF97" s="375"/>
      <c r="BG97" s="375"/>
      <c r="BH97" s="375"/>
    </row>
    <row r="98" spans="1:60" ht="18.75" customHeight="1" x14ac:dyDescent="0.3">
      <c r="C98" s="2205"/>
      <c r="D98" s="2206"/>
      <c r="E98" s="2206"/>
      <c r="F98" s="2206"/>
      <c r="G98" s="2206"/>
      <c r="H98" s="2206"/>
      <c r="I98" s="2206"/>
      <c r="J98" s="2206"/>
      <c r="K98" s="2206"/>
      <c r="L98" s="2206"/>
      <c r="M98" s="2206"/>
      <c r="N98" s="2206"/>
      <c r="O98" s="2206"/>
      <c r="P98" s="2206"/>
      <c r="Q98" s="2206"/>
      <c r="R98" s="2206"/>
      <c r="S98" s="2206"/>
      <c r="T98" s="2206"/>
      <c r="U98" s="2206"/>
      <c r="V98" s="2206"/>
      <c r="W98" s="2206"/>
      <c r="X98" s="2206"/>
      <c r="Y98" s="2206"/>
      <c r="Z98" s="2206"/>
      <c r="AA98" s="2206"/>
      <c r="AB98" s="816"/>
      <c r="AC98" s="816"/>
      <c r="AD98" s="816"/>
      <c r="AE98" s="816"/>
      <c r="AF98" s="816"/>
      <c r="AG98" s="816"/>
      <c r="AH98" s="816"/>
      <c r="AI98" s="816"/>
      <c r="AJ98" s="816"/>
      <c r="AK98" s="375"/>
      <c r="AL98" s="375"/>
      <c r="AM98" s="375"/>
      <c r="AN98" s="375"/>
      <c r="AO98" s="375"/>
      <c r="AP98" s="375"/>
      <c r="AQ98" s="375"/>
      <c r="AR98" s="375"/>
      <c r="AS98" s="375"/>
      <c r="AT98" s="375"/>
      <c r="AU98" s="375"/>
      <c r="AV98" s="375"/>
      <c r="AW98" s="375"/>
      <c r="AX98" s="375"/>
      <c r="AY98" s="375"/>
      <c r="AZ98" s="375"/>
      <c r="BA98" s="375"/>
      <c r="BB98" s="375"/>
      <c r="BC98" s="375"/>
      <c r="BD98" s="375"/>
      <c r="BE98" s="375"/>
      <c r="BF98" s="375"/>
      <c r="BG98" s="375"/>
      <c r="BH98" s="375"/>
    </row>
    <row r="99" spans="1:60" ht="18" x14ac:dyDescent="0.25">
      <c r="C99" s="825" t="s">
        <v>53</v>
      </c>
      <c r="D99" s="825"/>
      <c r="E99" s="825"/>
      <c r="F99" s="825"/>
      <c r="G99" s="825"/>
      <c r="H99" s="825"/>
      <c r="I99" s="825"/>
      <c r="J99" s="825"/>
      <c r="K99" s="825"/>
      <c r="L99" s="825"/>
      <c r="M99" s="825"/>
      <c r="N99" s="825"/>
      <c r="O99" s="825"/>
      <c r="P99" s="825"/>
      <c r="Q99" s="825"/>
      <c r="R99" s="825"/>
      <c r="S99" s="825"/>
      <c r="T99" s="825"/>
      <c r="U99" s="825"/>
      <c r="V99" s="825"/>
      <c r="W99" s="825"/>
      <c r="X99" s="825"/>
      <c r="Y99" s="825"/>
      <c r="Z99" s="825"/>
      <c r="AA99" s="825"/>
      <c r="AB99" s="816"/>
      <c r="AC99" s="816"/>
      <c r="AD99" s="816"/>
      <c r="AE99" s="816"/>
      <c r="AF99" s="816"/>
      <c r="AG99" s="816"/>
      <c r="AH99" s="816"/>
      <c r="AI99" s="816"/>
      <c r="AJ99" s="816"/>
      <c r="AK99" s="375"/>
      <c r="AL99" s="375"/>
      <c r="AM99" s="375"/>
      <c r="AN99" s="375"/>
      <c r="AO99" s="375"/>
      <c r="AP99" s="375"/>
      <c r="AQ99" s="375"/>
      <c r="AR99" s="375"/>
      <c r="AS99" s="375"/>
      <c r="AT99" s="375"/>
      <c r="AU99" s="375"/>
      <c r="AV99" s="375"/>
      <c r="AW99" s="375"/>
      <c r="AX99" s="375"/>
      <c r="AY99" s="375"/>
      <c r="AZ99" s="375"/>
      <c r="BA99" s="375"/>
      <c r="BB99" s="375"/>
      <c r="BC99" s="375"/>
      <c r="BD99" s="375"/>
      <c r="BE99" s="375"/>
      <c r="BF99" s="375"/>
      <c r="BG99" s="375"/>
      <c r="BH99" s="375"/>
    </row>
    <row r="100" spans="1:60" ht="18" x14ac:dyDescent="0.25">
      <c r="C100" s="825"/>
      <c r="D100" s="825"/>
      <c r="E100" s="825"/>
      <c r="F100" s="825"/>
      <c r="G100" s="825"/>
      <c r="H100" s="825"/>
      <c r="I100" s="825"/>
      <c r="J100" s="1571"/>
      <c r="K100" s="1571"/>
      <c r="L100" s="1571"/>
      <c r="M100" s="1571"/>
      <c r="N100" s="1571"/>
      <c r="O100" s="1571"/>
      <c r="P100" s="1571"/>
      <c r="Q100" s="1571"/>
      <c r="R100" s="1571"/>
      <c r="S100" s="1571"/>
      <c r="T100" s="1571"/>
      <c r="U100" s="1571"/>
      <c r="V100" s="1571"/>
      <c r="W100" s="1571"/>
      <c r="X100" s="1571"/>
      <c r="Y100" s="1571"/>
      <c r="Z100" s="1571"/>
      <c r="AA100" s="1571"/>
      <c r="AB100" s="1571"/>
      <c r="AC100" s="1571"/>
      <c r="AD100" s="1571"/>
      <c r="AE100" s="1571"/>
      <c r="AF100" s="1571"/>
      <c r="AG100" s="1571"/>
      <c r="AH100" s="1571"/>
      <c r="AI100" s="1571"/>
      <c r="AJ100" s="1571"/>
      <c r="AK100" s="1571"/>
      <c r="AL100" s="375"/>
      <c r="AM100" s="375"/>
      <c r="AN100" s="375"/>
      <c r="AO100" s="375"/>
      <c r="AP100" s="375"/>
      <c r="AQ100" s="375"/>
      <c r="AR100" s="375"/>
      <c r="AS100" s="375"/>
      <c r="AT100" s="375"/>
      <c r="AU100" s="375"/>
      <c r="AV100" s="375"/>
      <c r="AW100" s="375"/>
      <c r="AX100" s="375"/>
      <c r="AY100" s="375"/>
      <c r="AZ100" s="375"/>
      <c r="BA100" s="375"/>
      <c r="BB100" s="375"/>
      <c r="BC100" s="375"/>
      <c r="BD100" s="375"/>
      <c r="BE100" s="375"/>
      <c r="BF100" s="375"/>
      <c r="BG100" s="375"/>
      <c r="BH100" s="375"/>
    </row>
    <row r="101" spans="1:60" ht="18" x14ac:dyDescent="0.25">
      <c r="C101" s="825"/>
      <c r="D101" s="825"/>
      <c r="E101" s="825"/>
      <c r="F101" s="825"/>
      <c r="G101" s="825"/>
      <c r="H101" s="825"/>
      <c r="I101" s="825"/>
      <c r="J101" s="1571"/>
      <c r="K101" s="1571"/>
      <c r="L101" s="1571"/>
      <c r="M101" s="1571"/>
      <c r="N101" s="1571"/>
      <c r="O101" s="1571"/>
      <c r="P101" s="1571"/>
      <c r="Q101" s="1571"/>
      <c r="R101" s="1571"/>
      <c r="S101" s="1571"/>
      <c r="T101" s="1571"/>
      <c r="U101" s="1571"/>
      <c r="V101" s="1571"/>
      <c r="W101" s="1571"/>
      <c r="X101" s="1571"/>
      <c r="Y101" s="1571"/>
      <c r="Z101" s="1571"/>
      <c r="AA101" s="1571"/>
      <c r="AB101" s="1571"/>
      <c r="AC101" s="1571"/>
      <c r="AD101" s="1571"/>
      <c r="AE101" s="1571"/>
      <c r="AF101" s="1571"/>
      <c r="AG101" s="1571"/>
      <c r="AH101" s="1571"/>
      <c r="AI101" s="1571"/>
      <c r="AJ101" s="1571"/>
      <c r="AK101" s="1571"/>
      <c r="AL101" s="375"/>
      <c r="AM101" s="375"/>
      <c r="AN101" s="375"/>
      <c r="AO101" s="375"/>
      <c r="AP101" s="375"/>
      <c r="AQ101" s="375"/>
      <c r="AR101" s="375"/>
      <c r="AS101" s="375"/>
      <c r="AT101" s="375"/>
      <c r="AU101" s="375"/>
      <c r="AV101" s="375"/>
      <c r="AW101" s="375"/>
      <c r="AX101" s="375"/>
      <c r="AY101" s="375"/>
      <c r="AZ101" s="375"/>
      <c r="BA101" s="375"/>
      <c r="BB101" s="375"/>
      <c r="BC101" s="375"/>
      <c r="BD101" s="375"/>
      <c r="BE101" s="375"/>
      <c r="BF101" s="375"/>
      <c r="BG101" s="375"/>
      <c r="BH101" s="375"/>
    </row>
    <row r="102" spans="1:60" ht="26.25" customHeight="1" x14ac:dyDescent="0.25">
      <c r="A102" s="2017" t="s">
        <v>0</v>
      </c>
      <c r="B102" s="2020"/>
      <c r="C102" s="2197" t="s">
        <v>184</v>
      </c>
      <c r="D102" s="2197" t="s">
        <v>54</v>
      </c>
      <c r="E102" s="2197" t="s">
        <v>55</v>
      </c>
      <c r="F102" s="2197" t="s">
        <v>56</v>
      </c>
      <c r="G102" s="2197" t="s">
        <v>57</v>
      </c>
      <c r="H102" s="2197" t="s">
        <v>6</v>
      </c>
      <c r="I102" s="1341"/>
      <c r="J102" s="1571"/>
      <c r="K102" s="1571"/>
      <c r="L102" s="1571"/>
      <c r="M102" s="1571"/>
      <c r="N102" s="1571"/>
      <c r="O102" s="1571"/>
      <c r="P102" s="1571"/>
      <c r="Q102" s="1571"/>
      <c r="R102" s="1571"/>
      <c r="S102" s="1571"/>
      <c r="T102" s="1571"/>
      <c r="U102" s="1571"/>
      <c r="V102" s="1571"/>
      <c r="W102" s="1571"/>
      <c r="X102" s="1571"/>
      <c r="Y102" s="1571"/>
      <c r="Z102" s="1571"/>
      <c r="AA102" s="1571"/>
      <c r="AB102" s="1571"/>
      <c r="AC102" s="1571"/>
      <c r="AD102" s="1571"/>
      <c r="AE102" s="1571"/>
      <c r="AF102" s="1571"/>
      <c r="AG102" s="1571"/>
      <c r="AH102" s="1571"/>
      <c r="AI102" s="1571"/>
      <c r="AJ102" s="1571"/>
      <c r="AK102" s="1571"/>
      <c r="AL102" s="375"/>
      <c r="AM102" s="375"/>
      <c r="AN102" s="375"/>
      <c r="AO102" s="375"/>
      <c r="AP102" s="375"/>
      <c r="AQ102" s="375"/>
      <c r="AR102" s="375"/>
      <c r="AS102" s="375"/>
      <c r="AT102" s="375"/>
      <c r="AU102" s="375"/>
      <c r="AV102" s="375"/>
      <c r="AW102" s="375"/>
      <c r="AX102" s="375"/>
      <c r="AY102" s="375"/>
      <c r="AZ102" s="375"/>
      <c r="BA102" s="375"/>
      <c r="BB102" s="375"/>
      <c r="BC102" s="375"/>
      <c r="BD102" s="375"/>
      <c r="BE102" s="375"/>
      <c r="BF102" s="375"/>
      <c r="BG102" s="375"/>
      <c r="BH102" s="375"/>
    </row>
    <row r="103" spans="1:60" ht="45.75" customHeight="1" x14ac:dyDescent="0.25">
      <c r="A103" s="2017"/>
      <c r="B103" s="2021"/>
      <c r="C103" s="2197"/>
      <c r="D103" s="2197"/>
      <c r="E103" s="2197"/>
      <c r="F103" s="2197"/>
      <c r="G103" s="2197"/>
      <c r="H103" s="2197"/>
      <c r="I103" s="1342"/>
      <c r="J103" s="1571"/>
      <c r="K103" s="1571"/>
      <c r="L103" s="1571"/>
      <c r="M103" s="1571"/>
      <c r="N103" s="1571"/>
      <c r="O103" s="1571"/>
      <c r="P103" s="1571"/>
      <c r="Q103" s="1571"/>
      <c r="R103" s="1571"/>
      <c r="S103" s="1571"/>
      <c r="T103" s="1571"/>
      <c r="U103" s="1571"/>
      <c r="V103" s="1571"/>
      <c r="W103" s="1571"/>
      <c r="X103" s="1571"/>
      <c r="Y103" s="1571"/>
      <c r="Z103" s="1571"/>
      <c r="AA103" s="1571"/>
      <c r="AB103" s="1571"/>
      <c r="AC103" s="1571"/>
      <c r="AD103" s="1571"/>
      <c r="AE103" s="1571"/>
      <c r="AF103" s="1571"/>
      <c r="AG103" s="1571"/>
      <c r="AH103" s="1571"/>
      <c r="AI103" s="1571"/>
      <c r="AJ103" s="1571"/>
      <c r="AK103" s="1571"/>
      <c r="AL103" s="375"/>
      <c r="AM103" s="375"/>
      <c r="AN103" s="375"/>
      <c r="AO103" s="375"/>
      <c r="AP103" s="375"/>
      <c r="AQ103" s="375"/>
      <c r="AR103" s="375"/>
      <c r="AS103" s="375"/>
      <c r="AT103" s="375"/>
      <c r="AU103" s="375"/>
      <c r="AV103" s="375"/>
      <c r="AW103" s="375"/>
      <c r="AX103" s="375"/>
      <c r="AY103" s="375"/>
      <c r="AZ103" s="375"/>
      <c r="BA103" s="375"/>
      <c r="BB103" s="375"/>
      <c r="BC103" s="375"/>
      <c r="BD103" s="375"/>
      <c r="BE103" s="375"/>
      <c r="BF103" s="375"/>
      <c r="BG103" s="375"/>
      <c r="BH103" s="375"/>
    </row>
    <row r="104" spans="1:60" ht="15" customHeight="1" x14ac:dyDescent="0.25">
      <c r="A104" s="16">
        <v>1</v>
      </c>
      <c r="B104" s="16"/>
      <c r="C104" s="424" t="s">
        <v>58</v>
      </c>
      <c r="D104" s="675">
        <v>1976</v>
      </c>
      <c r="E104" s="675">
        <v>3</v>
      </c>
      <c r="F104" s="675">
        <v>24</v>
      </c>
      <c r="G104" s="675">
        <v>97</v>
      </c>
      <c r="H104" s="676">
        <v>1461.2</v>
      </c>
      <c r="I104" s="676"/>
      <c r="J104" s="1571"/>
      <c r="K104" s="1571"/>
      <c r="L104" s="1571"/>
      <c r="M104" s="1571"/>
      <c r="N104" s="1571"/>
      <c r="O104" s="1571"/>
      <c r="P104" s="1571"/>
      <c r="Q104" s="1571"/>
      <c r="R104" s="1571"/>
      <c r="S104" s="1571"/>
      <c r="T104" s="1571"/>
      <c r="U104" s="1571"/>
      <c r="V104" s="1571"/>
      <c r="W104" s="1571"/>
      <c r="X104" s="1571"/>
      <c r="Y104" s="1571"/>
      <c r="Z104" s="1571"/>
      <c r="AA104" s="1571"/>
      <c r="AB104" s="1571"/>
      <c r="AC104" s="1571"/>
      <c r="AD104" s="1571"/>
      <c r="AE104" s="1571"/>
      <c r="AF104" s="1571"/>
      <c r="AG104" s="1571"/>
      <c r="AH104" s="1571"/>
      <c r="AI104" s="1571"/>
      <c r="AJ104" s="1571"/>
      <c r="AK104" s="1571"/>
      <c r="AL104" s="375"/>
      <c r="AM104" s="375"/>
      <c r="AN104" s="375"/>
      <c r="AO104" s="375"/>
      <c r="AP104" s="375"/>
      <c r="AQ104" s="375"/>
      <c r="AR104" s="375"/>
      <c r="AS104" s="375"/>
      <c r="AT104" s="375"/>
      <c r="AU104" s="375"/>
      <c r="AV104" s="375"/>
      <c r="AW104" s="375"/>
      <c r="AX104" s="375"/>
      <c r="AY104" s="375"/>
      <c r="AZ104" s="375"/>
      <c r="BA104" s="375"/>
      <c r="BB104" s="375"/>
      <c r="BC104" s="375"/>
      <c r="BD104" s="375"/>
      <c r="BE104" s="375"/>
      <c r="BF104" s="375"/>
      <c r="BG104" s="375"/>
      <c r="BH104" s="375"/>
    </row>
    <row r="105" spans="1:60" ht="15" customHeight="1" x14ac:dyDescent="0.25">
      <c r="A105" s="16">
        <v>2</v>
      </c>
      <c r="B105" s="16"/>
      <c r="C105" s="424" t="s">
        <v>59</v>
      </c>
      <c r="D105" s="675">
        <v>1977</v>
      </c>
      <c r="E105" s="675">
        <v>3</v>
      </c>
      <c r="F105" s="675">
        <v>24</v>
      </c>
      <c r="G105" s="675">
        <v>81</v>
      </c>
      <c r="H105" s="676">
        <v>1456.7</v>
      </c>
      <c r="I105" s="676"/>
      <c r="J105" s="1571"/>
      <c r="K105" s="1571"/>
      <c r="L105" s="1571"/>
      <c r="M105" s="1571"/>
      <c r="N105" s="1571"/>
      <c r="O105" s="1571"/>
      <c r="P105" s="1571"/>
      <c r="Q105" s="1571"/>
      <c r="R105" s="1571"/>
      <c r="S105" s="1571"/>
      <c r="T105" s="1571"/>
      <c r="U105" s="1571"/>
      <c r="V105" s="1571"/>
      <c r="W105" s="1571"/>
      <c r="X105" s="1571"/>
      <c r="Y105" s="1571"/>
      <c r="Z105" s="1571"/>
      <c r="AA105" s="1571"/>
      <c r="AB105" s="1571"/>
      <c r="AC105" s="1571"/>
      <c r="AD105" s="1571"/>
      <c r="AE105" s="1571"/>
      <c r="AF105" s="1571"/>
      <c r="AG105" s="1571"/>
      <c r="AH105" s="1571"/>
      <c r="AI105" s="1571"/>
      <c r="AJ105" s="1571"/>
      <c r="AK105" s="1571"/>
      <c r="AL105" s="375"/>
      <c r="AM105" s="375"/>
      <c r="AN105" s="375"/>
      <c r="AO105" s="375"/>
      <c r="AP105" s="375"/>
      <c r="AQ105" s="375"/>
      <c r="AR105" s="375"/>
      <c r="AS105" s="375"/>
      <c r="AT105" s="375"/>
      <c r="AU105" s="375"/>
      <c r="AV105" s="375"/>
      <c r="AW105" s="375"/>
      <c r="AX105" s="375"/>
      <c r="AY105" s="375"/>
      <c r="AZ105" s="375"/>
      <c r="BA105" s="375"/>
      <c r="BB105" s="375"/>
      <c r="BC105" s="375"/>
      <c r="BD105" s="375"/>
      <c r="BE105" s="375"/>
      <c r="BF105" s="375"/>
      <c r="BG105" s="375"/>
      <c r="BH105" s="375"/>
    </row>
    <row r="106" spans="1:60" ht="15" customHeight="1" x14ac:dyDescent="0.25">
      <c r="A106" s="16">
        <v>3</v>
      </c>
      <c r="B106" s="16"/>
      <c r="C106" s="424" t="s">
        <v>60</v>
      </c>
      <c r="D106" s="675">
        <v>1972</v>
      </c>
      <c r="E106" s="675">
        <v>2</v>
      </c>
      <c r="F106" s="675">
        <v>18</v>
      </c>
      <c r="G106" s="675">
        <v>57</v>
      </c>
      <c r="H106" s="676">
        <v>776.8</v>
      </c>
      <c r="I106" s="676"/>
      <c r="J106" s="1571"/>
      <c r="K106" s="1571"/>
      <c r="L106" s="1571"/>
      <c r="M106" s="1571"/>
      <c r="N106" s="1571"/>
      <c r="O106" s="1571"/>
      <c r="P106" s="1571"/>
      <c r="Q106" s="1571"/>
      <c r="R106" s="1571"/>
      <c r="S106" s="1571"/>
      <c r="T106" s="1571"/>
      <c r="U106" s="1571"/>
      <c r="V106" s="1571"/>
      <c r="W106" s="1571"/>
      <c r="X106" s="1571"/>
      <c r="Y106" s="1571"/>
      <c r="Z106" s="1571"/>
      <c r="AA106" s="1571"/>
      <c r="AB106" s="1571"/>
      <c r="AC106" s="1571"/>
      <c r="AD106" s="1571"/>
      <c r="AE106" s="1571"/>
      <c r="AF106" s="1571"/>
      <c r="AG106" s="1571"/>
      <c r="AH106" s="1571"/>
      <c r="AI106" s="1571"/>
      <c r="AJ106" s="1571"/>
      <c r="AK106" s="1571"/>
      <c r="AL106" s="375"/>
      <c r="AM106" s="375"/>
      <c r="AN106" s="375"/>
      <c r="AO106" s="375"/>
      <c r="AP106" s="375"/>
      <c r="AQ106" s="375"/>
      <c r="AR106" s="375"/>
      <c r="AS106" s="375"/>
      <c r="AT106" s="375"/>
      <c r="AU106" s="375"/>
      <c r="AV106" s="375"/>
      <c r="AW106" s="375"/>
      <c r="AX106" s="375"/>
      <c r="AY106" s="375"/>
      <c r="AZ106" s="375"/>
      <c r="BA106" s="375"/>
      <c r="BB106" s="375"/>
      <c r="BC106" s="375"/>
      <c r="BD106" s="375"/>
      <c r="BE106" s="375"/>
      <c r="BF106" s="375"/>
      <c r="BG106" s="375"/>
      <c r="BH106" s="375"/>
    </row>
    <row r="107" spans="1:60" ht="15" customHeight="1" x14ac:dyDescent="0.25">
      <c r="A107" s="16">
        <v>4</v>
      </c>
      <c r="B107" s="16"/>
      <c r="C107" s="424" t="s">
        <v>61</v>
      </c>
      <c r="D107" s="675">
        <v>1973</v>
      </c>
      <c r="E107" s="675">
        <v>2</v>
      </c>
      <c r="F107" s="675">
        <v>18</v>
      </c>
      <c r="G107" s="675">
        <v>49</v>
      </c>
      <c r="H107" s="676">
        <v>773.51</v>
      </c>
      <c r="I107" s="676"/>
      <c r="J107" s="1571"/>
      <c r="K107" s="1571"/>
      <c r="L107" s="1571"/>
      <c r="M107" s="1571"/>
      <c r="N107" s="1571"/>
      <c r="O107" s="1571"/>
      <c r="P107" s="1571"/>
      <c r="Q107" s="1571"/>
      <c r="R107" s="1571"/>
      <c r="S107" s="1571"/>
      <c r="T107" s="1571"/>
      <c r="U107" s="1571"/>
      <c r="V107" s="1571"/>
      <c r="W107" s="1571"/>
      <c r="X107" s="1571"/>
      <c r="Y107" s="1571"/>
      <c r="Z107" s="1571"/>
      <c r="AA107" s="1571"/>
      <c r="AB107" s="1571"/>
      <c r="AC107" s="1571"/>
      <c r="AD107" s="1571"/>
      <c r="AE107" s="1571"/>
      <c r="AF107" s="1571"/>
      <c r="AG107" s="1571"/>
      <c r="AH107" s="1571"/>
      <c r="AI107" s="1571"/>
      <c r="AJ107" s="1571"/>
      <c r="AK107" s="1571"/>
      <c r="AL107" s="375"/>
      <c r="AM107" s="375"/>
      <c r="AN107" s="375"/>
      <c r="AO107" s="375"/>
      <c r="AP107" s="375"/>
      <c r="AQ107" s="375"/>
      <c r="AR107" s="375"/>
      <c r="AS107" s="375"/>
      <c r="AT107" s="375"/>
      <c r="AU107" s="375"/>
      <c r="AV107" s="375"/>
      <c r="AW107" s="375"/>
      <c r="AX107" s="375"/>
      <c r="AY107" s="375"/>
      <c r="AZ107" s="375"/>
      <c r="BA107" s="375"/>
      <c r="BB107" s="375"/>
      <c r="BC107" s="375"/>
      <c r="BD107" s="375"/>
      <c r="BE107" s="375"/>
      <c r="BF107" s="375"/>
      <c r="BG107" s="375"/>
      <c r="BH107" s="375"/>
    </row>
    <row r="108" spans="1:60" ht="15" customHeight="1" x14ac:dyDescent="0.25">
      <c r="A108" s="16">
        <v>5</v>
      </c>
      <c r="B108" s="16"/>
      <c r="C108" s="424" t="s">
        <v>62</v>
      </c>
      <c r="D108" s="675">
        <v>1980</v>
      </c>
      <c r="E108" s="675">
        <v>3</v>
      </c>
      <c r="F108" s="675">
        <v>36</v>
      </c>
      <c r="G108" s="675">
        <v>93</v>
      </c>
      <c r="H108" s="676">
        <v>1799.9</v>
      </c>
      <c r="I108" s="676"/>
      <c r="J108" s="1571"/>
      <c r="K108" s="1571"/>
      <c r="L108" s="1571"/>
      <c r="M108" s="1571"/>
      <c r="N108" s="1571"/>
      <c r="O108" s="1571"/>
      <c r="P108" s="1571"/>
      <c r="Q108" s="1571"/>
      <c r="R108" s="1571"/>
      <c r="S108" s="1571"/>
      <c r="T108" s="1571"/>
      <c r="U108" s="1571"/>
      <c r="V108" s="1571"/>
      <c r="W108" s="1571"/>
      <c r="X108" s="1571"/>
      <c r="Y108" s="1571"/>
      <c r="Z108" s="1571"/>
      <c r="AA108" s="1571"/>
      <c r="AB108" s="1571"/>
      <c r="AC108" s="1571"/>
      <c r="AD108" s="1571"/>
      <c r="AE108" s="1571"/>
      <c r="AF108" s="1571"/>
      <c r="AG108" s="1571"/>
      <c r="AH108" s="1571"/>
      <c r="AI108" s="1571"/>
      <c r="AJ108" s="1571"/>
      <c r="AK108" s="1571"/>
      <c r="AL108" s="375"/>
      <c r="AM108" s="375"/>
      <c r="AN108" s="375"/>
      <c r="AO108" s="375"/>
      <c r="AP108" s="375"/>
      <c r="AQ108" s="375"/>
      <c r="AR108" s="375"/>
      <c r="AS108" s="375"/>
      <c r="AT108" s="375"/>
      <c r="AU108" s="375"/>
      <c r="AV108" s="375"/>
      <c r="AW108" s="375"/>
      <c r="AX108" s="375"/>
      <c r="AY108" s="375"/>
      <c r="AZ108" s="375"/>
      <c r="BA108" s="375"/>
      <c r="BB108" s="375"/>
      <c r="BC108" s="375"/>
      <c r="BD108" s="375"/>
      <c r="BE108" s="375"/>
      <c r="BF108" s="375"/>
      <c r="BG108" s="375"/>
      <c r="BH108" s="375"/>
    </row>
    <row r="109" spans="1:60" ht="15" customHeight="1" x14ac:dyDescent="0.25">
      <c r="A109" s="16">
        <v>6</v>
      </c>
      <c r="B109" s="16"/>
      <c r="C109" s="424" t="s">
        <v>63</v>
      </c>
      <c r="D109" s="675">
        <v>1982</v>
      </c>
      <c r="E109" s="675">
        <v>3</v>
      </c>
      <c r="F109" s="675">
        <v>24</v>
      </c>
      <c r="G109" s="675">
        <v>84</v>
      </c>
      <c r="H109" s="676">
        <v>1454.2</v>
      </c>
      <c r="I109" s="676"/>
      <c r="J109" s="1571"/>
      <c r="K109" s="1571"/>
      <c r="L109" s="1571"/>
      <c r="M109" s="1571"/>
      <c r="N109" s="1571"/>
      <c r="O109" s="1571"/>
      <c r="P109" s="1571"/>
      <c r="Q109" s="1571"/>
      <c r="R109" s="1571"/>
      <c r="S109" s="1571"/>
      <c r="T109" s="1571"/>
      <c r="U109" s="1571"/>
      <c r="V109" s="1571"/>
      <c r="W109" s="1571"/>
      <c r="X109" s="1571"/>
      <c r="Y109" s="1571"/>
      <c r="Z109" s="1571"/>
      <c r="AA109" s="1571"/>
      <c r="AB109" s="1571"/>
      <c r="AC109" s="1571"/>
      <c r="AD109" s="1571"/>
      <c r="AE109" s="1571"/>
      <c r="AF109" s="1571"/>
      <c r="AG109" s="1571"/>
      <c r="AH109" s="1571"/>
      <c r="AI109" s="1571"/>
      <c r="AJ109" s="1571"/>
      <c r="AK109" s="1571"/>
      <c r="AL109" s="375"/>
      <c r="AM109" s="375"/>
      <c r="AN109" s="375"/>
      <c r="AO109" s="375"/>
      <c r="AP109" s="375"/>
      <c r="AQ109" s="375"/>
      <c r="AR109" s="375"/>
      <c r="AS109" s="375"/>
      <c r="AT109" s="375"/>
      <c r="AU109" s="375"/>
      <c r="AV109" s="375"/>
      <c r="AW109" s="375"/>
      <c r="AX109" s="375"/>
      <c r="AY109" s="375"/>
      <c r="AZ109" s="375"/>
      <c r="BA109" s="375"/>
      <c r="BB109" s="375"/>
      <c r="BC109" s="375"/>
      <c r="BD109" s="375"/>
      <c r="BE109" s="375"/>
      <c r="BF109" s="375"/>
      <c r="BG109" s="375"/>
      <c r="BH109" s="375"/>
    </row>
    <row r="110" spans="1:60" ht="15" customHeight="1" x14ac:dyDescent="0.25">
      <c r="A110" s="16">
        <v>7</v>
      </c>
      <c r="B110" s="16"/>
      <c r="C110" s="424" t="s">
        <v>64</v>
      </c>
      <c r="D110" s="675">
        <v>1982</v>
      </c>
      <c r="E110" s="675">
        <v>3</v>
      </c>
      <c r="F110" s="675">
        <v>24</v>
      </c>
      <c r="G110" s="675">
        <v>95</v>
      </c>
      <c r="H110" s="676">
        <v>1458.3</v>
      </c>
      <c r="I110" s="676"/>
      <c r="J110" s="1571"/>
      <c r="K110" s="1571"/>
      <c r="L110" s="1571"/>
      <c r="M110" s="1571"/>
      <c r="N110" s="1571"/>
      <c r="O110" s="1571"/>
      <c r="P110" s="1571"/>
      <c r="Q110" s="1571"/>
      <c r="R110" s="1571"/>
      <c r="S110" s="1571"/>
      <c r="T110" s="1571"/>
      <c r="U110" s="1571"/>
      <c r="V110" s="1571"/>
      <c r="W110" s="1571"/>
      <c r="X110" s="1571"/>
      <c r="Y110" s="1571"/>
      <c r="Z110" s="1571"/>
      <c r="AA110" s="1571"/>
      <c r="AB110" s="1571"/>
      <c r="AC110" s="1571"/>
      <c r="AD110" s="1571"/>
      <c r="AE110" s="1571"/>
      <c r="AF110" s="1571"/>
      <c r="AG110" s="1571"/>
      <c r="AH110" s="1571"/>
      <c r="AI110" s="1571"/>
      <c r="AJ110" s="1571"/>
      <c r="AK110" s="1571"/>
      <c r="AL110" s="375"/>
      <c r="AM110" s="375"/>
      <c r="AN110" s="375"/>
      <c r="AO110" s="375"/>
      <c r="AP110" s="375"/>
      <c r="AQ110" s="375"/>
      <c r="AR110" s="375"/>
      <c r="AS110" s="375"/>
      <c r="AT110" s="375"/>
      <c r="AU110" s="375"/>
      <c r="AV110" s="375"/>
      <c r="AW110" s="375"/>
      <c r="AX110" s="375"/>
      <c r="AY110" s="375"/>
      <c r="AZ110" s="375"/>
      <c r="BA110" s="375"/>
      <c r="BB110" s="375"/>
      <c r="BC110" s="375"/>
      <c r="BD110" s="375"/>
      <c r="BE110" s="375"/>
      <c r="BF110" s="375"/>
      <c r="BG110" s="375"/>
      <c r="BH110" s="375"/>
    </row>
    <row r="111" spans="1:60" ht="15" customHeight="1" x14ac:dyDescent="0.25">
      <c r="A111" s="16">
        <v>8</v>
      </c>
      <c r="B111" s="16"/>
      <c r="C111" s="424" t="s">
        <v>65</v>
      </c>
      <c r="D111" s="675">
        <v>1983</v>
      </c>
      <c r="E111" s="675">
        <v>3</v>
      </c>
      <c r="F111" s="675">
        <v>24</v>
      </c>
      <c r="G111" s="675">
        <v>83</v>
      </c>
      <c r="H111" s="676">
        <v>1446.6</v>
      </c>
      <c r="I111" s="676"/>
      <c r="J111" s="1571"/>
      <c r="K111" s="1571"/>
      <c r="L111" s="1571"/>
      <c r="M111" s="1571"/>
      <c r="N111" s="1571"/>
      <c r="O111" s="1571"/>
      <c r="P111" s="1571"/>
      <c r="Q111" s="1571"/>
      <c r="R111" s="1571"/>
      <c r="S111" s="1571"/>
      <c r="T111" s="1571"/>
      <c r="U111" s="1571"/>
      <c r="V111" s="1571"/>
      <c r="W111" s="1571"/>
      <c r="X111" s="1571"/>
      <c r="Y111" s="1571"/>
      <c r="Z111" s="1571"/>
      <c r="AA111" s="1571"/>
      <c r="AB111" s="1571"/>
      <c r="AC111" s="1571"/>
      <c r="AD111" s="1571"/>
      <c r="AE111" s="1571"/>
      <c r="AF111" s="1571"/>
      <c r="AG111" s="1571"/>
      <c r="AH111" s="1571"/>
      <c r="AI111" s="1571"/>
      <c r="AJ111" s="1571"/>
      <c r="AK111" s="1571"/>
      <c r="AL111" s="375"/>
      <c r="AM111" s="375"/>
      <c r="AN111" s="375"/>
      <c r="AO111" s="375"/>
      <c r="AP111" s="375"/>
      <c r="AQ111" s="375"/>
      <c r="AR111" s="375"/>
      <c r="AS111" s="375"/>
      <c r="AT111" s="375"/>
      <c r="AU111" s="375"/>
      <c r="AV111" s="375"/>
      <c r="AW111" s="375"/>
      <c r="AX111" s="375"/>
      <c r="AY111" s="375"/>
      <c r="AZ111" s="375"/>
      <c r="BA111" s="375"/>
      <c r="BB111" s="375"/>
      <c r="BC111" s="375"/>
      <c r="BD111" s="375"/>
      <c r="BE111" s="375"/>
      <c r="BF111" s="375"/>
      <c r="BG111" s="375"/>
      <c r="BH111" s="375"/>
    </row>
    <row r="112" spans="1:60" ht="15" customHeight="1" x14ac:dyDescent="0.25">
      <c r="A112" s="16">
        <v>9</v>
      </c>
      <c r="B112" s="16"/>
      <c r="C112" s="424" t="s">
        <v>66</v>
      </c>
      <c r="D112" s="675">
        <v>1984</v>
      </c>
      <c r="E112" s="675">
        <v>3</v>
      </c>
      <c r="F112" s="675">
        <v>24</v>
      </c>
      <c r="G112" s="675">
        <v>68</v>
      </c>
      <c r="H112" s="676">
        <v>1448</v>
      </c>
      <c r="I112" s="676"/>
      <c r="J112" s="1571"/>
      <c r="K112" s="1571"/>
      <c r="L112" s="1571"/>
      <c r="M112" s="1571"/>
      <c r="N112" s="1571"/>
      <c r="O112" s="1571"/>
      <c r="P112" s="1571"/>
      <c r="Q112" s="1571"/>
      <c r="R112" s="1571"/>
      <c r="S112" s="1571"/>
      <c r="T112" s="1571"/>
      <c r="U112" s="1571"/>
      <c r="V112" s="1571"/>
      <c r="W112" s="1571"/>
      <c r="X112" s="1571"/>
      <c r="Y112" s="1571"/>
      <c r="Z112" s="1571"/>
      <c r="AA112" s="1571"/>
      <c r="AB112" s="1571"/>
      <c r="AC112" s="1571"/>
      <c r="AD112" s="1571"/>
      <c r="AE112" s="1571"/>
      <c r="AF112" s="1571"/>
      <c r="AG112" s="1571"/>
      <c r="AH112" s="1571"/>
      <c r="AI112" s="1571"/>
      <c r="AJ112" s="1571"/>
      <c r="AK112" s="1571"/>
      <c r="AL112" s="375"/>
      <c r="AM112" s="375"/>
      <c r="AN112" s="375"/>
      <c r="AO112" s="375"/>
      <c r="AP112" s="375"/>
      <c r="AQ112" s="375"/>
      <c r="AR112" s="375"/>
      <c r="AS112" s="375"/>
      <c r="AT112" s="375"/>
      <c r="AU112" s="375"/>
      <c r="AV112" s="375"/>
      <c r="AW112" s="375"/>
      <c r="AX112" s="375"/>
      <c r="AY112" s="375"/>
      <c r="AZ112" s="375"/>
      <c r="BA112" s="375"/>
      <c r="BB112" s="375"/>
      <c r="BC112" s="375"/>
      <c r="BD112" s="375"/>
      <c r="BE112" s="375"/>
      <c r="BF112" s="375"/>
      <c r="BG112" s="375"/>
      <c r="BH112" s="375"/>
    </row>
    <row r="113" spans="1:60" ht="15" customHeight="1" x14ac:dyDescent="0.25">
      <c r="A113" s="16">
        <v>10</v>
      </c>
      <c r="B113" s="16"/>
      <c r="C113" s="424" t="s">
        <v>67</v>
      </c>
      <c r="D113" s="675">
        <v>1987</v>
      </c>
      <c r="E113" s="675">
        <v>3</v>
      </c>
      <c r="F113" s="675">
        <v>27</v>
      </c>
      <c r="G113" s="675">
        <v>82</v>
      </c>
      <c r="H113" s="676">
        <v>1459.2</v>
      </c>
      <c r="I113" s="676"/>
      <c r="J113" s="1571"/>
      <c r="K113" s="1571"/>
      <c r="L113" s="1571"/>
      <c r="M113" s="1571"/>
      <c r="N113" s="1571"/>
      <c r="O113" s="1571"/>
      <c r="P113" s="1571"/>
      <c r="Q113" s="1571"/>
      <c r="R113" s="1571"/>
      <c r="S113" s="1571"/>
      <c r="T113" s="1571"/>
      <c r="U113" s="1571"/>
      <c r="V113" s="1571"/>
      <c r="W113" s="1571"/>
      <c r="X113" s="1571"/>
      <c r="Y113" s="1571"/>
      <c r="Z113" s="1571"/>
      <c r="AA113" s="1571"/>
      <c r="AB113" s="1571"/>
      <c r="AC113" s="1571"/>
      <c r="AD113" s="1571"/>
      <c r="AE113" s="1571"/>
      <c r="AF113" s="1571"/>
      <c r="AG113" s="1571"/>
      <c r="AH113" s="1571"/>
      <c r="AI113" s="1571"/>
      <c r="AJ113" s="1571"/>
      <c r="AK113" s="1571"/>
      <c r="AL113" s="375"/>
      <c r="AM113" s="375"/>
      <c r="AN113" s="375"/>
      <c r="AO113" s="375"/>
      <c r="AP113" s="375"/>
      <c r="AQ113" s="375"/>
      <c r="AR113" s="375"/>
      <c r="AS113" s="375"/>
      <c r="AT113" s="375"/>
      <c r="AU113" s="375"/>
      <c r="AV113" s="375"/>
      <c r="AW113" s="375"/>
      <c r="AX113" s="375"/>
      <c r="AY113" s="375"/>
      <c r="AZ113" s="375"/>
      <c r="BA113" s="375"/>
      <c r="BB113" s="375"/>
      <c r="BC113" s="375"/>
      <c r="BD113" s="375"/>
      <c r="BE113" s="375"/>
      <c r="BF113" s="375"/>
      <c r="BG113" s="375"/>
      <c r="BH113" s="375"/>
    </row>
    <row r="114" spans="1:60" ht="15" customHeight="1" x14ac:dyDescent="0.25">
      <c r="A114" s="16">
        <v>11</v>
      </c>
      <c r="B114" s="16"/>
      <c r="C114" s="424" t="s">
        <v>72</v>
      </c>
      <c r="D114" s="675">
        <v>1968</v>
      </c>
      <c r="E114" s="675">
        <v>2</v>
      </c>
      <c r="F114" s="675">
        <v>16</v>
      </c>
      <c r="G114" s="675">
        <v>36</v>
      </c>
      <c r="H114" s="676">
        <v>722.8</v>
      </c>
      <c r="I114" s="676"/>
      <c r="J114" s="1571"/>
      <c r="K114" s="1571"/>
      <c r="L114" s="1571"/>
      <c r="M114" s="1571"/>
      <c r="N114" s="1571"/>
      <c r="O114" s="1571"/>
      <c r="P114" s="1571"/>
      <c r="Q114" s="1571"/>
      <c r="R114" s="1571"/>
      <c r="S114" s="1571"/>
      <c r="T114" s="1571"/>
      <c r="U114" s="1571"/>
      <c r="V114" s="1571"/>
      <c r="W114" s="1571"/>
      <c r="X114" s="1571"/>
      <c r="Y114" s="1571"/>
      <c r="Z114" s="1571"/>
      <c r="AA114" s="1571"/>
      <c r="AB114" s="1571"/>
      <c r="AC114" s="1571"/>
      <c r="AD114" s="1571"/>
      <c r="AE114" s="1571"/>
      <c r="AF114" s="1571"/>
      <c r="AG114" s="1571"/>
      <c r="AH114" s="1571"/>
      <c r="AI114" s="1571"/>
      <c r="AJ114" s="1571"/>
      <c r="AK114" s="1571"/>
      <c r="AL114" s="375"/>
      <c r="AM114" s="375"/>
      <c r="AN114" s="375"/>
      <c r="AO114" s="375"/>
      <c r="AP114" s="375"/>
      <c r="AQ114" s="375"/>
      <c r="AR114" s="375"/>
      <c r="AS114" s="375"/>
      <c r="AT114" s="375"/>
      <c r="AU114" s="375"/>
      <c r="AV114" s="375"/>
      <c r="AW114" s="375"/>
      <c r="AX114" s="375"/>
      <c r="AY114" s="375"/>
      <c r="AZ114" s="375"/>
      <c r="BA114" s="375"/>
      <c r="BB114" s="375"/>
      <c r="BC114" s="375"/>
      <c r="BD114" s="375"/>
      <c r="BE114" s="375"/>
      <c r="BF114" s="375"/>
      <c r="BG114" s="375"/>
      <c r="BH114" s="375"/>
    </row>
    <row r="115" spans="1:60" ht="15" customHeight="1" x14ac:dyDescent="0.25">
      <c r="A115" s="16">
        <v>12</v>
      </c>
      <c r="B115" s="16"/>
      <c r="C115" s="424" t="s">
        <v>73</v>
      </c>
      <c r="D115" s="675">
        <v>1971</v>
      </c>
      <c r="E115" s="675">
        <v>2</v>
      </c>
      <c r="F115" s="675">
        <v>16</v>
      </c>
      <c r="G115" s="675">
        <v>47</v>
      </c>
      <c r="H115" s="676">
        <v>727.4</v>
      </c>
      <c r="I115" s="676"/>
      <c r="J115" s="1571"/>
      <c r="K115" s="1571"/>
      <c r="L115" s="1571"/>
      <c r="M115" s="1571"/>
      <c r="N115" s="1571"/>
      <c r="O115" s="1571"/>
      <c r="P115" s="1571"/>
      <c r="Q115" s="1571"/>
      <c r="R115" s="1571"/>
      <c r="S115" s="1571"/>
      <c r="T115" s="1571"/>
      <c r="U115" s="1571"/>
      <c r="V115" s="1571"/>
      <c r="W115" s="1571"/>
      <c r="X115" s="1571"/>
      <c r="Y115" s="1571"/>
      <c r="Z115" s="1571"/>
      <c r="AA115" s="1571"/>
      <c r="AB115" s="1571"/>
      <c r="AC115" s="1571"/>
      <c r="AD115" s="1571"/>
      <c r="AE115" s="1571"/>
      <c r="AF115" s="1571"/>
      <c r="AG115" s="1571"/>
      <c r="AH115" s="1571"/>
      <c r="AI115" s="1571"/>
      <c r="AJ115" s="1571"/>
      <c r="AK115" s="1571"/>
      <c r="AL115" s="375"/>
      <c r="AM115" s="375"/>
      <c r="AN115" s="375"/>
      <c r="AO115" s="375"/>
      <c r="AP115" s="375"/>
      <c r="AQ115" s="375"/>
      <c r="AR115" s="375"/>
      <c r="AS115" s="375"/>
      <c r="AT115" s="375"/>
      <c r="AU115" s="375"/>
      <c r="AV115" s="375"/>
      <c r="AW115" s="375"/>
      <c r="AX115" s="375"/>
      <c r="AY115" s="375"/>
      <c r="AZ115" s="375"/>
      <c r="BA115" s="375"/>
      <c r="BB115" s="375"/>
      <c r="BC115" s="375"/>
      <c r="BD115" s="375"/>
      <c r="BE115" s="375"/>
      <c r="BF115" s="375"/>
      <c r="BG115" s="375"/>
      <c r="BH115" s="375"/>
    </row>
    <row r="116" spans="1:60" ht="15" customHeight="1" x14ac:dyDescent="0.25">
      <c r="A116" s="257">
        <v>13</v>
      </c>
      <c r="B116" s="257"/>
      <c r="C116" s="526" t="s">
        <v>74</v>
      </c>
      <c r="D116" s="813">
        <v>1960</v>
      </c>
      <c r="E116" s="813">
        <v>2</v>
      </c>
      <c r="F116" s="813">
        <v>16</v>
      </c>
      <c r="G116" s="813">
        <v>44</v>
      </c>
      <c r="H116" s="689">
        <v>724.7</v>
      </c>
      <c r="I116" s="689"/>
      <c r="J116" s="1571"/>
      <c r="K116" s="1571"/>
      <c r="L116" s="1571"/>
      <c r="M116" s="1571"/>
      <c r="N116" s="1571"/>
      <c r="O116" s="1571"/>
      <c r="P116" s="1571"/>
      <c r="Q116" s="1571"/>
      <c r="R116" s="1571"/>
      <c r="S116" s="1571"/>
      <c r="T116" s="1571"/>
      <c r="U116" s="1571"/>
      <c r="V116" s="1571"/>
      <c r="W116" s="1571"/>
      <c r="X116" s="1571"/>
      <c r="Y116" s="1571"/>
      <c r="Z116" s="1571"/>
      <c r="AA116" s="1571"/>
      <c r="AB116" s="1571"/>
      <c r="AC116" s="1571"/>
      <c r="AD116" s="1571"/>
      <c r="AE116" s="1571"/>
      <c r="AF116" s="1571"/>
      <c r="AG116" s="1571"/>
      <c r="AH116" s="1571"/>
      <c r="AI116" s="1571"/>
      <c r="AJ116" s="1571"/>
      <c r="AK116" s="1571"/>
      <c r="AL116" s="375"/>
      <c r="AM116" s="375"/>
      <c r="AN116" s="375"/>
      <c r="AO116" s="375"/>
      <c r="AP116" s="375"/>
      <c r="AQ116" s="375"/>
      <c r="AR116" s="375"/>
      <c r="AS116" s="375"/>
      <c r="AT116" s="375"/>
      <c r="AU116" s="375"/>
      <c r="AV116" s="375"/>
      <c r="AW116" s="375"/>
      <c r="AX116" s="375"/>
      <c r="AY116" s="375"/>
      <c r="AZ116" s="375"/>
      <c r="BA116" s="375"/>
      <c r="BB116" s="375"/>
      <c r="BC116" s="375"/>
      <c r="BD116" s="375"/>
      <c r="BE116" s="375"/>
      <c r="BF116" s="375"/>
      <c r="BG116" s="375"/>
      <c r="BH116" s="375"/>
    </row>
    <row r="117" spans="1:60" ht="15" customHeight="1" x14ac:dyDescent="0.25">
      <c r="A117" s="386"/>
      <c r="B117" s="386"/>
      <c r="C117" s="531" t="s">
        <v>89</v>
      </c>
      <c r="D117" s="815"/>
      <c r="E117" s="387">
        <f t="shared" ref="E117:H117" si="33">SUM(E104:E116)</f>
        <v>34</v>
      </c>
      <c r="F117" s="387">
        <f t="shared" si="33"/>
        <v>291</v>
      </c>
      <c r="G117" s="387">
        <f t="shared" si="33"/>
        <v>916</v>
      </c>
      <c r="H117" s="387">
        <f t="shared" si="33"/>
        <v>15709.310000000001</v>
      </c>
      <c r="I117" s="387"/>
      <c r="J117" s="1571"/>
      <c r="K117" s="1571"/>
      <c r="L117" s="1571"/>
      <c r="M117" s="1571"/>
      <c r="N117" s="1571"/>
      <c r="O117" s="1571"/>
      <c r="P117" s="1571"/>
      <c r="Q117" s="1571"/>
      <c r="R117" s="1571"/>
      <c r="S117" s="1571"/>
      <c r="T117" s="1571"/>
      <c r="U117" s="1571"/>
      <c r="V117" s="1571"/>
      <c r="W117" s="1571"/>
      <c r="X117" s="1571"/>
      <c r="Y117" s="1571"/>
      <c r="Z117" s="1571"/>
      <c r="AA117" s="1571"/>
      <c r="AB117" s="1571"/>
      <c r="AC117" s="1571"/>
      <c r="AD117" s="1571"/>
      <c r="AE117" s="1571"/>
      <c r="AF117" s="1571"/>
      <c r="AG117" s="1571"/>
      <c r="AH117" s="1571"/>
      <c r="AI117" s="1571"/>
      <c r="AJ117" s="1571"/>
      <c r="AK117" s="1571"/>
      <c r="AL117" s="375"/>
      <c r="AM117" s="375"/>
      <c r="AN117" s="375"/>
      <c r="AO117" s="375"/>
      <c r="AP117" s="375"/>
      <c r="AQ117" s="375"/>
      <c r="AR117" s="375"/>
      <c r="AS117" s="375"/>
      <c r="AT117" s="375"/>
      <c r="AU117" s="375"/>
      <c r="AV117" s="375"/>
      <c r="AW117" s="375"/>
      <c r="AX117" s="375"/>
      <c r="AY117" s="375"/>
      <c r="AZ117" s="375"/>
      <c r="BA117" s="375"/>
      <c r="BB117" s="375"/>
      <c r="BC117" s="375"/>
      <c r="BD117" s="375"/>
      <c r="BE117" s="375"/>
      <c r="BF117" s="375"/>
      <c r="BG117" s="375"/>
      <c r="BH117" s="375"/>
    </row>
    <row r="118" spans="1:60" ht="15" customHeight="1" x14ac:dyDescent="0.25">
      <c r="C118" s="375"/>
      <c r="D118" s="375"/>
      <c r="E118" s="375"/>
      <c r="F118" s="375"/>
      <c r="G118" s="375"/>
      <c r="H118" s="375"/>
      <c r="I118" s="375"/>
      <c r="J118" s="1571"/>
      <c r="K118" s="1571"/>
      <c r="L118" s="1571"/>
      <c r="M118" s="1571"/>
      <c r="N118" s="1571"/>
      <c r="O118" s="1571"/>
      <c r="P118" s="1571"/>
      <c r="Q118" s="1571"/>
      <c r="R118" s="1571"/>
      <c r="S118" s="1571"/>
      <c r="T118" s="1571"/>
      <c r="U118" s="1571"/>
      <c r="V118" s="1571"/>
      <c r="W118" s="1571"/>
      <c r="X118" s="1571"/>
      <c r="Y118" s="1571"/>
      <c r="Z118" s="1571"/>
      <c r="AA118" s="1571"/>
      <c r="AB118" s="1571"/>
      <c r="AC118" s="1571"/>
      <c r="AD118" s="1571"/>
      <c r="AE118" s="1571"/>
      <c r="AF118" s="1571"/>
      <c r="AG118" s="1571"/>
      <c r="AH118" s="1571"/>
      <c r="AI118" s="1571"/>
      <c r="AJ118" s="1571"/>
      <c r="AK118" s="1571"/>
      <c r="AL118" s="375"/>
      <c r="AM118" s="375"/>
      <c r="AN118" s="375"/>
      <c r="AO118" s="375"/>
      <c r="AP118" s="375"/>
      <c r="AQ118" s="375"/>
      <c r="AR118" s="375"/>
      <c r="AS118" s="375"/>
      <c r="AT118" s="375"/>
      <c r="AU118" s="375"/>
      <c r="AV118" s="375"/>
      <c r="AW118" s="375"/>
      <c r="AX118" s="375"/>
      <c r="AY118" s="375"/>
      <c r="AZ118" s="375"/>
      <c r="BA118" s="375"/>
      <c r="BB118" s="375"/>
      <c r="BC118" s="375"/>
      <c r="BD118" s="375"/>
      <c r="BE118" s="375"/>
      <c r="BF118" s="375"/>
      <c r="BG118" s="375"/>
      <c r="BH118" s="375"/>
    </row>
    <row r="119" spans="1:60" x14ac:dyDescent="0.25">
      <c r="AA119" s="590"/>
    </row>
  </sheetData>
  <mergeCells count="90">
    <mergeCell ref="BB8:BB9"/>
    <mergeCell ref="BC8:BC9"/>
    <mergeCell ref="W8:X8"/>
    <mergeCell ref="AW8:AW9"/>
    <mergeCell ref="AX8:AX9"/>
    <mergeCell ref="AY8:AY9"/>
    <mergeCell ref="AZ8:AZ9"/>
    <mergeCell ref="BA8:BA9"/>
    <mergeCell ref="AB8:AB9"/>
    <mergeCell ref="AH8:AH9"/>
    <mergeCell ref="AN8:AN9"/>
    <mergeCell ref="AO8:AO9"/>
    <mergeCell ref="AP8:AP9"/>
    <mergeCell ref="AJ8:AJ9"/>
    <mergeCell ref="AK8:AK9"/>
    <mergeCell ref="AL8:AL9"/>
    <mergeCell ref="C4:AA4"/>
    <mergeCell ref="A8:A9"/>
    <mergeCell ref="B8:B9"/>
    <mergeCell ref="C8:C9"/>
    <mergeCell ref="D8:D9"/>
    <mergeCell ref="E8:E9"/>
    <mergeCell ref="F8:F9"/>
    <mergeCell ref="G8:G9"/>
    <mergeCell ref="H8:H9"/>
    <mergeCell ref="S8:T8"/>
    <mergeCell ref="U8:V8"/>
    <mergeCell ref="Y8:Y9"/>
    <mergeCell ref="Z8:Z9"/>
    <mergeCell ref="AA8:AA9"/>
    <mergeCell ref="K8:L8"/>
    <mergeCell ref="M8:N8"/>
    <mergeCell ref="BG8:BG9"/>
    <mergeCell ref="AC8:AC9"/>
    <mergeCell ref="AD8:AD9"/>
    <mergeCell ref="AE8:AE9"/>
    <mergeCell ref="AF8:AF9"/>
    <mergeCell ref="AG8:AG9"/>
    <mergeCell ref="AI8:AI9"/>
    <mergeCell ref="BD8:BD9"/>
    <mergeCell ref="BF8:BF9"/>
    <mergeCell ref="AQ8:AQ9"/>
    <mergeCell ref="AR8:AR9"/>
    <mergeCell ref="BE8:BE9"/>
    <mergeCell ref="AS8:AS9"/>
    <mergeCell ref="AT8:AT9"/>
    <mergeCell ref="AU8:AU9"/>
    <mergeCell ref="AV8:AV9"/>
    <mergeCell ref="BK74:BN74"/>
    <mergeCell ref="BO74:BO75"/>
    <mergeCell ref="CA74:CA75"/>
    <mergeCell ref="CB74:CB75"/>
    <mergeCell ref="BW47:BX47"/>
    <mergeCell ref="BY47:BZ47"/>
    <mergeCell ref="BK47:BN47"/>
    <mergeCell ref="BV74:BV75"/>
    <mergeCell ref="BW74:BX74"/>
    <mergeCell ref="BY74:BZ74"/>
    <mergeCell ref="BR74:BR75"/>
    <mergeCell ref="BU74:BU75"/>
    <mergeCell ref="A102:A103"/>
    <mergeCell ref="B102:B103"/>
    <mergeCell ref="C102:C103"/>
    <mergeCell ref="D102:D103"/>
    <mergeCell ref="E102:E103"/>
    <mergeCell ref="Q8:R8"/>
    <mergeCell ref="F102:F103"/>
    <mergeCell ref="F77:F78"/>
    <mergeCell ref="G77:G78"/>
    <mergeCell ref="G102:G103"/>
    <mergeCell ref="H102:H103"/>
    <mergeCell ref="C98:AA98"/>
    <mergeCell ref="D77:D78"/>
    <mergeCell ref="E77:E78"/>
    <mergeCell ref="AM8:AM9"/>
    <mergeCell ref="A77:A78"/>
    <mergeCell ref="B77:B78"/>
    <mergeCell ref="C77:C78"/>
    <mergeCell ref="O8:P8"/>
    <mergeCell ref="I8:J8"/>
    <mergeCell ref="C73:AA73"/>
    <mergeCell ref="C46:AA46"/>
    <mergeCell ref="A49:A50"/>
    <mergeCell ref="B49:B50"/>
    <mergeCell ref="C49:C50"/>
    <mergeCell ref="D49:D50"/>
    <mergeCell ref="E49:E50"/>
    <mergeCell ref="F49:F50"/>
    <mergeCell ref="G49:G50"/>
    <mergeCell ref="H49:H50"/>
  </mergeCells>
  <pageMargins left="0.19685039370078741" right="2.92" top="0.19685039370078741" bottom="0.74803149606299213" header="0.31496062992125984" footer="0.31496062992125984"/>
  <pageSetup paperSize="9" scale="80" orientation="landscape" horizontalDpi="180" verticalDpi="180" r:id="rId1"/>
  <rowBreaks count="2" manualBreakCount="2">
    <brk id="42" max="16383" man="1"/>
    <brk id="93" max="16383" man="1"/>
  </rowBreaks>
  <colBreaks count="1" manualBreakCount="1">
    <brk id="35" max="1048575" man="1"/>
  </colBreaks>
  <ignoredErrors>
    <ignoredError sqref="BB41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I116"/>
  <sheetViews>
    <sheetView topLeftCell="O64" zoomScaleNormal="100" workbookViewId="0">
      <pane xSplit="18825" topLeftCell="H1"/>
      <selection activeCell="U47" sqref="U47:AB48"/>
      <selection pane="topRight" activeCell="S1" sqref="S1"/>
    </sheetView>
  </sheetViews>
  <sheetFormatPr defaultRowHeight="15" x14ac:dyDescent="0.25"/>
  <cols>
    <col min="1" max="1" width="4.5703125" customWidth="1"/>
    <col min="2" max="2" width="11.7109375" hidden="1" customWidth="1"/>
    <col min="3" max="3" width="20.28515625" customWidth="1"/>
    <col min="4" max="4" width="9.85546875" hidden="1" customWidth="1"/>
    <col min="5" max="5" width="8.5703125" hidden="1" customWidth="1"/>
    <col min="6" max="6" width="10.140625" hidden="1" customWidth="1"/>
    <col min="7" max="7" width="0.140625" hidden="1" customWidth="1"/>
    <col min="8" max="8" width="10.140625" customWidth="1"/>
    <col min="9" max="12" width="13.140625" hidden="1" customWidth="1"/>
    <col min="13" max="14" width="13.140625" customWidth="1"/>
    <col min="15" max="15" width="11.7109375" customWidth="1"/>
    <col min="16" max="17" width="13.28515625" customWidth="1"/>
    <col min="18" max="18" width="14.7109375" customWidth="1"/>
    <col min="19" max="20" width="13.28515625" hidden="1" customWidth="1"/>
    <col min="21" max="21" width="12.140625" customWidth="1"/>
    <col min="22" max="22" width="10.140625" customWidth="1"/>
    <col min="23" max="23" width="12.28515625" customWidth="1"/>
    <col min="24" max="24" width="10.140625" customWidth="1"/>
    <col min="25" max="25" width="11.7109375" customWidth="1"/>
    <col min="26" max="26" width="11.28515625" customWidth="1"/>
    <col min="27" max="27" width="11.42578125" customWidth="1"/>
    <col min="28" max="32" width="11.7109375" customWidth="1"/>
    <col min="33" max="33" width="11.42578125" customWidth="1"/>
    <col min="34" max="34" width="10.140625" customWidth="1"/>
    <col min="35" max="35" width="12.7109375" customWidth="1"/>
    <col min="36" max="36" width="12.28515625" customWidth="1"/>
    <col min="37" max="37" width="12.140625" customWidth="1"/>
    <col min="38" max="38" width="10.5703125" customWidth="1"/>
    <col min="39" max="40" width="11" customWidth="1"/>
    <col min="41" max="43" width="10.7109375" customWidth="1"/>
    <col min="44" max="44" width="10.5703125" customWidth="1"/>
    <col min="45" max="45" width="12.5703125" customWidth="1"/>
    <col min="46" max="46" width="11.85546875" customWidth="1"/>
    <col min="47" max="47" width="11.7109375" customWidth="1"/>
    <col min="48" max="48" width="11.140625" customWidth="1"/>
    <col min="49" max="49" width="11" customWidth="1"/>
    <col min="50" max="50" width="10.140625" hidden="1" customWidth="1"/>
    <col min="51" max="51" width="12" customWidth="1"/>
    <col min="52" max="52" width="10.42578125" customWidth="1"/>
    <col min="53" max="54" width="10.85546875" customWidth="1"/>
    <col min="55" max="55" width="11.28515625" hidden="1" customWidth="1"/>
    <col min="56" max="56" width="10.42578125" customWidth="1"/>
    <col min="57" max="57" width="10.42578125" hidden="1" customWidth="1"/>
    <col min="58" max="58" width="10.42578125" customWidth="1"/>
    <col min="59" max="59" width="10.7109375" customWidth="1"/>
    <col min="60" max="60" width="11.28515625" customWidth="1"/>
    <col min="61" max="61" width="9" customWidth="1"/>
    <col min="62" max="62" width="8.140625" customWidth="1"/>
    <col min="63" max="63" width="10.5703125" customWidth="1"/>
    <col min="64" max="64" width="11.5703125" customWidth="1"/>
    <col min="65" max="66" width="9.7109375" customWidth="1"/>
    <col min="67" max="67" width="9.5703125" customWidth="1"/>
    <col min="68" max="68" width="10.42578125" customWidth="1"/>
    <col min="69" max="69" width="11.85546875" customWidth="1"/>
    <col min="70" max="70" width="13" customWidth="1"/>
    <col min="71" max="71" width="10.5703125" customWidth="1"/>
    <col min="72" max="72" width="10.7109375" customWidth="1"/>
    <col min="73" max="75" width="11.42578125" customWidth="1"/>
    <col min="76" max="76" width="10.28515625" customWidth="1"/>
    <col min="77" max="77" width="10.28515625" style="34" customWidth="1"/>
    <col min="78" max="78" width="10.28515625" customWidth="1"/>
    <col min="79" max="79" width="10.5703125" customWidth="1"/>
    <col min="80" max="80" width="11.5703125" customWidth="1"/>
    <col min="81" max="81" width="11.28515625" customWidth="1"/>
    <col min="82" max="82" width="10.5703125" customWidth="1"/>
    <col min="83" max="83" width="11" customWidth="1"/>
    <col min="84" max="84" width="10.28515625" customWidth="1"/>
    <col min="85" max="85" width="11.42578125" style="39" customWidth="1"/>
    <col min="86" max="86" width="9.140625" customWidth="1"/>
  </cols>
  <sheetData>
    <row r="3" spans="1:87" ht="15.75" customHeight="1" x14ac:dyDescent="0.3">
      <c r="C3" s="2196" t="s">
        <v>798</v>
      </c>
      <c r="D3" s="2196"/>
      <c r="E3" s="2196"/>
      <c r="F3" s="2196"/>
      <c r="G3" s="2196"/>
      <c r="H3" s="2196"/>
      <c r="I3" s="2196"/>
      <c r="J3" s="2196"/>
      <c r="K3" s="2196"/>
      <c r="L3" s="2196"/>
      <c r="M3" s="2196"/>
      <c r="N3" s="2196"/>
      <c r="O3" s="2196"/>
      <c r="P3" s="2196"/>
      <c r="Q3" s="2196"/>
      <c r="R3" s="2196"/>
      <c r="S3" s="2196"/>
      <c r="T3" s="2196"/>
      <c r="U3" s="2196"/>
      <c r="V3" s="2196"/>
      <c r="W3" s="2196"/>
      <c r="X3" s="2196"/>
      <c r="Y3" s="2196"/>
      <c r="Z3" s="2196"/>
      <c r="AA3" s="2196"/>
      <c r="AB3" s="2196"/>
      <c r="AC3" s="2196"/>
      <c r="AD3" s="2196"/>
      <c r="AE3" s="2196"/>
      <c r="AF3" s="2196"/>
      <c r="AG3" s="2196"/>
      <c r="AH3" s="2196"/>
      <c r="AI3" s="2196"/>
      <c r="AJ3" s="2196"/>
      <c r="AK3" s="2196"/>
      <c r="AL3" s="2196"/>
      <c r="AM3" s="2196"/>
      <c r="AN3" s="1786"/>
    </row>
    <row r="4" spans="1:87" ht="18.75" customHeight="1" x14ac:dyDescent="0.3">
      <c r="C4" s="373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</row>
    <row r="5" spans="1:87" ht="18" x14ac:dyDescent="0.2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BN5" s="1489"/>
      <c r="BO5" s="1489"/>
      <c r="BP5" s="1489"/>
      <c r="BQ5" s="1489"/>
      <c r="BR5" s="1489"/>
      <c r="BS5" s="1489"/>
    </row>
    <row r="6" spans="1:87" ht="37.5" customHeight="1" x14ac:dyDescent="0.25">
      <c r="A6" s="2017" t="s">
        <v>0</v>
      </c>
      <c r="B6" s="2020"/>
      <c r="C6" s="2017" t="s">
        <v>184</v>
      </c>
      <c r="D6" s="2017" t="s">
        <v>54</v>
      </c>
      <c r="E6" s="2017" t="s">
        <v>55</v>
      </c>
      <c r="F6" s="2017" t="s">
        <v>56</v>
      </c>
      <c r="G6" s="2017" t="s">
        <v>57</v>
      </c>
      <c r="H6" s="2017" t="s">
        <v>6</v>
      </c>
      <c r="I6" s="1991" t="s">
        <v>290</v>
      </c>
      <c r="J6" s="1992"/>
      <c r="K6" s="1991" t="s">
        <v>874</v>
      </c>
      <c r="L6" s="1992"/>
      <c r="M6" s="2175" t="s">
        <v>875</v>
      </c>
      <c r="N6" s="2176"/>
      <c r="O6" s="1991" t="s">
        <v>656</v>
      </c>
      <c r="P6" s="1992"/>
      <c r="Q6" s="1991" t="s">
        <v>874</v>
      </c>
      <c r="R6" s="1992"/>
      <c r="S6" s="2175" t="s">
        <v>876</v>
      </c>
      <c r="T6" s="2176"/>
      <c r="U6" s="2214" t="s">
        <v>658</v>
      </c>
      <c r="V6" s="2215"/>
      <c r="W6" s="1991" t="s">
        <v>874</v>
      </c>
      <c r="X6" s="1992"/>
      <c r="Y6" s="2175" t="s">
        <v>877</v>
      </c>
      <c r="Z6" s="2176"/>
      <c r="AA6" s="1991" t="s">
        <v>310</v>
      </c>
      <c r="AB6" s="1992"/>
      <c r="AC6" s="1991" t="s">
        <v>878</v>
      </c>
      <c r="AD6" s="1992"/>
      <c r="AE6" s="2175" t="s">
        <v>879</v>
      </c>
      <c r="AF6" s="2176"/>
      <c r="AG6" s="2224" t="s">
        <v>593</v>
      </c>
      <c r="AH6" s="2225"/>
      <c r="AI6" s="2017" t="s">
        <v>745</v>
      </c>
      <c r="AJ6" s="2017"/>
      <c r="AK6" s="2049" t="s">
        <v>746</v>
      </c>
      <c r="AL6" s="2071" t="s">
        <v>332</v>
      </c>
      <c r="AM6" s="2049" t="s">
        <v>333</v>
      </c>
      <c r="AN6" s="2049" t="s">
        <v>331</v>
      </c>
      <c r="AO6" s="2049" t="s">
        <v>337</v>
      </c>
      <c r="AP6" s="2049" t="s">
        <v>10</v>
      </c>
      <c r="AQ6" s="2049" t="s">
        <v>844</v>
      </c>
      <c r="AR6" s="2049" t="s">
        <v>578</v>
      </c>
      <c r="AS6" s="2181" t="s">
        <v>503</v>
      </c>
      <c r="AT6" s="2071" t="s">
        <v>316</v>
      </c>
      <c r="AU6" s="2071" t="s">
        <v>369</v>
      </c>
      <c r="AV6" s="2049" t="s">
        <v>744</v>
      </c>
      <c r="AW6" s="2049" t="s">
        <v>845</v>
      </c>
      <c r="AX6" s="2183"/>
      <c r="AY6" s="2069" t="s">
        <v>688</v>
      </c>
      <c r="AZ6" s="2071" t="s">
        <v>727</v>
      </c>
      <c r="BA6" s="2071" t="s">
        <v>690</v>
      </c>
      <c r="BB6" s="2049" t="s">
        <v>845</v>
      </c>
      <c r="BC6" s="2049"/>
      <c r="BD6" s="2222" t="s">
        <v>692</v>
      </c>
      <c r="BE6" s="2041" t="s">
        <v>693</v>
      </c>
      <c r="BF6" s="2041" t="s">
        <v>656</v>
      </c>
      <c r="BG6" s="2041" t="s">
        <v>694</v>
      </c>
      <c r="BH6" s="2041" t="s">
        <v>735</v>
      </c>
      <c r="BI6" s="2134" t="s">
        <v>724</v>
      </c>
      <c r="BJ6" s="2043" t="s">
        <v>182</v>
      </c>
      <c r="BK6" s="2043" t="s">
        <v>846</v>
      </c>
      <c r="BL6" s="2045" t="s">
        <v>715</v>
      </c>
      <c r="BM6" s="1999"/>
      <c r="BN6" s="1489"/>
      <c r="BO6" s="1489"/>
      <c r="BP6" s="1489"/>
      <c r="BQ6" s="1489"/>
      <c r="BR6" s="1489"/>
      <c r="BS6" s="148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9"/>
    </row>
    <row r="7" spans="1:87" ht="56.25" customHeight="1" x14ac:dyDescent="0.25">
      <c r="A7" s="2017"/>
      <c r="B7" s="2021"/>
      <c r="C7" s="2017"/>
      <c r="D7" s="2017"/>
      <c r="E7" s="2017"/>
      <c r="F7" s="2017"/>
      <c r="G7" s="2017"/>
      <c r="H7" s="2017"/>
      <c r="I7" s="150" t="s">
        <v>15</v>
      </c>
      <c r="J7" s="1723" t="s">
        <v>16</v>
      </c>
      <c r="K7" s="150" t="s">
        <v>15</v>
      </c>
      <c r="L7" s="1883" t="s">
        <v>16</v>
      </c>
      <c r="M7" s="150" t="s">
        <v>15</v>
      </c>
      <c r="N7" s="1883" t="s">
        <v>16</v>
      </c>
      <c r="O7" s="150" t="s">
        <v>15</v>
      </c>
      <c r="P7" s="1645" t="s">
        <v>16</v>
      </c>
      <c r="Q7" s="150" t="s">
        <v>15</v>
      </c>
      <c r="R7" s="1883" t="s">
        <v>16</v>
      </c>
      <c r="S7" s="1643" t="s">
        <v>15</v>
      </c>
      <c r="T7" s="1644" t="s">
        <v>16</v>
      </c>
      <c r="U7" s="150" t="s">
        <v>15</v>
      </c>
      <c r="V7" s="1645" t="s">
        <v>16</v>
      </c>
      <c r="W7" s="150" t="s">
        <v>15</v>
      </c>
      <c r="X7" s="1883" t="s">
        <v>16</v>
      </c>
      <c r="Y7" s="150" t="s">
        <v>15</v>
      </c>
      <c r="Z7" s="1883" t="s">
        <v>16</v>
      </c>
      <c r="AA7" s="150" t="s">
        <v>15</v>
      </c>
      <c r="AB7" s="1645" t="s">
        <v>16</v>
      </c>
      <c r="AC7" s="150" t="s">
        <v>15</v>
      </c>
      <c r="AD7" s="1883" t="s">
        <v>16</v>
      </c>
      <c r="AE7" s="1643" t="s">
        <v>15</v>
      </c>
      <c r="AF7" s="1644" t="s">
        <v>16</v>
      </c>
      <c r="AG7" s="1643" t="s">
        <v>15</v>
      </c>
      <c r="AH7" s="1644" t="s">
        <v>16</v>
      </c>
      <c r="AI7" s="150" t="s">
        <v>15</v>
      </c>
      <c r="AJ7" s="1645" t="s">
        <v>16</v>
      </c>
      <c r="AK7" s="2050"/>
      <c r="AL7" s="2071"/>
      <c r="AM7" s="2050"/>
      <c r="AN7" s="2050"/>
      <c r="AO7" s="2050"/>
      <c r="AP7" s="2068"/>
      <c r="AQ7" s="2050"/>
      <c r="AR7" s="2050"/>
      <c r="AS7" s="2181"/>
      <c r="AT7" s="2071"/>
      <c r="AU7" s="2182"/>
      <c r="AV7" s="2050"/>
      <c r="AW7" s="2050"/>
      <c r="AX7" s="2068"/>
      <c r="AY7" s="2070"/>
      <c r="AZ7" s="2071"/>
      <c r="BA7" s="2071"/>
      <c r="BB7" s="2050"/>
      <c r="BC7" s="2050"/>
      <c r="BD7" s="2223"/>
      <c r="BE7" s="2042"/>
      <c r="BF7" s="2042"/>
      <c r="BG7" s="2042"/>
      <c r="BH7" s="2042"/>
      <c r="BI7" s="2135"/>
      <c r="BJ7" s="2044"/>
      <c r="BK7" s="2044"/>
      <c r="BL7" s="2046"/>
      <c r="BM7" s="2000"/>
      <c r="BN7" s="1489"/>
      <c r="BO7" s="1489"/>
      <c r="BP7" s="1489"/>
      <c r="BQ7" s="1489"/>
      <c r="BR7" s="1489"/>
      <c r="BS7" s="148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9"/>
    </row>
    <row r="8" spans="1:87" s="124" customFormat="1" x14ac:dyDescent="0.25">
      <c r="A8" s="1791">
        <v>1</v>
      </c>
      <c r="B8" s="1792" t="s">
        <v>304</v>
      </c>
      <c r="C8" s="1793" t="s">
        <v>58</v>
      </c>
      <c r="D8" s="681">
        <v>1976</v>
      </c>
      <c r="E8" s="681">
        <v>3</v>
      </c>
      <c r="F8" s="681">
        <v>24</v>
      </c>
      <c r="G8" s="681">
        <v>97</v>
      </c>
      <c r="H8" s="676">
        <v>1461.2</v>
      </c>
      <c r="I8" s="676">
        <f>21400.68</f>
        <v>21400.68</v>
      </c>
      <c r="J8" s="676">
        <v>23610.79</v>
      </c>
      <c r="K8" s="676">
        <v>1118.8800000000001</v>
      </c>
      <c r="L8" s="676">
        <v>1118.8800000000001</v>
      </c>
      <c r="M8" s="676">
        <f>I8+K8</f>
        <v>22519.56</v>
      </c>
      <c r="N8" s="676">
        <f>J8+L8</f>
        <v>24729.670000000002</v>
      </c>
      <c r="O8" s="676">
        <f>1332.37</f>
        <v>1332.37</v>
      </c>
      <c r="P8" s="676">
        <v>1469.02</v>
      </c>
      <c r="Q8" s="676">
        <v>69.650000000000006</v>
      </c>
      <c r="R8" s="676">
        <v>69.650000000000006</v>
      </c>
      <c r="S8" s="676">
        <f>O8+Q8</f>
        <v>1402.02</v>
      </c>
      <c r="T8" s="676">
        <f>P8+R8</f>
        <v>1538.67</v>
      </c>
      <c r="U8" s="676">
        <f>14891.01+153.1+117.34+435.49</f>
        <v>15596.94</v>
      </c>
      <c r="V8" s="676">
        <v>16357.27</v>
      </c>
      <c r="W8" s="676">
        <v>705.93</v>
      </c>
      <c r="X8" s="676">
        <v>705.93</v>
      </c>
      <c r="Y8" s="676">
        <f>U8+W8</f>
        <v>16302.87</v>
      </c>
      <c r="Z8" s="676">
        <f>V8+X8</f>
        <v>17063.2</v>
      </c>
      <c r="AA8" s="591">
        <f>191920.63+805.05+631.72+2289.8</f>
        <v>195647.19999999998</v>
      </c>
      <c r="AB8" s="591">
        <v>163193.04999999999</v>
      </c>
      <c r="AC8" s="591">
        <v>3726.57</v>
      </c>
      <c r="AD8" s="591">
        <v>3726.57</v>
      </c>
      <c r="AE8" s="591">
        <f>AA8+AC8</f>
        <v>199373.77</v>
      </c>
      <c r="AF8" s="591">
        <f>AB8+AD8</f>
        <v>166919.62</v>
      </c>
      <c r="AG8" s="591">
        <v>5520.32</v>
      </c>
      <c r="AH8" s="591">
        <v>4404.57</v>
      </c>
      <c r="AI8" s="628">
        <f>M8+S8+Y8+AE8+AG8</f>
        <v>245118.54</v>
      </c>
      <c r="AJ8" s="628">
        <f>N8+T8+Z8+AF8+AH8</f>
        <v>214655.73</v>
      </c>
      <c r="AK8" s="1497">
        <f>AY8+BD8+BE8+BF8+BG8</f>
        <v>233647.53684464996</v>
      </c>
      <c r="AL8" s="591">
        <v>1070.19</v>
      </c>
      <c r="AM8" s="592">
        <f>25114.04/17476.13*H8</f>
        <v>2099.8147328956697</v>
      </c>
      <c r="AN8" s="592">
        <f>25510/17476.13*H8</f>
        <v>2132.9214191013684</v>
      </c>
      <c r="AO8" s="592">
        <v>5246.08</v>
      </c>
      <c r="AP8" s="592"/>
      <c r="AQ8" s="592">
        <f>5900/17476.13*H8</f>
        <v>493.30601225786256</v>
      </c>
      <c r="AR8" s="592">
        <f>8908.72/17476.13*H8</f>
        <v>744.86866737658738</v>
      </c>
      <c r="AS8" s="592">
        <f>58563.8/17476.13*H8</f>
        <v>4896.5889221469515</v>
      </c>
      <c r="AT8" s="592">
        <f>607520.34/17476.13*H8</f>
        <v>50795.497676430648</v>
      </c>
      <c r="AU8" s="592">
        <f>377557.98/17476.13*H8</f>
        <v>31568.071442361666</v>
      </c>
      <c r="AV8" s="592"/>
      <c r="AW8" s="592">
        <f>743484.83/16358.47*H8</f>
        <v>66410.858325748064</v>
      </c>
      <c r="AX8" s="592"/>
      <c r="AY8" s="1487">
        <f>AX8+AW8+AV8+AU8+AT8+AS8+AR8+AQ8+AP8+AO8+AN8+AM8+AL8</f>
        <v>165458.19719831878</v>
      </c>
      <c r="AZ8" s="592">
        <f>3591.2/15709.31*H8</f>
        <v>334.03513203317016</v>
      </c>
      <c r="BA8" s="592">
        <v>355.5</v>
      </c>
      <c r="BB8" s="592">
        <f>373184.4/15709.31*H8</f>
        <v>34711.712053552961</v>
      </c>
      <c r="BC8" s="592"/>
      <c r="BD8" s="1499">
        <f>BC8+BB8+BA8+AZ8</f>
        <v>35401.247185586129</v>
      </c>
      <c r="BE8" s="522"/>
      <c r="BF8" s="522">
        <f>27886.27/17476.13*H8</f>
        <v>2331.6041780417058</v>
      </c>
      <c r="BG8" s="522">
        <f>364263.31/17476.13*H8</f>
        <v>30456.488282703318</v>
      </c>
      <c r="BH8" s="522">
        <f>AI8-AK8</f>
        <v>11471.003155350045</v>
      </c>
      <c r="BI8" s="522">
        <f>AJ8/AI8*100</f>
        <v>87.572213019871938</v>
      </c>
      <c r="BJ8" s="522">
        <f>AK8/H8/12</f>
        <v>13.325094491094646</v>
      </c>
      <c r="BK8" s="522">
        <f>AI8-AJ8</f>
        <v>30462.809999999998</v>
      </c>
      <c r="BL8" s="522">
        <v>13.78</v>
      </c>
      <c r="BM8" s="522"/>
      <c r="BN8" s="1489"/>
      <c r="BO8" s="1489"/>
      <c r="BP8" s="1489"/>
      <c r="BQ8" s="1489"/>
      <c r="BR8" s="1489"/>
      <c r="BS8" s="1489"/>
      <c r="BT8" s="35"/>
      <c r="BU8" s="66"/>
      <c r="BV8" s="66"/>
      <c r="BW8" s="66"/>
      <c r="BX8" s="35"/>
      <c r="BY8" s="35"/>
      <c r="BZ8" s="67"/>
      <c r="CA8" s="67"/>
      <c r="CB8" s="67"/>
      <c r="CC8" s="68"/>
      <c r="CD8" s="67"/>
      <c r="CE8" s="68"/>
      <c r="CF8" s="67"/>
      <c r="CG8" s="130"/>
      <c r="CH8" s="35"/>
      <c r="CI8" s="30"/>
    </row>
    <row r="9" spans="1:87" s="124" customFormat="1" x14ac:dyDescent="0.25">
      <c r="A9" s="1791">
        <v>2</v>
      </c>
      <c r="B9" s="1792" t="s">
        <v>304</v>
      </c>
      <c r="C9" s="1793" t="s">
        <v>59</v>
      </c>
      <c r="D9" s="681">
        <v>1977</v>
      </c>
      <c r="E9" s="681">
        <v>3</v>
      </c>
      <c r="F9" s="681">
        <v>24</v>
      </c>
      <c r="G9" s="681">
        <v>81</v>
      </c>
      <c r="H9" s="676">
        <v>1456.7</v>
      </c>
      <c r="I9" s="676">
        <f>6467.73</f>
        <v>6467.73</v>
      </c>
      <c r="J9" s="676">
        <v>10459.049999999999</v>
      </c>
      <c r="K9" s="676">
        <v>620.5</v>
      </c>
      <c r="L9" s="676">
        <v>620.5</v>
      </c>
      <c r="M9" s="676">
        <f t="shared" ref="M9:M38" si="0">I9+K9</f>
        <v>7088.23</v>
      </c>
      <c r="N9" s="676">
        <f t="shared" ref="N9:N38" si="1">J9+L9</f>
        <v>11079.55</v>
      </c>
      <c r="O9" s="676">
        <f>1353.66</f>
        <v>1353.66</v>
      </c>
      <c r="P9" s="676">
        <v>1668.43</v>
      </c>
      <c r="Q9" s="676">
        <v>44.7</v>
      </c>
      <c r="R9" s="676">
        <v>44.7</v>
      </c>
      <c r="S9" s="676">
        <f t="shared" ref="S9:S38" si="2">O9+Q9</f>
        <v>1398.3600000000001</v>
      </c>
      <c r="T9" s="676">
        <f t="shared" ref="T9:T38" si="3">P9+R9</f>
        <v>1713.13</v>
      </c>
      <c r="U9" s="676">
        <f>15166.16+391.3</f>
        <v>15557.46</v>
      </c>
      <c r="V9" s="676">
        <v>18562.59</v>
      </c>
      <c r="W9" s="676">
        <v>391.3</v>
      </c>
      <c r="X9" s="676">
        <v>391.3</v>
      </c>
      <c r="Y9" s="676">
        <f t="shared" ref="Y9:Y38" si="4">U9+W9</f>
        <v>15948.759999999998</v>
      </c>
      <c r="Z9" s="676">
        <f t="shared" ref="Z9:Z38" si="5">V9+X9</f>
        <v>18953.89</v>
      </c>
      <c r="AA9" s="591">
        <f>169177.79+2392.5</f>
        <v>171570.29</v>
      </c>
      <c r="AB9" s="591">
        <v>167242.32</v>
      </c>
      <c r="AC9" s="591">
        <v>2392.5</v>
      </c>
      <c r="AD9" s="591">
        <v>2392.5</v>
      </c>
      <c r="AE9" s="591">
        <f t="shared" ref="AE9:AE38" si="6">AA9+AC9</f>
        <v>173962.79</v>
      </c>
      <c r="AF9" s="591">
        <f t="shared" ref="AF9:AF38" si="7">AB9+AD9</f>
        <v>169634.82</v>
      </c>
      <c r="AG9" s="591">
        <v>5083.13</v>
      </c>
      <c r="AH9" s="591">
        <v>4788.17</v>
      </c>
      <c r="AI9" s="628">
        <f t="shared" ref="AI9:AI38" si="8">M9+S9+Y9+AE9+AG9</f>
        <v>203481.27000000002</v>
      </c>
      <c r="AJ9" s="628">
        <f t="shared" ref="AJ9:AJ38" si="9">N9+T9+Z9+AF9+AH9</f>
        <v>206169.56000000003</v>
      </c>
      <c r="AK9" s="1497">
        <f t="shared" ref="AK9:AK38" si="10">AY9+BD9+BE9+BF9+BG9</f>
        <v>236810.22852901832</v>
      </c>
      <c r="AL9" s="591">
        <v>1189.4100000000001</v>
      </c>
      <c r="AM9" s="592">
        <f t="shared" ref="AM9:AM38" si="11">25114.04/17476.13*H9</f>
        <v>2093.3480162942251</v>
      </c>
      <c r="AN9" s="592">
        <f t="shared" ref="AN9:AN38" si="12">25510/17476.13*H9</f>
        <v>2126.3527451443765</v>
      </c>
      <c r="AO9" s="592">
        <v>7583.66</v>
      </c>
      <c r="AP9" s="592">
        <v>1760.4</v>
      </c>
      <c r="AQ9" s="592">
        <f t="shared" ref="AQ9:AQ38" si="13">5900/17476.13*H9</f>
        <v>491.78679719136903</v>
      </c>
      <c r="AR9" s="592">
        <f t="shared" ref="AR9:AR38" si="14">8908.72/17476.13*H9</f>
        <v>742.57472472452423</v>
      </c>
      <c r="AS9" s="592">
        <f t="shared" ref="AS9:AS38" si="15">58563.8/17476.13*H9</f>
        <v>4881.509090399305</v>
      </c>
      <c r="AT9" s="592">
        <f t="shared" ref="AT9:AT38" si="16">607520.34/17476.13*H9</f>
        <v>50639.064785968061</v>
      </c>
      <c r="AU9" s="592">
        <f t="shared" ref="AU9:AU38" si="17">377557.98/17476.13*H9</f>
        <v>31470.85249800728</v>
      </c>
      <c r="AV9" s="592"/>
      <c r="AW9" s="592">
        <f t="shared" ref="AW9:AW17" si="18">743484.83/16358.47*H9</f>
        <v>66206.335425073368</v>
      </c>
      <c r="AX9" s="592"/>
      <c r="AY9" s="1487">
        <f t="shared" ref="AY9:AY38" si="19">AX9+AW9+AV9+AU9+AT9+AS9+AR9+AQ9+AP9+AO9+AN9+AM9+AL9</f>
        <v>169185.29408280249</v>
      </c>
      <c r="AZ9" s="592">
        <f t="shared" ref="AZ9:AZ17" si="20">3591.2/15709.31*H9</f>
        <v>333.00641721374143</v>
      </c>
      <c r="BA9" s="592"/>
      <c r="BB9" s="592">
        <f t="shared" ref="BB9:BB17" si="21">373184.4/15709.31*H9</f>
        <v>34604.811763215577</v>
      </c>
      <c r="BC9" s="592"/>
      <c r="BD9" s="1499">
        <f t="shared" ref="BD9:BD38" si="22">BC9+BB9+BA9+AZ9</f>
        <v>34937.81818042932</v>
      </c>
      <c r="BE9" s="522"/>
      <c r="BF9" s="522">
        <f t="shared" ref="BF9:BF38" si="23">27886.27/17476.13*H9</f>
        <v>2324.4236286294504</v>
      </c>
      <c r="BG9" s="522">
        <f t="shared" ref="BG9:BG38" si="24">364263.31/17476.13*H9</f>
        <v>30362.692637157081</v>
      </c>
      <c r="BH9" s="522">
        <f t="shared" ref="BH9:BH38" si="25">AI9-AK9</f>
        <v>-33328.958529018302</v>
      </c>
      <c r="BI9" s="522">
        <f t="shared" ref="BI9:BI39" si="26">AJ9/AI9*100</f>
        <v>101.32114862463754</v>
      </c>
      <c r="BJ9" s="522">
        <f t="shared" ref="BJ9:BJ39" si="27">AK9/H9/12</f>
        <v>13.547185907016905</v>
      </c>
      <c r="BK9" s="522">
        <f t="shared" ref="BK9:BK38" si="28">AI9-AJ9</f>
        <v>-2688.2900000000081</v>
      </c>
      <c r="BL9" s="522">
        <v>11.07</v>
      </c>
      <c r="BM9" s="522"/>
      <c r="BN9" s="1489"/>
      <c r="BO9" s="1489"/>
      <c r="BP9" s="1489"/>
      <c r="BQ9" s="1489"/>
      <c r="BR9" s="1489"/>
      <c r="BS9" s="1489"/>
      <c r="BT9" s="35"/>
      <c r="BU9" s="66"/>
      <c r="BV9" s="66"/>
      <c r="BW9" s="66"/>
      <c r="BX9" s="35"/>
      <c r="BY9" s="35"/>
      <c r="BZ9" s="67"/>
      <c r="CA9" s="67"/>
      <c r="CB9" s="67"/>
      <c r="CC9" s="68"/>
      <c r="CD9" s="67"/>
      <c r="CE9" s="68"/>
      <c r="CF9" s="67"/>
      <c r="CG9" s="130"/>
      <c r="CH9" s="35"/>
      <c r="CI9" s="30"/>
    </row>
    <row r="10" spans="1:87" s="124" customFormat="1" x14ac:dyDescent="0.25">
      <c r="A10" s="1791">
        <v>3</v>
      </c>
      <c r="B10" s="1792" t="s">
        <v>304</v>
      </c>
      <c r="C10" s="1793" t="s">
        <v>60</v>
      </c>
      <c r="D10" s="681">
        <v>1972</v>
      </c>
      <c r="E10" s="681">
        <v>2</v>
      </c>
      <c r="F10" s="681">
        <v>18</v>
      </c>
      <c r="G10" s="681">
        <v>57</v>
      </c>
      <c r="H10" s="676">
        <v>776.8</v>
      </c>
      <c r="I10" s="676">
        <f>9482.36</f>
        <v>9482.36</v>
      </c>
      <c r="J10" s="676">
        <v>11230.91</v>
      </c>
      <c r="K10" s="676">
        <v>864.7</v>
      </c>
      <c r="L10" s="676">
        <v>864.7</v>
      </c>
      <c r="M10" s="676">
        <f t="shared" si="0"/>
        <v>10347.060000000001</v>
      </c>
      <c r="N10" s="676">
        <f t="shared" si="1"/>
        <v>12095.61</v>
      </c>
      <c r="O10" s="676">
        <f>683.38</f>
        <v>683.38</v>
      </c>
      <c r="P10" s="676">
        <v>809.4</v>
      </c>
      <c r="Q10" s="676">
        <v>62.3</v>
      </c>
      <c r="R10" s="676">
        <v>62.3</v>
      </c>
      <c r="S10" s="676">
        <f t="shared" si="2"/>
        <v>745.68</v>
      </c>
      <c r="T10" s="676">
        <f t="shared" si="3"/>
        <v>871.69999999999993</v>
      </c>
      <c r="U10" s="676">
        <f>7701.82+244.3+350.02</f>
        <v>8296.14</v>
      </c>
      <c r="V10" s="676">
        <v>9002.35</v>
      </c>
      <c r="W10" s="676">
        <v>594.32000000000005</v>
      </c>
      <c r="X10" s="676">
        <v>594.32000000000005</v>
      </c>
      <c r="Y10" s="676">
        <f t="shared" si="4"/>
        <v>8890.4599999999991</v>
      </c>
      <c r="Z10" s="676">
        <f t="shared" si="5"/>
        <v>9596.67</v>
      </c>
      <c r="AA10" s="591">
        <f>85294.11+1209.3+1489.95</f>
        <v>87993.36</v>
      </c>
      <c r="AB10" s="591">
        <v>76618.94</v>
      </c>
      <c r="AC10" s="591">
        <v>2699.25</v>
      </c>
      <c r="AD10" s="591">
        <v>2699.25</v>
      </c>
      <c r="AE10" s="591">
        <f t="shared" si="6"/>
        <v>90692.61</v>
      </c>
      <c r="AF10" s="591">
        <f t="shared" si="7"/>
        <v>79318.19</v>
      </c>
      <c r="AG10" s="591">
        <v>1593.92</v>
      </c>
      <c r="AH10" s="591">
        <v>1421.86</v>
      </c>
      <c r="AI10" s="628">
        <f t="shared" si="8"/>
        <v>112269.73</v>
      </c>
      <c r="AJ10" s="628">
        <f t="shared" si="9"/>
        <v>103304.03000000001</v>
      </c>
      <c r="AK10" s="1497">
        <f t="shared" si="10"/>
        <v>129326.38879614297</v>
      </c>
      <c r="AL10" s="591">
        <v>2684.69</v>
      </c>
      <c r="AM10" s="592">
        <f t="shared" si="11"/>
        <v>1116.2989902226636</v>
      </c>
      <c r="AN10" s="592">
        <f t="shared" si="12"/>
        <v>1133.8990955091315</v>
      </c>
      <c r="AO10" s="592">
        <v>2170.98</v>
      </c>
      <c r="AP10" s="592">
        <v>3537.3</v>
      </c>
      <c r="AQ10" s="592">
        <f t="shared" si="13"/>
        <v>262.25028081159843</v>
      </c>
      <c r="AR10" s="592">
        <f t="shared" si="14"/>
        <v>395.98547824947508</v>
      </c>
      <c r="AS10" s="592">
        <f t="shared" si="15"/>
        <v>2603.1140670159812</v>
      </c>
      <c r="AT10" s="592">
        <f t="shared" si="16"/>
        <v>27003.793180297922</v>
      </c>
      <c r="AU10" s="592">
        <f t="shared" si="17"/>
        <v>16782.15021655252</v>
      </c>
      <c r="AV10" s="592"/>
      <c r="AW10" s="592">
        <f t="shared" si="18"/>
        <v>35305.197609800911</v>
      </c>
      <c r="AX10" s="592"/>
      <c r="AY10" s="1487">
        <f t="shared" si="19"/>
        <v>92995.65891846022</v>
      </c>
      <c r="AZ10" s="592">
        <f t="shared" si="20"/>
        <v>177.57903816272005</v>
      </c>
      <c r="BA10" s="592">
        <v>269.05</v>
      </c>
      <c r="BB10" s="592">
        <f t="shared" si="21"/>
        <v>18453.365674240307</v>
      </c>
      <c r="BC10" s="592"/>
      <c r="BD10" s="1499">
        <f t="shared" si="22"/>
        <v>18899.994712403026</v>
      </c>
      <c r="BE10" s="522"/>
      <c r="BF10" s="522">
        <f t="shared" si="23"/>
        <v>1239.522396320009</v>
      </c>
      <c r="BG10" s="522">
        <f t="shared" si="24"/>
        <v>16191.212768959715</v>
      </c>
      <c r="BH10" s="522">
        <f t="shared" si="25"/>
        <v>-17056.658796142976</v>
      </c>
      <c r="BI10" s="522">
        <f t="shared" si="26"/>
        <v>92.014143082022215</v>
      </c>
      <c r="BJ10" s="522">
        <f t="shared" si="27"/>
        <v>13.873840198693678</v>
      </c>
      <c r="BK10" s="522">
        <f t="shared" si="28"/>
        <v>8965.6999999999825</v>
      </c>
      <c r="BL10" s="522">
        <v>11.69</v>
      </c>
      <c r="BM10" s="522"/>
      <c r="BN10" s="1489"/>
      <c r="BO10" s="1489"/>
      <c r="BP10" s="1489"/>
      <c r="BQ10" s="1489"/>
      <c r="BR10" s="1489"/>
      <c r="BS10" s="1489"/>
      <c r="BT10" s="35"/>
      <c r="BU10" s="66"/>
      <c r="BV10" s="66"/>
      <c r="BW10" s="66"/>
      <c r="BX10" s="35"/>
      <c r="BY10" s="35"/>
      <c r="BZ10" s="67"/>
      <c r="CA10" s="67"/>
      <c r="CB10" s="67"/>
      <c r="CC10" s="68"/>
      <c r="CD10" s="67"/>
      <c r="CE10" s="68"/>
      <c r="CF10" s="67"/>
      <c r="CG10" s="130"/>
      <c r="CH10" s="35"/>
      <c r="CI10" s="30"/>
    </row>
    <row r="11" spans="1:87" s="124" customFormat="1" x14ac:dyDescent="0.25">
      <c r="A11" s="1791">
        <v>4</v>
      </c>
      <c r="B11" s="1792" t="s">
        <v>304</v>
      </c>
      <c r="C11" s="1793" t="s">
        <v>61</v>
      </c>
      <c r="D11" s="681">
        <v>1973</v>
      </c>
      <c r="E11" s="681">
        <v>2</v>
      </c>
      <c r="F11" s="681">
        <v>18</v>
      </c>
      <c r="G11" s="681">
        <v>49</v>
      </c>
      <c r="H11" s="676">
        <v>773.51</v>
      </c>
      <c r="I11" s="676">
        <f>9991.92</f>
        <v>9991.92</v>
      </c>
      <c r="J11" s="676">
        <v>12783.56</v>
      </c>
      <c r="K11" s="676">
        <v>323.39999999999998</v>
      </c>
      <c r="L11" s="676">
        <v>323.39999999999998</v>
      </c>
      <c r="M11" s="676">
        <f t="shared" si="0"/>
        <v>10315.32</v>
      </c>
      <c r="N11" s="676">
        <f t="shared" si="1"/>
        <v>13106.96</v>
      </c>
      <c r="O11" s="676">
        <f>720.27</f>
        <v>720.27</v>
      </c>
      <c r="P11" s="676">
        <v>921.53</v>
      </c>
      <c r="Q11" s="676">
        <v>23.31</v>
      </c>
      <c r="R11" s="676">
        <v>23.31</v>
      </c>
      <c r="S11" s="676">
        <f t="shared" si="2"/>
        <v>743.57999999999993</v>
      </c>
      <c r="T11" s="676">
        <f t="shared" si="3"/>
        <v>944.83999999999992</v>
      </c>
      <c r="U11" s="676">
        <f>8050.79+219.73</f>
        <v>8270.52</v>
      </c>
      <c r="V11" s="676">
        <v>10242.540000000001</v>
      </c>
      <c r="W11" s="676">
        <v>219.73</v>
      </c>
      <c r="X11" s="676">
        <v>219.73</v>
      </c>
      <c r="Y11" s="676">
        <f t="shared" si="4"/>
        <v>8490.25</v>
      </c>
      <c r="Z11" s="676">
        <f t="shared" si="5"/>
        <v>10462.27</v>
      </c>
      <c r="AA11" s="591">
        <f>85448.64+993.44</f>
        <v>86442.08</v>
      </c>
      <c r="AB11" s="591">
        <v>82217.490000000005</v>
      </c>
      <c r="AC11" s="591">
        <v>993.44</v>
      </c>
      <c r="AD11" s="591">
        <v>993.44</v>
      </c>
      <c r="AE11" s="591">
        <f t="shared" si="6"/>
        <v>87435.520000000004</v>
      </c>
      <c r="AF11" s="591">
        <f t="shared" si="7"/>
        <v>83210.930000000008</v>
      </c>
      <c r="AG11" s="591">
        <v>1593.66</v>
      </c>
      <c r="AH11" s="591">
        <v>1505.73</v>
      </c>
      <c r="AI11" s="628">
        <f t="shared" si="8"/>
        <v>108578.33000000002</v>
      </c>
      <c r="AJ11" s="628">
        <f t="shared" si="9"/>
        <v>109230.73</v>
      </c>
      <c r="AK11" s="1497">
        <f t="shared" si="10"/>
        <v>123485.9360498256</v>
      </c>
      <c r="AL11" s="591">
        <v>644.62</v>
      </c>
      <c r="AM11" s="592">
        <f t="shared" si="11"/>
        <v>1111.5711018629411</v>
      </c>
      <c r="AN11" s="592">
        <f t="shared" si="12"/>
        <v>1129.0966649939087</v>
      </c>
      <c r="AO11" s="592">
        <v>2170.98</v>
      </c>
      <c r="AP11" s="592"/>
      <c r="AQ11" s="592">
        <f t="shared" si="13"/>
        <v>261.13956579631758</v>
      </c>
      <c r="AR11" s="592">
        <f t="shared" si="14"/>
        <v>394.30835128830006</v>
      </c>
      <c r="AS11" s="592">
        <f t="shared" si="15"/>
        <v>2592.0890344715908</v>
      </c>
      <c r="AT11" s="592">
        <f t="shared" si="16"/>
        <v>26889.423355937495</v>
      </c>
      <c r="AU11" s="592">
        <f t="shared" si="17"/>
        <v>16711.072366124536</v>
      </c>
      <c r="AV11" s="592"/>
      <c r="AW11" s="592">
        <f t="shared" si="18"/>
        <v>35155.668644640966</v>
      </c>
      <c r="AX11" s="592"/>
      <c r="AY11" s="1487">
        <f t="shared" si="19"/>
        <v>87059.969085116041</v>
      </c>
      <c r="AZ11" s="592">
        <f t="shared" si="20"/>
        <v>176.82693332807105</v>
      </c>
      <c r="BA11" s="592">
        <v>517.02</v>
      </c>
      <c r="BB11" s="592">
        <f t="shared" si="21"/>
        <v>18375.209684193644</v>
      </c>
      <c r="BC11" s="592"/>
      <c r="BD11" s="1499">
        <f t="shared" si="22"/>
        <v>19069.056617521714</v>
      </c>
      <c r="BE11" s="522"/>
      <c r="BF11" s="522">
        <f t="shared" si="23"/>
        <v>1234.2726168608267</v>
      </c>
      <c r="BG11" s="522">
        <f t="shared" si="24"/>
        <v>16122.637730327022</v>
      </c>
      <c r="BH11" s="522">
        <f t="shared" si="25"/>
        <v>-14907.606049825583</v>
      </c>
      <c r="BI11" s="522">
        <f t="shared" si="26"/>
        <v>100.60085654292156</v>
      </c>
      <c r="BJ11" s="522">
        <f t="shared" si="27"/>
        <v>13.303634950832956</v>
      </c>
      <c r="BK11" s="522">
        <f t="shared" si="28"/>
        <v>-652.39999999997963</v>
      </c>
      <c r="BL11" s="522">
        <v>11.57</v>
      </c>
      <c r="BM11" s="522"/>
      <c r="BN11" s="1489"/>
      <c r="BO11" s="1489"/>
      <c r="BP11" s="1489"/>
      <c r="BQ11" s="1489"/>
      <c r="BR11" s="1489"/>
      <c r="BS11" s="1489"/>
      <c r="BT11" s="35"/>
      <c r="BU11" s="66"/>
      <c r="BV11" s="66"/>
      <c r="BW11" s="66"/>
      <c r="BX11" s="35"/>
      <c r="BY11" s="35"/>
      <c r="BZ11" s="67"/>
      <c r="CA11" s="67"/>
      <c r="CB11" s="67"/>
      <c r="CC11" s="68"/>
      <c r="CD11" s="67"/>
      <c r="CE11" s="68"/>
      <c r="CF11" s="67"/>
      <c r="CG11" s="130"/>
      <c r="CH11" s="35"/>
      <c r="CI11" s="30"/>
    </row>
    <row r="12" spans="1:87" s="124" customFormat="1" x14ac:dyDescent="0.25">
      <c r="A12" s="1791">
        <v>5</v>
      </c>
      <c r="B12" s="1792" t="s">
        <v>304</v>
      </c>
      <c r="C12" s="1793" t="s">
        <v>62</v>
      </c>
      <c r="D12" s="681">
        <v>1980</v>
      </c>
      <c r="E12" s="681">
        <v>3</v>
      </c>
      <c r="F12" s="681">
        <v>36</v>
      </c>
      <c r="G12" s="681">
        <v>93</v>
      </c>
      <c r="H12" s="676">
        <v>1799.9</v>
      </c>
      <c r="I12" s="676">
        <f>25824.11</f>
        <v>25824.11</v>
      </c>
      <c r="J12" s="676">
        <v>32958.89</v>
      </c>
      <c r="K12" s="676">
        <v>1791.67</v>
      </c>
      <c r="L12" s="676">
        <v>1791.67</v>
      </c>
      <c r="M12" s="676">
        <f t="shared" si="0"/>
        <v>27615.78</v>
      </c>
      <c r="N12" s="676">
        <f t="shared" si="1"/>
        <v>34750.559999999998</v>
      </c>
      <c r="O12" s="676">
        <f>1616.6</f>
        <v>1616.6</v>
      </c>
      <c r="P12" s="676">
        <v>2059.98</v>
      </c>
      <c r="Q12" s="676">
        <v>109.42</v>
      </c>
      <c r="R12" s="676">
        <v>109.42</v>
      </c>
      <c r="S12" s="676">
        <f t="shared" si="2"/>
        <v>1726.02</v>
      </c>
      <c r="T12" s="676">
        <f t="shared" si="3"/>
        <v>2169.4</v>
      </c>
      <c r="U12" s="676">
        <f>18227.28+424.9+315.7+233.86</f>
        <v>19201.740000000002</v>
      </c>
      <c r="V12" s="676">
        <v>22803.91</v>
      </c>
      <c r="W12" s="676">
        <v>974.46</v>
      </c>
      <c r="X12" s="676">
        <v>974.46</v>
      </c>
      <c r="Y12" s="676">
        <f t="shared" si="4"/>
        <v>20176.2</v>
      </c>
      <c r="Z12" s="676">
        <f t="shared" si="5"/>
        <v>23778.37</v>
      </c>
      <c r="AA12" s="591">
        <f>240568.45+2676.85+1988.9+1365.56</f>
        <v>246599.76</v>
      </c>
      <c r="AB12" s="591">
        <v>231697.69</v>
      </c>
      <c r="AC12" s="591">
        <v>6031.31</v>
      </c>
      <c r="AD12" s="591">
        <v>6031.31</v>
      </c>
      <c r="AE12" s="591">
        <f t="shared" si="6"/>
        <v>252631.07</v>
      </c>
      <c r="AF12" s="591">
        <f t="shared" si="7"/>
        <v>237729</v>
      </c>
      <c r="AG12" s="591">
        <v>10790.28</v>
      </c>
      <c r="AH12" s="591">
        <v>9271.1200000000008</v>
      </c>
      <c r="AI12" s="628">
        <f t="shared" si="8"/>
        <v>312939.35000000003</v>
      </c>
      <c r="AJ12" s="628">
        <f t="shared" si="9"/>
        <v>307698.45</v>
      </c>
      <c r="AK12" s="1497">
        <f t="shared" si="10"/>
        <v>294461.37273452338</v>
      </c>
      <c r="AL12" s="591">
        <v>1194.07</v>
      </c>
      <c r="AM12" s="592">
        <f t="shared" si="11"/>
        <v>2586.5429357643825</v>
      </c>
      <c r="AN12" s="592">
        <f t="shared" si="12"/>
        <v>2627.3236122642711</v>
      </c>
      <c r="AO12" s="592">
        <v>13326.46</v>
      </c>
      <c r="AP12" s="592"/>
      <c r="AQ12" s="592">
        <f t="shared" si="13"/>
        <v>607.65226626261074</v>
      </c>
      <c r="AR12" s="592">
        <f t="shared" si="14"/>
        <v>917.52608432187219</v>
      </c>
      <c r="AS12" s="592">
        <f t="shared" si="15"/>
        <v>6031.5975916864891</v>
      </c>
      <c r="AT12" s="592">
        <f t="shared" si="16"/>
        <v>62569.679898581664</v>
      </c>
      <c r="AU12" s="592">
        <f t="shared" si="17"/>
        <v>38885.417320768385</v>
      </c>
      <c r="AV12" s="592"/>
      <c r="AW12" s="592">
        <f t="shared" si="18"/>
        <v>81804.615316530209</v>
      </c>
      <c r="AX12" s="592"/>
      <c r="AY12" s="1487">
        <f t="shared" si="19"/>
        <v>210550.88502617992</v>
      </c>
      <c r="AZ12" s="592">
        <f t="shared" si="20"/>
        <v>411.46306744217281</v>
      </c>
      <c r="BA12" s="592">
        <v>353.05</v>
      </c>
      <c r="BB12" s="592">
        <f t="shared" si="21"/>
        <v>42757.740572946874</v>
      </c>
      <c r="BC12" s="592"/>
      <c r="BD12" s="1499">
        <f t="shared" si="22"/>
        <v>43522.253640389048</v>
      </c>
      <c r="BE12" s="522"/>
      <c r="BF12" s="522">
        <f t="shared" si="23"/>
        <v>2872.0601971374667</v>
      </c>
      <c r="BG12" s="522">
        <f t="shared" si="24"/>
        <v>37516.173870816936</v>
      </c>
      <c r="BH12" s="522">
        <f t="shared" si="25"/>
        <v>18477.977265476657</v>
      </c>
      <c r="BI12" s="522">
        <f t="shared" si="26"/>
        <v>98.325266541264298</v>
      </c>
      <c r="BJ12" s="522">
        <f t="shared" si="27"/>
        <v>13.633228361507276</v>
      </c>
      <c r="BK12" s="522">
        <f t="shared" si="28"/>
        <v>5240.9000000000233</v>
      </c>
      <c r="BL12" s="522">
        <v>14.04</v>
      </c>
      <c r="BM12" s="522"/>
      <c r="BN12" s="1489"/>
      <c r="BO12" s="1489"/>
      <c r="BP12" s="1489"/>
      <c r="BQ12" s="1489"/>
      <c r="BR12" s="1489"/>
      <c r="BS12" s="1489"/>
      <c r="BT12" s="35"/>
      <c r="BU12" s="66"/>
      <c r="BV12" s="66"/>
      <c r="BW12" s="66"/>
      <c r="BX12" s="35"/>
      <c r="BY12" s="35"/>
      <c r="BZ12" s="67"/>
      <c r="CA12" s="67"/>
      <c r="CB12" s="67"/>
      <c r="CC12" s="68"/>
      <c r="CD12" s="67"/>
      <c r="CE12" s="68"/>
      <c r="CF12" s="67"/>
      <c r="CG12" s="130"/>
      <c r="CH12" s="35"/>
      <c r="CI12" s="30"/>
    </row>
    <row r="13" spans="1:87" s="124" customFormat="1" x14ac:dyDescent="0.25">
      <c r="A13" s="1791">
        <v>6</v>
      </c>
      <c r="B13" s="1792" t="s">
        <v>304</v>
      </c>
      <c r="C13" s="1793" t="s">
        <v>63</v>
      </c>
      <c r="D13" s="681">
        <v>1982</v>
      </c>
      <c r="E13" s="681">
        <v>3</v>
      </c>
      <c r="F13" s="681">
        <v>24</v>
      </c>
      <c r="G13" s="681">
        <v>84</v>
      </c>
      <c r="H13" s="676">
        <v>1454.2</v>
      </c>
      <c r="I13" s="676">
        <f>19607.26</f>
        <v>19607.259999999998</v>
      </c>
      <c r="J13" s="676">
        <v>21531.1</v>
      </c>
      <c r="K13" s="676">
        <v>1507.7</v>
      </c>
      <c r="L13" s="676">
        <v>1507.7</v>
      </c>
      <c r="M13" s="676">
        <f t="shared" si="0"/>
        <v>21114.959999999999</v>
      </c>
      <c r="N13" s="676">
        <f t="shared" si="1"/>
        <v>23038.799999999999</v>
      </c>
      <c r="O13" s="676">
        <f>1296.44</f>
        <v>1296.44</v>
      </c>
      <c r="P13" s="676">
        <f>1423.69</f>
        <v>1423.69</v>
      </c>
      <c r="Q13" s="676">
        <v>99.7</v>
      </c>
      <c r="R13" s="676">
        <v>99.7</v>
      </c>
      <c r="S13" s="676">
        <f t="shared" si="2"/>
        <v>1396.14</v>
      </c>
      <c r="T13" s="676">
        <f t="shared" si="3"/>
        <v>1523.39</v>
      </c>
      <c r="U13" s="676">
        <f>14658.8+376.6+495.6</f>
        <v>15531</v>
      </c>
      <c r="V13" s="676">
        <v>15835.35</v>
      </c>
      <c r="W13" s="676">
        <v>872.2</v>
      </c>
      <c r="X13" s="676">
        <v>872.2</v>
      </c>
      <c r="Y13" s="676">
        <f t="shared" si="4"/>
        <v>16403.2</v>
      </c>
      <c r="Z13" s="676">
        <f t="shared" si="5"/>
        <v>16707.55</v>
      </c>
      <c r="AA13" s="591">
        <f>192149.81+2364.5+3111.65</f>
        <v>197625.96</v>
      </c>
      <c r="AB13" s="591">
        <v>159013.39000000001</v>
      </c>
      <c r="AC13" s="591">
        <v>5476.15</v>
      </c>
      <c r="AD13" s="591">
        <v>5476.15</v>
      </c>
      <c r="AE13" s="591">
        <f t="shared" si="6"/>
        <v>203102.11</v>
      </c>
      <c r="AF13" s="591">
        <f t="shared" si="7"/>
        <v>164489.54</v>
      </c>
      <c r="AG13" s="591">
        <v>8469.09</v>
      </c>
      <c r="AH13" s="591">
        <v>6150.1</v>
      </c>
      <c r="AI13" s="628">
        <f t="shared" si="8"/>
        <v>250485.49999999997</v>
      </c>
      <c r="AJ13" s="628">
        <f t="shared" si="9"/>
        <v>211909.38</v>
      </c>
      <c r="AK13" s="1497">
        <f t="shared" si="10"/>
        <v>236282.10057588966</v>
      </c>
      <c r="AL13" s="591">
        <v>2259.13</v>
      </c>
      <c r="AM13" s="592">
        <f t="shared" si="11"/>
        <v>2089.7553959600896</v>
      </c>
      <c r="AN13" s="592">
        <f t="shared" si="12"/>
        <v>2122.7034818349371</v>
      </c>
      <c r="AO13" s="592">
        <v>7659.05</v>
      </c>
      <c r="AP13" s="592"/>
      <c r="AQ13" s="592">
        <f t="shared" si="13"/>
        <v>490.94278882109484</v>
      </c>
      <c r="AR13" s="592">
        <f t="shared" si="14"/>
        <v>741.30031214004464</v>
      </c>
      <c r="AS13" s="592">
        <f t="shared" si="15"/>
        <v>4873.1314060950572</v>
      </c>
      <c r="AT13" s="592">
        <f t="shared" si="16"/>
        <v>50552.157624599953</v>
      </c>
      <c r="AU13" s="592">
        <f t="shared" si="17"/>
        <v>31416.841973365954</v>
      </c>
      <c r="AV13" s="592"/>
      <c r="AW13" s="592">
        <f t="shared" si="18"/>
        <v>66092.711591365209</v>
      </c>
      <c r="AX13" s="592"/>
      <c r="AY13" s="1487">
        <f t="shared" si="19"/>
        <v>168297.72457418233</v>
      </c>
      <c r="AZ13" s="592">
        <f t="shared" si="20"/>
        <v>332.43490898072542</v>
      </c>
      <c r="BA13" s="592">
        <v>475.5</v>
      </c>
      <c r="BB13" s="592">
        <f t="shared" si="21"/>
        <v>34545.422713028136</v>
      </c>
      <c r="BC13" s="592"/>
      <c r="BD13" s="1499">
        <f t="shared" si="22"/>
        <v>35353.357622008858</v>
      </c>
      <c r="BE13" s="522"/>
      <c r="BF13" s="522">
        <f t="shared" si="23"/>
        <v>2320.434434511531</v>
      </c>
      <c r="BG13" s="522">
        <f t="shared" si="24"/>
        <v>30310.583945186947</v>
      </c>
      <c r="BH13" s="522">
        <f t="shared" si="25"/>
        <v>14203.399424110306</v>
      </c>
      <c r="BI13" s="522">
        <f t="shared" si="26"/>
        <v>84.599459848973297</v>
      </c>
      <c r="BJ13" s="522">
        <f t="shared" si="27"/>
        <v>13.540211145640768</v>
      </c>
      <c r="BK13" s="522">
        <f t="shared" si="28"/>
        <v>38576.119999999966</v>
      </c>
      <c r="BL13" s="522">
        <v>13.86</v>
      </c>
      <c r="BM13" s="522"/>
      <c r="BN13" s="1489"/>
      <c r="BO13" s="1489"/>
      <c r="BP13" s="1489"/>
      <c r="BQ13" s="1489"/>
      <c r="BR13" s="1489"/>
      <c r="BS13" s="1489"/>
      <c r="BT13" s="35"/>
      <c r="BU13" s="66"/>
      <c r="BV13" s="66"/>
      <c r="BW13" s="66"/>
      <c r="BX13" s="35"/>
      <c r="BY13" s="35"/>
      <c r="BZ13" s="67"/>
      <c r="CA13" s="67"/>
      <c r="CB13" s="67"/>
      <c r="CC13" s="68"/>
      <c r="CD13" s="67"/>
      <c r="CE13" s="68"/>
      <c r="CF13" s="67"/>
      <c r="CG13" s="130"/>
      <c r="CH13" s="35"/>
      <c r="CI13" s="30"/>
    </row>
    <row r="14" spans="1:87" s="124" customFormat="1" x14ac:dyDescent="0.25">
      <c r="A14" s="1791">
        <v>7</v>
      </c>
      <c r="B14" s="1792" t="s">
        <v>304</v>
      </c>
      <c r="C14" s="1793" t="s">
        <v>64</v>
      </c>
      <c r="D14" s="681">
        <v>1982</v>
      </c>
      <c r="E14" s="681">
        <v>3</v>
      </c>
      <c r="F14" s="681">
        <v>24</v>
      </c>
      <c r="G14" s="681">
        <v>95</v>
      </c>
      <c r="H14" s="676">
        <v>1458.3</v>
      </c>
      <c r="I14" s="676">
        <f>20303.03</f>
        <v>20303.03</v>
      </c>
      <c r="J14" s="676">
        <v>24117.29</v>
      </c>
      <c r="K14" s="676">
        <v>862.75</v>
      </c>
      <c r="L14" s="676">
        <v>862.75</v>
      </c>
      <c r="M14" s="676">
        <f t="shared" si="0"/>
        <v>21165.78</v>
      </c>
      <c r="N14" s="676">
        <f t="shared" si="1"/>
        <v>24980.04</v>
      </c>
      <c r="O14" s="676">
        <f>1342.27</f>
        <v>1342.27</v>
      </c>
      <c r="P14" s="676">
        <f>1603.28</f>
        <v>1603.28</v>
      </c>
      <c r="Q14" s="676">
        <v>57.05</v>
      </c>
      <c r="R14" s="676">
        <v>57.05</v>
      </c>
      <c r="S14" s="676">
        <f t="shared" si="2"/>
        <v>1399.32</v>
      </c>
      <c r="T14" s="676">
        <f t="shared" si="3"/>
        <v>1660.33</v>
      </c>
      <c r="U14" s="676">
        <f>15069.1+499.1</f>
        <v>15568.2</v>
      </c>
      <c r="V14" s="676">
        <v>17826.87</v>
      </c>
      <c r="W14" s="676">
        <v>499.1</v>
      </c>
      <c r="X14" s="676">
        <v>499.1</v>
      </c>
      <c r="Y14" s="676">
        <f t="shared" si="4"/>
        <v>16067.300000000001</v>
      </c>
      <c r="Z14" s="676">
        <f t="shared" si="5"/>
        <v>18325.969999999998</v>
      </c>
      <c r="AA14" s="591">
        <f>194852.45+3133.65</f>
        <v>197986.1</v>
      </c>
      <c r="AB14" s="591">
        <v>181713.4</v>
      </c>
      <c r="AC14" s="591">
        <v>3133.65</v>
      </c>
      <c r="AD14" s="591">
        <v>3133.65</v>
      </c>
      <c r="AE14" s="591">
        <f t="shared" si="6"/>
        <v>201119.75</v>
      </c>
      <c r="AF14" s="591">
        <f t="shared" si="7"/>
        <v>184847.05</v>
      </c>
      <c r="AG14" s="591">
        <v>6096.49</v>
      </c>
      <c r="AH14" s="591">
        <v>5405.2</v>
      </c>
      <c r="AI14" s="628">
        <f t="shared" si="8"/>
        <v>245848.63999999998</v>
      </c>
      <c r="AJ14" s="628">
        <f t="shared" si="9"/>
        <v>235218.59</v>
      </c>
      <c r="AK14" s="1497">
        <f t="shared" si="10"/>
        <v>233456.06481902068</v>
      </c>
      <c r="AL14" s="591">
        <v>1476.95</v>
      </c>
      <c r="AM14" s="592">
        <f t="shared" si="11"/>
        <v>2095.6472933080722</v>
      </c>
      <c r="AN14" s="592">
        <f t="shared" si="12"/>
        <v>2128.6882736624179</v>
      </c>
      <c r="AO14" s="592">
        <v>5135.0600000000004</v>
      </c>
      <c r="AP14" s="592"/>
      <c r="AQ14" s="592">
        <f t="shared" si="13"/>
        <v>492.32696254834451</v>
      </c>
      <c r="AR14" s="592">
        <f t="shared" si="14"/>
        <v>743.39034877859103</v>
      </c>
      <c r="AS14" s="592">
        <f t="shared" si="15"/>
        <v>4886.8708083540232</v>
      </c>
      <c r="AT14" s="592">
        <f t="shared" si="16"/>
        <v>50694.685369243642</v>
      </c>
      <c r="AU14" s="592">
        <f t="shared" si="17"/>
        <v>31505.419233777728</v>
      </c>
      <c r="AV14" s="592"/>
      <c r="AW14" s="592">
        <f t="shared" si="18"/>
        <v>66279.054678646586</v>
      </c>
      <c r="AX14" s="592"/>
      <c r="AY14" s="1487">
        <f t="shared" si="19"/>
        <v>165438.09296831943</v>
      </c>
      <c r="AZ14" s="592">
        <f t="shared" si="20"/>
        <v>333.37218248287161</v>
      </c>
      <c r="BA14" s="592">
        <v>318.76</v>
      </c>
      <c r="BB14" s="592">
        <f t="shared" si="21"/>
        <v>34642.820755335531</v>
      </c>
      <c r="BC14" s="592"/>
      <c r="BD14" s="1499">
        <f t="shared" si="22"/>
        <v>35294.952937818402</v>
      </c>
      <c r="BE14" s="522"/>
      <c r="BF14" s="522">
        <f t="shared" si="23"/>
        <v>2326.9767128649191</v>
      </c>
      <c r="BG14" s="522">
        <f t="shared" si="24"/>
        <v>30396.042200017964</v>
      </c>
      <c r="BH14" s="522">
        <f t="shared" si="25"/>
        <v>12392.5751809793</v>
      </c>
      <c r="BI14" s="522">
        <f t="shared" si="26"/>
        <v>95.676181084426588</v>
      </c>
      <c r="BJ14" s="522">
        <f t="shared" si="27"/>
        <v>13.340651490263816</v>
      </c>
      <c r="BK14" s="522">
        <f t="shared" si="28"/>
        <v>10630.049999999988</v>
      </c>
      <c r="BL14" s="522">
        <v>13.86</v>
      </c>
      <c r="BM14" s="522"/>
      <c r="BN14" s="1489"/>
      <c r="BO14" s="1489"/>
      <c r="BP14" s="1489"/>
      <c r="BQ14" s="1489"/>
      <c r="BR14" s="1489"/>
      <c r="BS14" s="1489"/>
      <c r="BT14" s="35"/>
      <c r="BU14" s="66"/>
      <c r="BV14" s="66"/>
      <c r="BW14" s="66"/>
      <c r="BX14" s="35"/>
      <c r="BY14" s="35"/>
      <c r="BZ14" s="67"/>
      <c r="CA14" s="67"/>
      <c r="CB14" s="67"/>
      <c r="CC14" s="68"/>
      <c r="CD14" s="67"/>
      <c r="CE14" s="68"/>
      <c r="CF14" s="67"/>
      <c r="CG14" s="130"/>
      <c r="CH14" s="35"/>
      <c r="CI14" s="30"/>
    </row>
    <row r="15" spans="1:87" s="124" customFormat="1" x14ac:dyDescent="0.25">
      <c r="A15" s="1791">
        <v>8</v>
      </c>
      <c r="B15" s="1792" t="s">
        <v>304</v>
      </c>
      <c r="C15" s="1793" t="s">
        <v>65</v>
      </c>
      <c r="D15" s="681">
        <v>1983</v>
      </c>
      <c r="E15" s="681">
        <v>3</v>
      </c>
      <c r="F15" s="681">
        <v>24</v>
      </c>
      <c r="G15" s="681">
        <v>83</v>
      </c>
      <c r="H15" s="676">
        <v>1446.6</v>
      </c>
      <c r="I15" s="676">
        <f>19355.34</f>
        <v>19355.34</v>
      </c>
      <c r="J15" s="676">
        <v>23016.240000000002</v>
      </c>
      <c r="K15" s="676">
        <v>1474.26</v>
      </c>
      <c r="L15" s="676">
        <v>1474.26</v>
      </c>
      <c r="M15" s="676">
        <f t="shared" si="0"/>
        <v>20829.599999999999</v>
      </c>
      <c r="N15" s="676">
        <f t="shared" si="1"/>
        <v>24490.5</v>
      </c>
      <c r="O15" s="676">
        <f>1290.31</f>
        <v>1290.31</v>
      </c>
      <c r="P15" s="676">
        <v>1534.35</v>
      </c>
      <c r="Q15" s="676">
        <v>98.27</v>
      </c>
      <c r="R15" s="676">
        <v>98.27</v>
      </c>
      <c r="S15" s="676">
        <f t="shared" si="2"/>
        <v>1388.58</v>
      </c>
      <c r="T15" s="676">
        <f t="shared" si="3"/>
        <v>1632.62</v>
      </c>
      <c r="U15" s="676">
        <f>14515.14+249.9+258.4+425.3</f>
        <v>15448.739999999998</v>
      </c>
      <c r="V15" s="676">
        <v>17228.66</v>
      </c>
      <c r="W15" s="676">
        <v>933.6</v>
      </c>
      <c r="X15" s="676">
        <v>933.6</v>
      </c>
      <c r="Y15" s="676">
        <f t="shared" si="4"/>
        <v>16382.339999999998</v>
      </c>
      <c r="Z15" s="676">
        <f t="shared" si="5"/>
        <v>18162.259999999998</v>
      </c>
      <c r="AA15" s="591">
        <f>191006.24+1569+1369.49+2460.95</f>
        <v>196405.68</v>
      </c>
      <c r="AB15" s="591">
        <v>184398.74</v>
      </c>
      <c r="AC15" s="591">
        <v>5399.44</v>
      </c>
      <c r="AD15" s="591">
        <v>5399.44</v>
      </c>
      <c r="AE15" s="591">
        <f t="shared" si="6"/>
        <v>201805.12</v>
      </c>
      <c r="AF15" s="591">
        <f t="shared" si="7"/>
        <v>189798.18</v>
      </c>
      <c r="AG15" s="591">
        <v>6774.04</v>
      </c>
      <c r="AH15" s="591">
        <v>5345.89</v>
      </c>
      <c r="AI15" s="628">
        <f t="shared" si="8"/>
        <v>247179.68</v>
      </c>
      <c r="AJ15" s="628">
        <f t="shared" si="9"/>
        <v>239429.45</v>
      </c>
      <c r="AK15" s="1497">
        <f t="shared" si="10"/>
        <v>232861.57319837849</v>
      </c>
      <c r="AL15" s="591">
        <v>1070.94</v>
      </c>
      <c r="AM15" s="592">
        <f t="shared" si="11"/>
        <v>2078.8338301443164</v>
      </c>
      <c r="AN15" s="592">
        <f t="shared" si="12"/>
        <v>2111.6097213742396</v>
      </c>
      <c r="AO15" s="592">
        <v>6902</v>
      </c>
      <c r="AP15" s="592"/>
      <c r="AQ15" s="592">
        <f t="shared" si="13"/>
        <v>488.37700337546124</v>
      </c>
      <c r="AR15" s="592">
        <f t="shared" si="14"/>
        <v>737.42609788322693</v>
      </c>
      <c r="AS15" s="592">
        <f t="shared" si="15"/>
        <v>4847.6632458101421</v>
      </c>
      <c r="AT15" s="592">
        <f t="shared" si="16"/>
        <v>50287.959854040906</v>
      </c>
      <c r="AU15" s="592">
        <f t="shared" si="17"/>
        <v>31252.649978456324</v>
      </c>
      <c r="AV15" s="592"/>
      <c r="AW15" s="592">
        <f t="shared" si="18"/>
        <v>65747.295136892382</v>
      </c>
      <c r="AX15" s="592"/>
      <c r="AY15" s="1487">
        <f t="shared" si="19"/>
        <v>165524.754867977</v>
      </c>
      <c r="AZ15" s="592">
        <f t="shared" si="20"/>
        <v>330.6975239523569</v>
      </c>
      <c r="BA15" s="592">
        <v>180.76</v>
      </c>
      <c r="BB15" s="592">
        <f t="shared" si="21"/>
        <v>34364.880000458325</v>
      </c>
      <c r="BC15" s="592"/>
      <c r="BD15" s="1499">
        <f t="shared" si="22"/>
        <v>34876.337524410686</v>
      </c>
      <c r="BE15" s="522"/>
      <c r="BF15" s="522">
        <f t="shared" si="23"/>
        <v>2308.3072843930545</v>
      </c>
      <c r="BG15" s="522">
        <f t="shared" si="24"/>
        <v>30152.173521597739</v>
      </c>
      <c r="BH15" s="522">
        <f t="shared" si="25"/>
        <v>14318.106801621499</v>
      </c>
      <c r="BI15" s="522">
        <f t="shared" si="26"/>
        <v>96.864535952146241</v>
      </c>
      <c r="BJ15" s="522">
        <f t="shared" si="27"/>
        <v>13.414303262729762</v>
      </c>
      <c r="BK15" s="522">
        <f t="shared" si="28"/>
        <v>7750.2299999999814</v>
      </c>
      <c r="BL15" s="522">
        <v>13.84</v>
      </c>
      <c r="BM15" s="522"/>
      <c r="BN15" s="1489"/>
      <c r="BO15" s="1489"/>
      <c r="BP15" s="1489"/>
      <c r="BQ15" s="1489"/>
      <c r="BR15" s="1489"/>
      <c r="BS15" s="1489"/>
      <c r="BT15" s="35"/>
      <c r="BU15" s="66"/>
      <c r="BV15" s="66"/>
      <c r="BW15" s="66"/>
      <c r="BX15" s="35"/>
      <c r="BY15" s="35"/>
      <c r="BZ15" s="67"/>
      <c r="CA15" s="67"/>
      <c r="CB15" s="67"/>
      <c r="CC15" s="68"/>
      <c r="CD15" s="67"/>
      <c r="CE15" s="68"/>
      <c r="CF15" s="67"/>
      <c r="CG15" s="130"/>
      <c r="CH15" s="35"/>
      <c r="CI15" s="30"/>
    </row>
    <row r="16" spans="1:87" s="124" customFormat="1" x14ac:dyDescent="0.25">
      <c r="A16" s="1791">
        <v>9</v>
      </c>
      <c r="B16" s="1792" t="s">
        <v>304</v>
      </c>
      <c r="C16" s="1793" t="s">
        <v>66</v>
      </c>
      <c r="D16" s="681">
        <v>1984</v>
      </c>
      <c r="E16" s="681">
        <v>3</v>
      </c>
      <c r="F16" s="681">
        <v>24</v>
      </c>
      <c r="G16" s="681">
        <v>68</v>
      </c>
      <c r="H16" s="676">
        <v>1448</v>
      </c>
      <c r="I16" s="676">
        <v>20851.2</v>
      </c>
      <c r="J16" s="676">
        <v>24839.61</v>
      </c>
      <c r="K16" s="676"/>
      <c r="L16" s="676"/>
      <c r="M16" s="676">
        <f t="shared" si="0"/>
        <v>20851.2</v>
      </c>
      <c r="N16" s="676">
        <f t="shared" si="1"/>
        <v>24839.61</v>
      </c>
      <c r="O16" s="676">
        <v>1390.02</v>
      </c>
      <c r="P16" s="676">
        <v>1655.92</v>
      </c>
      <c r="Q16" s="676"/>
      <c r="R16" s="676"/>
      <c r="S16" s="676">
        <f t="shared" si="2"/>
        <v>1390.02</v>
      </c>
      <c r="T16" s="676">
        <f t="shared" si="3"/>
        <v>1655.92</v>
      </c>
      <c r="U16" s="676">
        <v>15464.58</v>
      </c>
      <c r="V16" s="676">
        <v>18420.32</v>
      </c>
      <c r="W16" s="676"/>
      <c r="X16" s="676"/>
      <c r="Y16" s="676">
        <f t="shared" si="4"/>
        <v>15464.58</v>
      </c>
      <c r="Z16" s="676">
        <f t="shared" si="5"/>
        <v>18420.32</v>
      </c>
      <c r="AA16" s="591">
        <v>196609.5</v>
      </c>
      <c r="AB16" s="591">
        <v>184062.92</v>
      </c>
      <c r="AC16" s="591"/>
      <c r="AD16" s="591"/>
      <c r="AE16" s="591">
        <f t="shared" si="6"/>
        <v>196609.5</v>
      </c>
      <c r="AF16" s="591">
        <f t="shared" si="7"/>
        <v>184062.92</v>
      </c>
      <c r="AG16" s="591">
        <v>7203.69</v>
      </c>
      <c r="AH16" s="591">
        <v>6281.13</v>
      </c>
      <c r="AI16" s="628">
        <f t="shared" si="8"/>
        <v>241518.99</v>
      </c>
      <c r="AJ16" s="628">
        <f t="shared" si="9"/>
        <v>235259.90000000002</v>
      </c>
      <c r="AK16" s="1497">
        <f t="shared" si="10"/>
        <v>233600.4224521305</v>
      </c>
      <c r="AL16" s="591">
        <v>1879.72</v>
      </c>
      <c r="AM16" s="592">
        <f t="shared" si="11"/>
        <v>2080.845697531433</v>
      </c>
      <c r="AN16" s="592">
        <f t="shared" si="12"/>
        <v>2113.6533088275264</v>
      </c>
      <c r="AO16" s="592">
        <v>6507.9</v>
      </c>
      <c r="AP16" s="592"/>
      <c r="AQ16" s="592">
        <f t="shared" si="13"/>
        <v>488.84964806281482</v>
      </c>
      <c r="AR16" s="592">
        <f t="shared" si="14"/>
        <v>738.13976893053552</v>
      </c>
      <c r="AS16" s="592">
        <f t="shared" si="15"/>
        <v>4852.354749020521</v>
      </c>
      <c r="AT16" s="592">
        <f t="shared" si="16"/>
        <v>50336.627864407048</v>
      </c>
      <c r="AU16" s="592">
        <f t="shared" si="17"/>
        <v>31282.895872255467</v>
      </c>
      <c r="AV16" s="592"/>
      <c r="AW16" s="592">
        <f t="shared" si="18"/>
        <v>65810.924483768962</v>
      </c>
      <c r="AX16" s="592"/>
      <c r="AY16" s="1487">
        <f t="shared" si="19"/>
        <v>166091.91139280426</v>
      </c>
      <c r="AZ16" s="592">
        <f t="shared" si="20"/>
        <v>331.01756856284584</v>
      </c>
      <c r="BA16" s="592">
        <v>287.45999999999998</v>
      </c>
      <c r="BB16" s="592">
        <f t="shared" si="21"/>
        <v>34398.137868563295</v>
      </c>
      <c r="BC16" s="592"/>
      <c r="BD16" s="1499">
        <f t="shared" si="22"/>
        <v>35016.615437126144</v>
      </c>
      <c r="BE16" s="522"/>
      <c r="BF16" s="522">
        <f t="shared" si="23"/>
        <v>2310.5412330990898</v>
      </c>
      <c r="BG16" s="522">
        <f t="shared" si="24"/>
        <v>30181.354389101016</v>
      </c>
      <c r="BH16" s="522">
        <f t="shared" si="25"/>
        <v>7918.5675478694902</v>
      </c>
      <c r="BI16" s="522">
        <f t="shared" si="26"/>
        <v>97.408448089320032</v>
      </c>
      <c r="BJ16" s="522">
        <f t="shared" si="27"/>
        <v>13.443854883294804</v>
      </c>
      <c r="BK16" s="522">
        <f t="shared" si="28"/>
        <v>6259.0899999999674</v>
      </c>
      <c r="BL16" s="522">
        <v>13.84</v>
      </c>
      <c r="BM16" s="522"/>
      <c r="BN16" s="1489"/>
      <c r="BO16" s="1489"/>
      <c r="BP16" s="1489"/>
      <c r="BQ16" s="1489"/>
      <c r="BR16" s="1489"/>
      <c r="BS16" s="1489"/>
      <c r="BT16" s="35"/>
      <c r="BU16" s="66"/>
      <c r="BV16" s="66"/>
      <c r="BW16" s="66"/>
      <c r="BX16" s="35"/>
      <c r="BY16" s="35"/>
      <c r="BZ16" s="67"/>
      <c r="CA16" s="67"/>
      <c r="CB16" s="67"/>
      <c r="CC16" s="68"/>
      <c r="CD16" s="67"/>
      <c r="CE16" s="68"/>
      <c r="CF16" s="67"/>
      <c r="CG16" s="130"/>
      <c r="CH16" s="35"/>
      <c r="CI16" s="30"/>
    </row>
    <row r="17" spans="1:87" s="124" customFormat="1" x14ac:dyDescent="0.25">
      <c r="A17" s="1791">
        <v>10</v>
      </c>
      <c r="B17" s="1792" t="s">
        <v>304</v>
      </c>
      <c r="C17" s="1793" t="s">
        <v>67</v>
      </c>
      <c r="D17" s="681">
        <v>1987</v>
      </c>
      <c r="E17" s="681">
        <v>3</v>
      </c>
      <c r="F17" s="681">
        <v>27</v>
      </c>
      <c r="G17" s="681">
        <v>82</v>
      </c>
      <c r="H17" s="676">
        <v>1459.2</v>
      </c>
      <c r="I17" s="676">
        <v>21026.400000000001</v>
      </c>
      <c r="J17" s="676">
        <v>24637.26</v>
      </c>
      <c r="K17" s="676"/>
      <c r="L17" s="676"/>
      <c r="M17" s="676">
        <f t="shared" si="0"/>
        <v>21026.400000000001</v>
      </c>
      <c r="N17" s="676">
        <f t="shared" si="1"/>
        <v>24637.26</v>
      </c>
      <c r="O17" s="676">
        <v>1401.82</v>
      </c>
      <c r="P17" s="676">
        <v>1642.57</v>
      </c>
      <c r="Q17" s="676"/>
      <c r="R17" s="676"/>
      <c r="S17" s="676">
        <f t="shared" si="2"/>
        <v>1401.82</v>
      </c>
      <c r="T17" s="676">
        <f t="shared" si="3"/>
        <v>1642.57</v>
      </c>
      <c r="U17" s="676">
        <v>15594.58</v>
      </c>
      <c r="V17" s="676">
        <v>18253.150000000001</v>
      </c>
      <c r="W17" s="676"/>
      <c r="X17" s="676"/>
      <c r="Y17" s="676">
        <f t="shared" si="4"/>
        <v>15594.58</v>
      </c>
      <c r="Z17" s="676">
        <f t="shared" si="5"/>
        <v>18253.150000000001</v>
      </c>
      <c r="AA17" s="591">
        <v>198247.64</v>
      </c>
      <c r="AB17" s="591">
        <v>184346.51</v>
      </c>
      <c r="AC17" s="591"/>
      <c r="AD17" s="591"/>
      <c r="AE17" s="591">
        <f t="shared" si="6"/>
        <v>198247.64</v>
      </c>
      <c r="AF17" s="591">
        <f t="shared" si="7"/>
        <v>184346.51</v>
      </c>
      <c r="AG17" s="591">
        <v>9379.65</v>
      </c>
      <c r="AH17" s="591">
        <v>7959.75</v>
      </c>
      <c r="AI17" s="628">
        <f t="shared" si="8"/>
        <v>245650.09</v>
      </c>
      <c r="AJ17" s="628">
        <f t="shared" si="9"/>
        <v>236839.24</v>
      </c>
      <c r="AK17" s="1497">
        <f t="shared" si="10"/>
        <v>240217.25648214703</v>
      </c>
      <c r="AL17" s="591">
        <v>1516.99</v>
      </c>
      <c r="AM17" s="592">
        <f t="shared" si="11"/>
        <v>2096.9406366283611</v>
      </c>
      <c r="AN17" s="592">
        <f t="shared" si="12"/>
        <v>2130.0020084538164</v>
      </c>
      <c r="AO17" s="592">
        <v>11792.97</v>
      </c>
      <c r="AP17" s="592"/>
      <c r="AQ17" s="592">
        <f t="shared" si="13"/>
        <v>492.63080556164323</v>
      </c>
      <c r="AR17" s="592">
        <f t="shared" si="14"/>
        <v>743.84913730900371</v>
      </c>
      <c r="AS17" s="592">
        <f t="shared" si="15"/>
        <v>4889.8867747035529</v>
      </c>
      <c r="AT17" s="592">
        <f t="shared" si="16"/>
        <v>50725.971947336162</v>
      </c>
      <c r="AU17" s="592">
        <f t="shared" si="17"/>
        <v>31524.863022648606</v>
      </c>
      <c r="AV17" s="592"/>
      <c r="AW17" s="592">
        <f t="shared" si="18"/>
        <v>66319.959258781528</v>
      </c>
      <c r="AX17" s="592"/>
      <c r="AY17" s="1487">
        <f t="shared" si="19"/>
        <v>172234.06359142266</v>
      </c>
      <c r="AZ17" s="592">
        <f t="shared" si="20"/>
        <v>333.57792544675738</v>
      </c>
      <c r="BA17" s="592">
        <v>242.2</v>
      </c>
      <c r="BB17" s="592">
        <f t="shared" si="21"/>
        <v>34664.200813403011</v>
      </c>
      <c r="BC17" s="592"/>
      <c r="BD17" s="1499">
        <f t="shared" si="22"/>
        <v>35239.978738849764</v>
      </c>
      <c r="BE17" s="522"/>
      <c r="BF17" s="522">
        <f t="shared" si="23"/>
        <v>2328.4128227473702</v>
      </c>
      <c r="BG17" s="522">
        <f t="shared" si="24"/>
        <v>30414.801329127215</v>
      </c>
      <c r="BH17" s="522">
        <f t="shared" si="25"/>
        <v>5432.8335178529669</v>
      </c>
      <c r="BI17" s="522">
        <f t="shared" si="26"/>
        <v>96.413251873834042</v>
      </c>
      <c r="BJ17" s="522">
        <f t="shared" si="27"/>
        <v>13.718547633529047</v>
      </c>
      <c r="BK17" s="522">
        <f t="shared" si="28"/>
        <v>8810.8500000000058</v>
      </c>
      <c r="BL17" s="522">
        <v>13.84</v>
      </c>
      <c r="BM17" s="522"/>
      <c r="BN17" s="1489"/>
      <c r="BO17" s="1489"/>
      <c r="BP17" s="1489"/>
      <c r="BQ17" s="1489"/>
      <c r="BR17" s="1489"/>
      <c r="BS17" s="1489"/>
      <c r="BT17" s="35"/>
      <c r="BU17" s="66"/>
      <c r="BV17" s="66"/>
      <c r="BW17" s="66"/>
      <c r="BX17" s="35"/>
      <c r="BY17" s="35"/>
      <c r="BZ17" s="67"/>
      <c r="CA17" s="67"/>
      <c r="CB17" s="67"/>
      <c r="CC17" s="68"/>
      <c r="CD17" s="67"/>
      <c r="CE17" s="68"/>
      <c r="CF17" s="67"/>
      <c r="CG17" s="130"/>
      <c r="CH17" s="35"/>
      <c r="CI17" s="30"/>
    </row>
    <row r="18" spans="1:87" s="124" customFormat="1" x14ac:dyDescent="0.25">
      <c r="A18" s="1798">
        <f t="shared" ref="A18:A28" si="29">A17+1</f>
        <v>11</v>
      </c>
      <c r="B18" s="587" t="s">
        <v>848</v>
      </c>
      <c r="C18" s="1789" t="s">
        <v>68</v>
      </c>
      <c r="D18" s="681">
        <v>1952</v>
      </c>
      <c r="E18" s="681">
        <v>1</v>
      </c>
      <c r="F18" s="681">
        <v>2</v>
      </c>
      <c r="G18" s="681">
        <v>5</v>
      </c>
      <c r="H18" s="676">
        <v>58.6</v>
      </c>
      <c r="I18" s="676"/>
      <c r="J18" s="676"/>
      <c r="K18" s="676"/>
      <c r="L18" s="676"/>
      <c r="M18" s="676">
        <f t="shared" si="0"/>
        <v>0</v>
      </c>
      <c r="N18" s="676">
        <f t="shared" si="1"/>
        <v>0</v>
      </c>
      <c r="O18" s="676">
        <f>9.38</f>
        <v>9.3800000000000008</v>
      </c>
      <c r="P18" s="676">
        <v>17.12</v>
      </c>
      <c r="Q18" s="676">
        <v>46.9</v>
      </c>
      <c r="R18" s="676">
        <v>46.9</v>
      </c>
      <c r="S18" s="676">
        <f t="shared" si="2"/>
        <v>56.28</v>
      </c>
      <c r="T18" s="676">
        <f t="shared" si="3"/>
        <v>64.02</v>
      </c>
      <c r="U18" s="676">
        <f>94.92+112.74+193.14</f>
        <v>400.79999999999995</v>
      </c>
      <c r="V18" s="676">
        <v>120.3</v>
      </c>
      <c r="W18" s="676">
        <v>305.88</v>
      </c>
      <c r="X18" s="676">
        <v>305.88</v>
      </c>
      <c r="Y18" s="676">
        <f t="shared" si="4"/>
        <v>706.68</v>
      </c>
      <c r="Z18" s="676">
        <f t="shared" si="5"/>
        <v>426.18</v>
      </c>
      <c r="AA18" s="591">
        <f>2448.31+494.65+847.3</f>
        <v>3790.26</v>
      </c>
      <c r="AB18" s="591">
        <v>490.06</v>
      </c>
      <c r="AC18" s="591">
        <v>1341.95</v>
      </c>
      <c r="AD18" s="591">
        <v>1341.95</v>
      </c>
      <c r="AE18" s="591">
        <f t="shared" si="6"/>
        <v>5132.21</v>
      </c>
      <c r="AF18" s="591">
        <f t="shared" si="7"/>
        <v>1832.01</v>
      </c>
      <c r="AG18" s="591">
        <v>0</v>
      </c>
      <c r="AH18" s="591">
        <v>0</v>
      </c>
      <c r="AI18" s="628">
        <f t="shared" si="8"/>
        <v>5895.17</v>
      </c>
      <c r="AJ18" s="628">
        <f t="shared" si="9"/>
        <v>2322.21</v>
      </c>
      <c r="AK18" s="1497">
        <f t="shared" si="10"/>
        <v>5033.8234698414344</v>
      </c>
      <c r="AL18" s="591"/>
      <c r="AM18" s="592">
        <f t="shared" si="11"/>
        <v>84.211020632142237</v>
      </c>
      <c r="AN18" s="592">
        <f t="shared" si="12"/>
        <v>85.538731973268668</v>
      </c>
      <c r="AO18" s="592"/>
      <c r="AP18" s="592"/>
      <c r="AQ18" s="592">
        <f t="shared" si="13"/>
        <v>19.783556199227174</v>
      </c>
      <c r="AR18" s="592">
        <f t="shared" si="14"/>
        <v>29.872230980199848</v>
      </c>
      <c r="AS18" s="592">
        <f t="shared" si="15"/>
        <v>196.37292009157636</v>
      </c>
      <c r="AT18" s="592">
        <f t="shared" si="16"/>
        <v>2037.1038624684068</v>
      </c>
      <c r="AU18" s="592">
        <f t="shared" si="17"/>
        <v>1266.0066975926591</v>
      </c>
      <c r="AV18" s="592"/>
      <c r="AW18" s="592"/>
      <c r="AX18" s="592"/>
      <c r="AY18" s="1487">
        <f t="shared" si="19"/>
        <v>3718.8890199374796</v>
      </c>
      <c r="AZ18" s="592"/>
      <c r="BA18" s="592"/>
      <c r="BB18" s="592"/>
      <c r="BC18" s="592"/>
      <c r="BD18" s="1499">
        <f t="shared" si="22"/>
        <v>0</v>
      </c>
      <c r="BE18" s="522"/>
      <c r="BF18" s="522">
        <f t="shared" si="23"/>
        <v>93.506710124037753</v>
      </c>
      <c r="BG18" s="522">
        <f t="shared" si="24"/>
        <v>1221.4277397799169</v>
      </c>
      <c r="BH18" s="522">
        <f t="shared" si="25"/>
        <v>861.34653015856566</v>
      </c>
      <c r="BI18" s="522">
        <f t="shared" si="26"/>
        <v>39.391739339153922</v>
      </c>
      <c r="BJ18" s="522">
        <f t="shared" si="27"/>
        <v>7.1584520333353732</v>
      </c>
      <c r="BK18" s="522">
        <f t="shared" si="28"/>
        <v>3572.96</v>
      </c>
      <c r="BL18" s="522">
        <v>6.2</v>
      </c>
      <c r="BM18" s="522"/>
      <c r="BN18" s="1489"/>
      <c r="BO18" s="1489"/>
      <c r="BP18" s="1489"/>
      <c r="BQ18" s="1489"/>
      <c r="BR18" s="1489"/>
      <c r="BS18" s="1489"/>
      <c r="BT18" s="35"/>
      <c r="BU18" s="66"/>
      <c r="BV18" s="66"/>
      <c r="BW18" s="66"/>
      <c r="BX18" s="35"/>
      <c r="BY18" s="35"/>
      <c r="BZ18" s="67"/>
      <c r="CA18" s="67"/>
      <c r="CB18" s="67"/>
      <c r="CC18" s="68"/>
      <c r="CD18" s="67"/>
      <c r="CE18" s="30"/>
      <c r="CF18" s="67"/>
      <c r="CG18" s="130"/>
      <c r="CH18" s="35"/>
      <c r="CI18" s="30"/>
    </row>
    <row r="19" spans="1:87" s="124" customFormat="1" x14ac:dyDescent="0.25">
      <c r="A19" s="1798">
        <f t="shared" si="29"/>
        <v>12</v>
      </c>
      <c r="B19" s="587" t="s">
        <v>848</v>
      </c>
      <c r="C19" s="1789" t="s">
        <v>69</v>
      </c>
      <c r="D19" s="681">
        <v>1940</v>
      </c>
      <c r="E19" s="681">
        <v>1</v>
      </c>
      <c r="F19" s="681">
        <v>1</v>
      </c>
      <c r="G19" s="681">
        <v>8</v>
      </c>
      <c r="H19" s="676">
        <v>29.9</v>
      </c>
      <c r="I19" s="676"/>
      <c r="J19" s="676"/>
      <c r="K19" s="676"/>
      <c r="L19" s="676"/>
      <c r="M19" s="676">
        <f t="shared" si="0"/>
        <v>0</v>
      </c>
      <c r="N19" s="676">
        <f t="shared" si="1"/>
        <v>0</v>
      </c>
      <c r="O19" s="676">
        <v>28.68</v>
      </c>
      <c r="P19" s="676">
        <v>52.58</v>
      </c>
      <c r="Q19" s="676"/>
      <c r="R19" s="676"/>
      <c r="S19" s="676">
        <f t="shared" si="2"/>
        <v>28.68</v>
      </c>
      <c r="T19" s="676">
        <f t="shared" si="3"/>
        <v>52.58</v>
      </c>
      <c r="U19" s="676">
        <v>204.54</v>
      </c>
      <c r="V19" s="676">
        <v>374.99</v>
      </c>
      <c r="W19" s="676"/>
      <c r="X19" s="676"/>
      <c r="Y19" s="676">
        <f t="shared" si="4"/>
        <v>204.54</v>
      </c>
      <c r="Z19" s="676">
        <f t="shared" si="5"/>
        <v>374.99</v>
      </c>
      <c r="AA19" s="591">
        <v>1933.92</v>
      </c>
      <c r="AB19" s="591">
        <v>1877.1</v>
      </c>
      <c r="AC19" s="591"/>
      <c r="AD19" s="591"/>
      <c r="AE19" s="591">
        <f t="shared" si="6"/>
        <v>1933.92</v>
      </c>
      <c r="AF19" s="591">
        <f t="shared" si="7"/>
        <v>1877.1</v>
      </c>
      <c r="AG19" s="591">
        <v>0</v>
      </c>
      <c r="AH19" s="591">
        <v>0</v>
      </c>
      <c r="AI19" s="628">
        <f t="shared" si="8"/>
        <v>2167.14</v>
      </c>
      <c r="AJ19" s="628">
        <f t="shared" si="9"/>
        <v>2304.67</v>
      </c>
      <c r="AK19" s="1497">
        <f t="shared" si="10"/>
        <v>2568.4525895607321</v>
      </c>
      <c r="AL19" s="591"/>
      <c r="AM19" s="592">
        <f t="shared" si="11"/>
        <v>42.9677391962637</v>
      </c>
      <c r="AN19" s="592">
        <f t="shared" si="12"/>
        <v>43.645189180899884</v>
      </c>
      <c r="AO19" s="592"/>
      <c r="AP19" s="592"/>
      <c r="AQ19" s="592">
        <f t="shared" si="13"/>
        <v>10.094340108479393</v>
      </c>
      <c r="AR19" s="592">
        <f t="shared" si="14"/>
        <v>15.241974510375007</v>
      </c>
      <c r="AS19" s="592">
        <f t="shared" si="15"/>
        <v>100.19710427880771</v>
      </c>
      <c r="AT19" s="592">
        <f t="shared" si="16"/>
        <v>1039.4096499625489</v>
      </c>
      <c r="AU19" s="592">
        <f t="shared" si="17"/>
        <v>645.96587471024759</v>
      </c>
      <c r="AV19" s="592"/>
      <c r="AW19" s="592"/>
      <c r="AX19" s="592"/>
      <c r="AY19" s="1487">
        <f t="shared" si="19"/>
        <v>1897.5218719476222</v>
      </c>
      <c r="AZ19" s="592"/>
      <c r="BA19" s="592"/>
      <c r="BB19" s="592"/>
      <c r="BC19" s="592"/>
      <c r="BD19" s="1499">
        <f t="shared" si="22"/>
        <v>0</v>
      </c>
      <c r="BE19" s="522"/>
      <c r="BF19" s="522">
        <f t="shared" si="23"/>
        <v>47.710761650319604</v>
      </c>
      <c r="BG19" s="522">
        <f t="shared" si="24"/>
        <v>623.21995596279032</v>
      </c>
      <c r="BH19" s="522">
        <f t="shared" si="25"/>
        <v>-401.31258956073225</v>
      </c>
      <c r="BI19" s="522">
        <f t="shared" si="26"/>
        <v>106.34615207139365</v>
      </c>
      <c r="BJ19" s="522">
        <f t="shared" si="27"/>
        <v>7.1584520333353749</v>
      </c>
      <c r="BK19" s="522">
        <f t="shared" si="28"/>
        <v>-137.5300000000002</v>
      </c>
      <c r="BL19" s="522">
        <v>6.2</v>
      </c>
      <c r="BM19" s="522"/>
      <c r="BN19" s="1489"/>
      <c r="BO19" s="1489"/>
      <c r="BP19" s="1489"/>
      <c r="BQ19" s="1489"/>
      <c r="BR19" s="1489"/>
      <c r="BS19" s="1489"/>
      <c r="BT19" s="35"/>
      <c r="BU19" s="66"/>
      <c r="BV19" s="66"/>
      <c r="BW19" s="66"/>
      <c r="BX19" s="35"/>
      <c r="BY19" s="35"/>
      <c r="BZ19" s="67"/>
      <c r="CA19" s="67"/>
      <c r="CB19" s="67"/>
      <c r="CC19" s="68"/>
      <c r="CD19" s="67"/>
      <c r="CE19" s="68"/>
      <c r="CF19" s="67"/>
      <c r="CG19" s="130"/>
      <c r="CH19" s="35"/>
      <c r="CI19" s="30"/>
    </row>
    <row r="20" spans="1:87" s="124" customFormat="1" x14ac:dyDescent="0.25">
      <c r="A20" s="1798">
        <f t="shared" si="29"/>
        <v>13</v>
      </c>
      <c r="B20" s="587" t="s">
        <v>848</v>
      </c>
      <c r="C20" s="1789" t="s">
        <v>70</v>
      </c>
      <c r="D20" s="681">
        <v>1943</v>
      </c>
      <c r="E20" s="681">
        <v>1</v>
      </c>
      <c r="F20" s="681">
        <v>1</v>
      </c>
      <c r="G20" s="681">
        <v>3</v>
      </c>
      <c r="H20" s="676">
        <v>44.6</v>
      </c>
      <c r="I20" s="676"/>
      <c r="J20" s="676"/>
      <c r="K20" s="676"/>
      <c r="L20" s="676"/>
      <c r="M20" s="676">
        <f t="shared" si="0"/>
        <v>0</v>
      </c>
      <c r="N20" s="676">
        <f t="shared" si="1"/>
        <v>0</v>
      </c>
      <c r="O20" s="676">
        <v>42.84</v>
      </c>
      <c r="P20" s="676">
        <v>57.12</v>
      </c>
      <c r="Q20" s="676"/>
      <c r="R20" s="676"/>
      <c r="S20" s="676">
        <f t="shared" si="2"/>
        <v>42.84</v>
      </c>
      <c r="T20" s="676">
        <f t="shared" si="3"/>
        <v>57.12</v>
      </c>
      <c r="U20" s="676">
        <v>305.04000000000002</v>
      </c>
      <c r="V20" s="676">
        <v>406.72</v>
      </c>
      <c r="W20" s="676"/>
      <c r="X20" s="676"/>
      <c r="Y20" s="676">
        <f t="shared" si="4"/>
        <v>305.04000000000002</v>
      </c>
      <c r="Z20" s="676">
        <f t="shared" si="5"/>
        <v>406.72</v>
      </c>
      <c r="AA20" s="591">
        <v>2884.74</v>
      </c>
      <c r="AB20" s="591">
        <v>2740.24</v>
      </c>
      <c r="AC20" s="591"/>
      <c r="AD20" s="591"/>
      <c r="AE20" s="591">
        <f t="shared" si="6"/>
        <v>2884.74</v>
      </c>
      <c r="AF20" s="591">
        <f t="shared" si="7"/>
        <v>2740.24</v>
      </c>
      <c r="AG20" s="591">
        <v>0</v>
      </c>
      <c r="AH20" s="591">
        <v>0</v>
      </c>
      <c r="AI20" s="628">
        <f t="shared" si="8"/>
        <v>3232.62</v>
      </c>
      <c r="AJ20" s="628">
        <f t="shared" si="9"/>
        <v>3204.08</v>
      </c>
      <c r="AK20" s="1497">
        <f t="shared" si="10"/>
        <v>3831.2035282410916</v>
      </c>
      <c r="AL20" s="591"/>
      <c r="AM20" s="592">
        <f t="shared" si="11"/>
        <v>64.092346760981982</v>
      </c>
      <c r="AN20" s="592">
        <f t="shared" si="12"/>
        <v>65.102857440405856</v>
      </c>
      <c r="AO20" s="592"/>
      <c r="AP20" s="592"/>
      <c r="AQ20" s="592">
        <f t="shared" si="13"/>
        <v>15.057109325691671</v>
      </c>
      <c r="AR20" s="592">
        <f t="shared" si="14"/>
        <v>22.735520507114561</v>
      </c>
      <c r="AS20" s="592">
        <f t="shared" si="15"/>
        <v>149.45788798778679</v>
      </c>
      <c r="AT20" s="592">
        <f t="shared" si="16"/>
        <v>1550.4237588070127</v>
      </c>
      <c r="AU20" s="592">
        <f t="shared" si="17"/>
        <v>963.54775960123891</v>
      </c>
      <c r="AV20" s="592"/>
      <c r="AW20" s="592"/>
      <c r="AX20" s="592"/>
      <c r="AY20" s="1487">
        <f t="shared" si="19"/>
        <v>2830.4172404302321</v>
      </c>
      <c r="AZ20" s="592"/>
      <c r="BA20" s="592"/>
      <c r="BB20" s="592"/>
      <c r="BC20" s="592"/>
      <c r="BD20" s="1499">
        <f t="shared" si="22"/>
        <v>0</v>
      </c>
      <c r="BE20" s="522"/>
      <c r="BF20" s="522">
        <f t="shared" si="23"/>
        <v>71.167223063687445</v>
      </c>
      <c r="BG20" s="522">
        <f t="shared" si="24"/>
        <v>929.61906474717216</v>
      </c>
      <c r="BH20" s="522">
        <f t="shared" si="25"/>
        <v>-598.5835282410917</v>
      </c>
      <c r="BI20" s="522">
        <f t="shared" si="26"/>
        <v>99.117124808978474</v>
      </c>
      <c r="BJ20" s="522">
        <f t="shared" si="27"/>
        <v>7.1584520333353723</v>
      </c>
      <c r="BK20" s="522">
        <f t="shared" si="28"/>
        <v>28.539999999999964</v>
      </c>
      <c r="BL20" s="522">
        <v>6.2</v>
      </c>
      <c r="BM20" s="522"/>
      <c r="BN20" s="1489"/>
      <c r="BO20" s="1489"/>
      <c r="BP20" s="1489"/>
      <c r="BQ20" s="1489"/>
      <c r="BR20" s="1489"/>
      <c r="BS20" s="1489"/>
      <c r="BT20" s="35"/>
      <c r="BU20" s="66"/>
      <c r="BV20" s="66"/>
      <c r="BW20" s="66"/>
      <c r="BX20" s="35"/>
      <c r="BY20" s="35"/>
      <c r="BZ20" s="67"/>
      <c r="CA20" s="67"/>
      <c r="CB20" s="67"/>
      <c r="CC20" s="68"/>
      <c r="CD20" s="67"/>
      <c r="CE20" s="68"/>
      <c r="CF20" s="67"/>
      <c r="CG20" s="130"/>
      <c r="CH20" s="35"/>
      <c r="CI20" s="30"/>
    </row>
    <row r="21" spans="1:87" s="124" customFormat="1" x14ac:dyDescent="0.25">
      <c r="A21" s="1798">
        <f t="shared" si="29"/>
        <v>14</v>
      </c>
      <c r="B21" s="587" t="s">
        <v>848</v>
      </c>
      <c r="C21" s="1789" t="s">
        <v>71</v>
      </c>
      <c r="D21" s="681">
        <v>1962</v>
      </c>
      <c r="E21" s="681">
        <v>1</v>
      </c>
      <c r="F21" s="681">
        <v>2</v>
      </c>
      <c r="G21" s="681">
        <v>7</v>
      </c>
      <c r="H21" s="676">
        <v>85.8</v>
      </c>
      <c r="I21" s="676"/>
      <c r="J21" s="676"/>
      <c r="K21" s="676"/>
      <c r="L21" s="676"/>
      <c r="M21" s="676">
        <f t="shared" si="0"/>
        <v>0</v>
      </c>
      <c r="N21" s="676">
        <f t="shared" si="1"/>
        <v>0</v>
      </c>
      <c r="O21" s="676">
        <v>82.38</v>
      </c>
      <c r="P21" s="676">
        <v>89.34</v>
      </c>
      <c r="Q21" s="676"/>
      <c r="R21" s="676"/>
      <c r="S21" s="676">
        <f t="shared" si="2"/>
        <v>82.38</v>
      </c>
      <c r="T21" s="676">
        <f t="shared" si="3"/>
        <v>89.34</v>
      </c>
      <c r="U21" s="676">
        <v>586.86</v>
      </c>
      <c r="V21" s="676">
        <v>636.44000000000005</v>
      </c>
      <c r="W21" s="676"/>
      <c r="X21" s="676"/>
      <c r="Y21" s="676">
        <f t="shared" si="4"/>
        <v>586.86</v>
      </c>
      <c r="Z21" s="676">
        <f t="shared" si="5"/>
        <v>636.44000000000005</v>
      </c>
      <c r="AA21" s="591">
        <v>7917.66</v>
      </c>
      <c r="AB21" s="591">
        <v>7479.82</v>
      </c>
      <c r="AC21" s="591"/>
      <c r="AD21" s="591"/>
      <c r="AE21" s="591">
        <f t="shared" si="6"/>
        <v>7917.66</v>
      </c>
      <c r="AF21" s="591">
        <f t="shared" si="7"/>
        <v>7479.82</v>
      </c>
      <c r="AG21" s="591">
        <v>0</v>
      </c>
      <c r="AH21" s="591">
        <v>0</v>
      </c>
      <c r="AI21" s="628">
        <f t="shared" si="8"/>
        <v>8586.9</v>
      </c>
      <c r="AJ21" s="628">
        <f t="shared" si="9"/>
        <v>8205.6</v>
      </c>
      <c r="AK21" s="1497">
        <f t="shared" si="10"/>
        <v>7370.3422135221008</v>
      </c>
      <c r="AL21" s="591"/>
      <c r="AM21" s="592">
        <f t="shared" si="11"/>
        <v>123.29872986753931</v>
      </c>
      <c r="AN21" s="592">
        <f t="shared" si="12"/>
        <v>125.24271677997358</v>
      </c>
      <c r="AO21" s="592"/>
      <c r="AP21" s="592"/>
      <c r="AQ21" s="592">
        <f t="shared" si="13"/>
        <v>28.966367267810433</v>
      </c>
      <c r="AR21" s="592">
        <f t="shared" si="14"/>
        <v>43.737839899336976</v>
      </c>
      <c r="AS21" s="592">
        <f t="shared" si="15"/>
        <v>287.52212532179607</v>
      </c>
      <c r="AT21" s="592">
        <f t="shared" si="16"/>
        <v>2982.6537781534012</v>
      </c>
      <c r="AU21" s="592">
        <f t="shared" si="17"/>
        <v>1853.6412056902757</v>
      </c>
      <c r="AV21" s="592"/>
      <c r="AW21" s="592"/>
      <c r="AX21" s="592"/>
      <c r="AY21" s="1487">
        <f t="shared" si="19"/>
        <v>5445.0627629801329</v>
      </c>
      <c r="AZ21" s="592"/>
      <c r="BA21" s="592"/>
      <c r="BB21" s="592"/>
      <c r="BC21" s="592"/>
      <c r="BD21" s="1499">
        <f t="shared" si="22"/>
        <v>0</v>
      </c>
      <c r="BE21" s="522"/>
      <c r="BF21" s="522">
        <f t="shared" si="23"/>
        <v>136.90914212700409</v>
      </c>
      <c r="BG21" s="522">
        <f t="shared" si="24"/>
        <v>1788.3703084149636</v>
      </c>
      <c r="BH21" s="522">
        <f t="shared" si="25"/>
        <v>1216.5577864778988</v>
      </c>
      <c r="BI21" s="522">
        <f t="shared" si="26"/>
        <v>95.559515075289113</v>
      </c>
      <c r="BJ21" s="522">
        <f t="shared" si="27"/>
        <v>7.1584520333353732</v>
      </c>
      <c r="BK21" s="522">
        <f t="shared" si="28"/>
        <v>381.29999999999927</v>
      </c>
      <c r="BL21" s="522">
        <v>8.56</v>
      </c>
      <c r="BM21" s="522"/>
      <c r="BN21" s="1489"/>
      <c r="BO21" s="1489"/>
      <c r="BP21" s="1489"/>
      <c r="BQ21" s="1489"/>
      <c r="BR21" s="1489"/>
      <c r="BS21" s="1489"/>
      <c r="BT21" s="35"/>
      <c r="BU21" s="66"/>
      <c r="BV21" s="66"/>
      <c r="BW21" s="66"/>
      <c r="BX21" s="35"/>
      <c r="BY21" s="35"/>
      <c r="BZ21" s="67"/>
      <c r="CA21" s="67"/>
      <c r="CB21" s="67"/>
      <c r="CC21" s="68"/>
      <c r="CD21" s="67"/>
      <c r="CE21" s="68"/>
      <c r="CF21" s="67"/>
      <c r="CG21" s="130"/>
      <c r="CH21" s="35"/>
      <c r="CI21" s="30"/>
    </row>
    <row r="22" spans="1:87" s="124" customFormat="1" x14ac:dyDescent="0.25">
      <c r="A22" s="1791">
        <f t="shared" si="29"/>
        <v>15</v>
      </c>
      <c r="B22" s="1792" t="s">
        <v>304</v>
      </c>
      <c r="C22" s="1793" t="s">
        <v>72</v>
      </c>
      <c r="D22" s="681">
        <v>1968</v>
      </c>
      <c r="E22" s="681">
        <v>2</v>
      </c>
      <c r="F22" s="681">
        <v>16</v>
      </c>
      <c r="G22" s="681">
        <v>36</v>
      </c>
      <c r="H22" s="676">
        <v>722.8</v>
      </c>
      <c r="I22" s="676">
        <f>8485.95</f>
        <v>8485.9500000000007</v>
      </c>
      <c r="J22" s="676">
        <v>9920.2000000000007</v>
      </c>
      <c r="K22" s="676">
        <v>1104.45</v>
      </c>
      <c r="L22" s="676">
        <v>1104.45</v>
      </c>
      <c r="M22" s="676">
        <f t="shared" si="0"/>
        <v>9590.4000000000015</v>
      </c>
      <c r="N22" s="676">
        <f t="shared" si="1"/>
        <v>11024.650000000001</v>
      </c>
      <c r="O22" s="676">
        <f>611.54</f>
        <v>611.54</v>
      </c>
      <c r="P22" s="676">
        <f>714.92</f>
        <v>714.92</v>
      </c>
      <c r="Q22" s="676">
        <v>79.599999999999994</v>
      </c>
      <c r="R22" s="676">
        <v>79.599999999999994</v>
      </c>
      <c r="S22" s="676">
        <f t="shared" si="2"/>
        <v>691.14</v>
      </c>
      <c r="T22" s="676">
        <f t="shared" si="3"/>
        <v>794.52</v>
      </c>
      <c r="U22" s="676">
        <f>6977.82+415.1+296.68</f>
        <v>7689.6</v>
      </c>
      <c r="V22" s="676">
        <v>8014.62</v>
      </c>
      <c r="W22" s="676">
        <v>711.78</v>
      </c>
      <c r="X22" s="676">
        <v>711.78</v>
      </c>
      <c r="Y22" s="676">
        <f t="shared" si="4"/>
        <v>8401.380000000001</v>
      </c>
      <c r="Z22" s="676">
        <f t="shared" si="5"/>
        <v>8726.4</v>
      </c>
      <c r="AA22" s="591">
        <f>88204.16+2452.05+2431.4+1662.25</f>
        <v>94749.86</v>
      </c>
      <c r="AB22" s="591">
        <v>74011.33</v>
      </c>
      <c r="AC22" s="591">
        <v>4114.3</v>
      </c>
      <c r="AD22" s="591">
        <v>4114.3</v>
      </c>
      <c r="AE22" s="591">
        <f t="shared" si="6"/>
        <v>98864.16</v>
      </c>
      <c r="AF22" s="591">
        <f t="shared" si="7"/>
        <v>78125.63</v>
      </c>
      <c r="AG22" s="591">
        <v>1946.5</v>
      </c>
      <c r="AH22" s="591">
        <v>1566.22</v>
      </c>
      <c r="AI22" s="628">
        <f t="shared" si="8"/>
        <v>119493.58</v>
      </c>
      <c r="AJ22" s="628">
        <f t="shared" si="9"/>
        <v>100237.42000000001</v>
      </c>
      <c r="AK22" s="1497">
        <f t="shared" si="10"/>
        <v>115282.10900856351</v>
      </c>
      <c r="AL22" s="591">
        <v>89.82</v>
      </c>
      <c r="AM22" s="592">
        <f t="shared" si="11"/>
        <v>1038.6983910053311</v>
      </c>
      <c r="AN22" s="592">
        <f t="shared" si="12"/>
        <v>1055.0750080252319</v>
      </c>
      <c r="AO22" s="592">
        <v>2659.02</v>
      </c>
      <c r="AP22" s="592"/>
      <c r="AQ22" s="592">
        <f t="shared" si="13"/>
        <v>244.01970001367579</v>
      </c>
      <c r="AR22" s="592">
        <f t="shared" si="14"/>
        <v>368.45816642471755</v>
      </c>
      <c r="AS22" s="592">
        <f t="shared" si="15"/>
        <v>2422.1560860442214</v>
      </c>
      <c r="AT22" s="592">
        <f t="shared" si="16"/>
        <v>25126.598494746831</v>
      </c>
      <c r="AU22" s="592">
        <f t="shared" si="17"/>
        <v>15615.522884299897</v>
      </c>
      <c r="AV22" s="592"/>
      <c r="AW22" s="592">
        <f t="shared" ref="AW22:AW24" si="30">743484.83/16358.47*H22</f>
        <v>32850.922801704553</v>
      </c>
      <c r="AX22" s="592"/>
      <c r="AY22" s="1487">
        <f t="shared" si="19"/>
        <v>81470.291532264469</v>
      </c>
      <c r="AZ22" s="592">
        <f t="shared" ref="AZ22:AZ24" si="31">3591.2/15709.31*H22</f>
        <v>165.23446032957526</v>
      </c>
      <c r="BA22" s="592">
        <v>257</v>
      </c>
      <c r="BB22" s="592">
        <f t="shared" ref="BB22:BB24" si="32">373184.4/15709.31*H22</f>
        <v>17170.562190191678</v>
      </c>
      <c r="BC22" s="592"/>
      <c r="BD22" s="1499">
        <f t="shared" si="22"/>
        <v>17592.796650521253</v>
      </c>
      <c r="BE22" s="522"/>
      <c r="BF22" s="522">
        <f t="shared" si="23"/>
        <v>1153.3558033729435</v>
      </c>
      <c r="BG22" s="522">
        <f t="shared" si="24"/>
        <v>15065.665022404843</v>
      </c>
      <c r="BH22" s="522">
        <f t="shared" si="25"/>
        <v>4211.4709914364939</v>
      </c>
      <c r="BI22" s="522">
        <f t="shared" si="26"/>
        <v>83.885192827932684</v>
      </c>
      <c r="BJ22" s="522">
        <f t="shared" si="27"/>
        <v>13.291148889568751</v>
      </c>
      <c r="BK22" s="522">
        <f t="shared" si="28"/>
        <v>19256.159999999989</v>
      </c>
      <c r="BL22" s="522">
        <v>13.1</v>
      </c>
      <c r="BM22" s="522"/>
      <c r="BN22" s="1489"/>
      <c r="BO22" s="1489"/>
      <c r="BP22" s="1489"/>
      <c r="BQ22" s="1489"/>
      <c r="BR22" s="1489"/>
      <c r="BS22" s="1489"/>
      <c r="BT22" s="35"/>
      <c r="BU22" s="66"/>
      <c r="BV22" s="66"/>
      <c r="BW22" s="66"/>
      <c r="BX22" s="35"/>
      <c r="BY22" s="35"/>
      <c r="BZ22" s="67"/>
      <c r="CA22" s="67"/>
      <c r="CB22" s="67"/>
      <c r="CC22" s="68"/>
      <c r="CD22" s="67"/>
      <c r="CE22" s="68"/>
      <c r="CF22" s="67"/>
      <c r="CG22" s="130"/>
      <c r="CH22" s="35"/>
      <c r="CI22" s="30"/>
    </row>
    <row r="23" spans="1:87" s="124" customFormat="1" x14ac:dyDescent="0.25">
      <c r="A23" s="1791">
        <f t="shared" si="29"/>
        <v>16</v>
      </c>
      <c r="B23" s="1792" t="s">
        <v>304</v>
      </c>
      <c r="C23" s="1793" t="s">
        <v>73</v>
      </c>
      <c r="D23" s="681">
        <v>1971</v>
      </c>
      <c r="E23" s="681">
        <v>2</v>
      </c>
      <c r="F23" s="681">
        <v>16</v>
      </c>
      <c r="G23" s="681">
        <v>47</v>
      </c>
      <c r="H23" s="676">
        <v>727.4</v>
      </c>
      <c r="I23" s="676">
        <f>8306.8</f>
        <v>8306.7999999999993</v>
      </c>
      <c r="J23" s="676">
        <v>10378.08</v>
      </c>
      <c r="K23" s="676">
        <v>1380.86</v>
      </c>
      <c r="L23" s="676">
        <v>1380.86</v>
      </c>
      <c r="M23" s="676">
        <f t="shared" si="0"/>
        <v>9687.66</v>
      </c>
      <c r="N23" s="676">
        <f t="shared" si="1"/>
        <v>11758.94</v>
      </c>
      <c r="O23" s="676">
        <f>598.75</f>
        <v>598.75</v>
      </c>
      <c r="P23" s="676">
        <f>2938.2</f>
        <v>2938.2</v>
      </c>
      <c r="Q23" s="676">
        <v>99.53</v>
      </c>
      <c r="R23" s="676">
        <v>99.53</v>
      </c>
      <c r="S23" s="676">
        <f t="shared" si="2"/>
        <v>698.28</v>
      </c>
      <c r="T23" s="676">
        <f t="shared" si="3"/>
        <v>3037.73</v>
      </c>
      <c r="U23" s="676">
        <f>6760.64+500.96+287218.94</f>
        <v>294480.53999999998</v>
      </c>
      <c r="V23" s="676">
        <v>8403.23</v>
      </c>
      <c r="W23" s="676">
        <v>1006.9</v>
      </c>
      <c r="X23" s="676">
        <v>1006.9</v>
      </c>
      <c r="Y23" s="676">
        <f t="shared" si="4"/>
        <v>295487.44</v>
      </c>
      <c r="Z23" s="676">
        <f t="shared" si="5"/>
        <v>9410.1299999999992</v>
      </c>
      <c r="AA23" s="591">
        <f>88110.44+1695.35+1017.21</f>
        <v>90823.000000000015</v>
      </c>
      <c r="AB23" s="591">
        <v>74526.080000000002</v>
      </c>
      <c r="AC23" s="591">
        <v>5143.96</v>
      </c>
      <c r="AD23" s="591">
        <v>5143.96</v>
      </c>
      <c r="AE23" s="591">
        <f t="shared" si="6"/>
        <v>95966.960000000021</v>
      </c>
      <c r="AF23" s="591">
        <f t="shared" si="7"/>
        <v>79670.040000000008</v>
      </c>
      <c r="AG23" s="591">
        <v>1946.46</v>
      </c>
      <c r="AH23" s="591">
        <v>1590.71</v>
      </c>
      <c r="AI23" s="628">
        <f t="shared" si="8"/>
        <v>403786.80000000005</v>
      </c>
      <c r="AJ23" s="628">
        <f t="shared" si="9"/>
        <v>105467.55000000002</v>
      </c>
      <c r="AK23" s="1497">
        <f t="shared" si="10"/>
        <v>116086.92084232029</v>
      </c>
      <c r="AL23" s="591">
        <v>437.09</v>
      </c>
      <c r="AM23" s="592">
        <f t="shared" si="11"/>
        <v>1045.3088124201411</v>
      </c>
      <c r="AN23" s="592">
        <f t="shared" si="12"/>
        <v>1061.7896525146011</v>
      </c>
      <c r="AO23" s="592">
        <v>2659.02</v>
      </c>
      <c r="AP23" s="592"/>
      <c r="AQ23" s="592">
        <f t="shared" si="13"/>
        <v>245.5726754149803</v>
      </c>
      <c r="AR23" s="592">
        <f t="shared" si="14"/>
        <v>370.80308558015986</v>
      </c>
      <c r="AS23" s="592">
        <f t="shared" si="15"/>
        <v>2437.571025164038</v>
      </c>
      <c r="AT23" s="592">
        <f t="shared" si="16"/>
        <v>25286.507671664149</v>
      </c>
      <c r="AU23" s="592">
        <f t="shared" si="17"/>
        <v>15714.902249639936</v>
      </c>
      <c r="AV23" s="592"/>
      <c r="AW23" s="592">
        <f t="shared" si="30"/>
        <v>33059.990655727583</v>
      </c>
      <c r="AX23" s="592"/>
      <c r="AY23" s="1487">
        <f t="shared" si="19"/>
        <v>82318.555828125594</v>
      </c>
      <c r="AZ23" s="592">
        <f t="shared" si="31"/>
        <v>166.28603547832464</v>
      </c>
      <c r="BA23" s="592"/>
      <c r="BB23" s="592">
        <f t="shared" si="32"/>
        <v>17279.838042536561</v>
      </c>
      <c r="BC23" s="592"/>
      <c r="BD23" s="1499">
        <f t="shared" si="22"/>
        <v>17446.124078014887</v>
      </c>
      <c r="BE23" s="522"/>
      <c r="BF23" s="522">
        <f t="shared" si="23"/>
        <v>1160.6959205499156</v>
      </c>
      <c r="BG23" s="522">
        <f t="shared" si="24"/>
        <v>15161.545015629888</v>
      </c>
      <c r="BH23" s="522">
        <f t="shared" si="25"/>
        <v>287699.87915767974</v>
      </c>
      <c r="BI23" s="522">
        <f t="shared" si="26"/>
        <v>26.119613122568641</v>
      </c>
      <c r="BJ23" s="522">
        <f t="shared" si="27"/>
        <v>13.299298969196258</v>
      </c>
      <c r="BK23" s="522">
        <f t="shared" si="28"/>
        <v>298319.25</v>
      </c>
      <c r="BL23" s="522">
        <v>13.1</v>
      </c>
      <c r="BM23" s="522"/>
      <c r="BN23" s="1489"/>
      <c r="BO23" s="1489"/>
      <c r="BP23" s="1489"/>
      <c r="BQ23" s="1489"/>
      <c r="BR23" s="1489"/>
      <c r="BS23" s="1489"/>
      <c r="BT23" s="35"/>
      <c r="BU23" s="66"/>
      <c r="BV23" s="66"/>
      <c r="BW23" s="66"/>
      <c r="BX23" s="35"/>
      <c r="BY23" s="35"/>
      <c r="BZ23" s="67"/>
      <c r="CA23" s="67"/>
      <c r="CB23" s="67"/>
      <c r="CC23" s="68"/>
      <c r="CD23" s="67"/>
      <c r="CE23" s="68"/>
      <c r="CF23" s="67"/>
      <c r="CG23" s="130"/>
      <c r="CH23" s="35"/>
      <c r="CI23" s="30"/>
    </row>
    <row r="24" spans="1:87" s="124" customFormat="1" x14ac:dyDescent="0.25">
      <c r="A24" s="1791">
        <f t="shared" si="29"/>
        <v>17</v>
      </c>
      <c r="B24" s="1792" t="s">
        <v>304</v>
      </c>
      <c r="C24" s="1793" t="s">
        <v>74</v>
      </c>
      <c r="D24" s="681">
        <v>1960</v>
      </c>
      <c r="E24" s="681">
        <v>2</v>
      </c>
      <c r="F24" s="681">
        <v>16</v>
      </c>
      <c r="G24" s="681">
        <v>44</v>
      </c>
      <c r="H24" s="676">
        <v>724.7</v>
      </c>
      <c r="I24" s="676">
        <f>8836.05</f>
        <v>8836.0499999999993</v>
      </c>
      <c r="J24" s="676">
        <v>11035.36</v>
      </c>
      <c r="K24" s="676">
        <v>816.99</v>
      </c>
      <c r="L24" s="676">
        <v>816.99</v>
      </c>
      <c r="M24" s="676">
        <f t="shared" si="0"/>
        <v>9653.0399999999991</v>
      </c>
      <c r="N24" s="676">
        <f t="shared" si="1"/>
        <v>11852.35</v>
      </c>
      <c r="O24" s="676">
        <f>636.93</f>
        <v>636.92999999999995</v>
      </c>
      <c r="P24" s="676">
        <v>795.44</v>
      </c>
      <c r="Q24" s="676"/>
      <c r="R24" s="676"/>
      <c r="S24" s="676">
        <f t="shared" si="2"/>
        <v>636.92999999999995</v>
      </c>
      <c r="T24" s="676">
        <f t="shared" si="3"/>
        <v>795.44</v>
      </c>
      <c r="U24" s="676">
        <f>7224.55+229.61+285.6</f>
        <v>7739.76</v>
      </c>
      <c r="V24" s="676">
        <v>8863.73</v>
      </c>
      <c r="W24" s="676">
        <v>515.21</v>
      </c>
      <c r="X24" s="676">
        <v>515.21</v>
      </c>
      <c r="Y24" s="676">
        <f t="shared" si="4"/>
        <v>8254.9700000000012</v>
      </c>
      <c r="Z24" s="676">
        <f t="shared" si="5"/>
        <v>9378.9399999999987</v>
      </c>
      <c r="AA24" s="591">
        <f>91234+1356.31+1687.1</f>
        <v>94277.41</v>
      </c>
      <c r="AB24" s="591">
        <v>85934.3</v>
      </c>
      <c r="AC24" s="591">
        <v>3043.41</v>
      </c>
      <c r="AD24" s="591">
        <v>3043.41</v>
      </c>
      <c r="AE24" s="591">
        <f t="shared" si="6"/>
        <v>97320.82</v>
      </c>
      <c r="AF24" s="591">
        <f t="shared" si="7"/>
        <v>88977.71</v>
      </c>
      <c r="AG24" s="591">
        <v>1913.83</v>
      </c>
      <c r="AH24" s="591">
        <v>1744.72</v>
      </c>
      <c r="AI24" s="628">
        <f t="shared" si="8"/>
        <v>117779.59000000001</v>
      </c>
      <c r="AJ24" s="628">
        <f t="shared" si="9"/>
        <v>112749.16</v>
      </c>
      <c r="AK24" s="1497">
        <f t="shared" si="10"/>
        <v>117760.48585294132</v>
      </c>
      <c r="AL24" s="591">
        <v>861.17</v>
      </c>
      <c r="AM24" s="592">
        <f t="shared" si="11"/>
        <v>1041.4287824592745</v>
      </c>
      <c r="AN24" s="592">
        <f t="shared" si="12"/>
        <v>1057.8484481404064</v>
      </c>
      <c r="AO24" s="592">
        <v>2611.14</v>
      </c>
      <c r="AP24" s="592"/>
      <c r="AQ24" s="592">
        <f t="shared" si="13"/>
        <v>244.6611463750842</v>
      </c>
      <c r="AR24" s="592">
        <f t="shared" si="14"/>
        <v>369.426719988922</v>
      </c>
      <c r="AS24" s="592">
        <f t="shared" si="15"/>
        <v>2428.5231261154504</v>
      </c>
      <c r="AT24" s="592">
        <f t="shared" si="16"/>
        <v>25192.647937386595</v>
      </c>
      <c r="AU24" s="592">
        <f t="shared" si="17"/>
        <v>15656.570883027305</v>
      </c>
      <c r="AV24" s="592">
        <v>1600</v>
      </c>
      <c r="AW24" s="592">
        <f t="shared" si="30"/>
        <v>32937.276915322764</v>
      </c>
      <c r="AX24" s="592"/>
      <c r="AY24" s="1487">
        <f t="shared" si="19"/>
        <v>84000.693958815813</v>
      </c>
      <c r="AZ24" s="592">
        <f t="shared" si="31"/>
        <v>165.66880658666742</v>
      </c>
      <c r="BA24" s="592">
        <v>116.77</v>
      </c>
      <c r="BB24" s="592">
        <f t="shared" si="32"/>
        <v>17215.697868334129</v>
      </c>
      <c r="BC24" s="592"/>
      <c r="BD24" s="1499">
        <f t="shared" si="22"/>
        <v>17498.136674920795</v>
      </c>
      <c r="BE24" s="522"/>
      <c r="BF24" s="522">
        <f t="shared" si="23"/>
        <v>1156.3875909025626</v>
      </c>
      <c r="BG24" s="522">
        <f t="shared" si="24"/>
        <v>15105.267628302146</v>
      </c>
      <c r="BH24" s="522">
        <f t="shared" si="25"/>
        <v>19.104147058693343</v>
      </c>
      <c r="BI24" s="522">
        <f t="shared" si="26"/>
        <v>95.728945906502133</v>
      </c>
      <c r="BJ24" s="522">
        <f t="shared" si="27"/>
        <v>13.541291322034555</v>
      </c>
      <c r="BK24" s="522">
        <f t="shared" si="28"/>
        <v>5030.4300000000076</v>
      </c>
      <c r="BL24" s="522">
        <v>13.1</v>
      </c>
      <c r="BM24" s="522"/>
      <c r="BN24" s="1489"/>
      <c r="BO24" s="1489"/>
      <c r="BP24" s="1489"/>
      <c r="BQ24" s="1489"/>
      <c r="BR24" s="1489"/>
      <c r="BS24" s="1489"/>
      <c r="BT24" s="35"/>
      <c r="BU24" s="66"/>
      <c r="BV24" s="66"/>
      <c r="BW24" s="66"/>
      <c r="BX24" s="35"/>
      <c r="BY24" s="35"/>
      <c r="BZ24" s="67"/>
      <c r="CA24" s="67"/>
      <c r="CB24" s="67"/>
      <c r="CC24" s="68"/>
      <c r="CD24" s="67"/>
      <c r="CE24" s="68"/>
      <c r="CF24" s="67"/>
      <c r="CG24" s="130"/>
      <c r="CH24" s="35"/>
      <c r="CI24" s="30"/>
    </row>
    <row r="25" spans="1:87" s="124" customFormat="1" x14ac:dyDescent="0.25">
      <c r="A25" s="1798">
        <f t="shared" si="29"/>
        <v>18</v>
      </c>
      <c r="B25" s="587" t="s">
        <v>848</v>
      </c>
      <c r="C25" s="1789" t="s">
        <v>75</v>
      </c>
      <c r="D25" s="681">
        <v>1961</v>
      </c>
      <c r="E25" s="681">
        <v>1</v>
      </c>
      <c r="F25" s="675">
        <v>1</v>
      </c>
      <c r="G25" s="675">
        <v>1</v>
      </c>
      <c r="H25" s="770">
        <v>44</v>
      </c>
      <c r="I25" s="770"/>
      <c r="J25" s="770"/>
      <c r="K25" s="770"/>
      <c r="L25" s="770"/>
      <c r="M25" s="676">
        <f t="shared" si="0"/>
        <v>0</v>
      </c>
      <c r="N25" s="676">
        <f t="shared" si="1"/>
        <v>0</v>
      </c>
      <c r="O25" s="770">
        <v>42.24</v>
      </c>
      <c r="P25" s="770">
        <v>0</v>
      </c>
      <c r="Q25" s="770"/>
      <c r="R25" s="770"/>
      <c r="S25" s="676">
        <f t="shared" si="2"/>
        <v>42.24</v>
      </c>
      <c r="T25" s="676">
        <f t="shared" si="3"/>
        <v>0</v>
      </c>
      <c r="U25" s="770">
        <v>300.95999999999998</v>
      </c>
      <c r="V25" s="770">
        <v>0</v>
      </c>
      <c r="W25" s="770"/>
      <c r="X25" s="770"/>
      <c r="Y25" s="676">
        <f t="shared" si="4"/>
        <v>300.95999999999998</v>
      </c>
      <c r="Z25" s="676">
        <f t="shared" si="5"/>
        <v>0</v>
      </c>
      <c r="AA25" s="524">
        <v>4060.32</v>
      </c>
      <c r="AB25" s="524">
        <v>0</v>
      </c>
      <c r="AC25" s="524"/>
      <c r="AD25" s="524"/>
      <c r="AE25" s="591">
        <f t="shared" si="6"/>
        <v>4060.32</v>
      </c>
      <c r="AF25" s="591">
        <f t="shared" si="7"/>
        <v>0</v>
      </c>
      <c r="AG25" s="524">
        <v>0</v>
      </c>
      <c r="AH25" s="524">
        <v>0</v>
      </c>
      <c r="AI25" s="628">
        <f t="shared" si="8"/>
        <v>4403.5200000000004</v>
      </c>
      <c r="AJ25" s="628">
        <f t="shared" si="9"/>
        <v>0</v>
      </c>
      <c r="AK25" s="1497">
        <f t="shared" si="10"/>
        <v>3779.6626736010771</v>
      </c>
      <c r="AL25" s="591"/>
      <c r="AM25" s="592">
        <f t="shared" si="11"/>
        <v>63.230117880789393</v>
      </c>
      <c r="AN25" s="592">
        <f t="shared" si="12"/>
        <v>64.227034246140306</v>
      </c>
      <c r="AO25" s="592"/>
      <c r="AP25" s="592"/>
      <c r="AQ25" s="592">
        <f t="shared" si="13"/>
        <v>14.854547316825865</v>
      </c>
      <c r="AR25" s="592">
        <f t="shared" si="14"/>
        <v>22.429661486839475</v>
      </c>
      <c r="AS25" s="592">
        <f t="shared" si="15"/>
        <v>147.44724375476721</v>
      </c>
      <c r="AT25" s="592">
        <f t="shared" si="16"/>
        <v>1529.5660400786671</v>
      </c>
      <c r="AU25" s="592">
        <f t="shared" si="17"/>
        <v>950.58523368732085</v>
      </c>
      <c r="AV25" s="592"/>
      <c r="AW25" s="592"/>
      <c r="AX25" s="592"/>
      <c r="AY25" s="1487">
        <f t="shared" si="19"/>
        <v>2792.3398784513502</v>
      </c>
      <c r="AZ25" s="592"/>
      <c r="BA25" s="592"/>
      <c r="BB25" s="592"/>
      <c r="BC25" s="592"/>
      <c r="BD25" s="1499">
        <f t="shared" si="22"/>
        <v>0</v>
      </c>
      <c r="BE25" s="522"/>
      <c r="BF25" s="522">
        <f t="shared" si="23"/>
        <v>70.209816475386702</v>
      </c>
      <c r="BG25" s="522">
        <f t="shared" si="24"/>
        <v>917.1129786743403</v>
      </c>
      <c r="BH25" s="522">
        <f t="shared" si="25"/>
        <v>623.85732639892331</v>
      </c>
      <c r="BI25" s="522">
        <f t="shared" si="26"/>
        <v>0</v>
      </c>
      <c r="BJ25" s="522">
        <f t="shared" si="27"/>
        <v>7.1584520333353732</v>
      </c>
      <c r="BK25" s="522">
        <f t="shared" si="28"/>
        <v>4403.5200000000004</v>
      </c>
      <c r="BL25" s="522">
        <v>8.56</v>
      </c>
      <c r="BM25" s="522"/>
      <c r="BN25" s="1489"/>
      <c r="BO25" s="1489"/>
      <c r="BP25" s="1489"/>
      <c r="BQ25" s="1489"/>
      <c r="BR25" s="1489"/>
      <c r="BS25" s="1489"/>
      <c r="BT25" s="35"/>
      <c r="BU25" s="66"/>
      <c r="BV25" s="66"/>
      <c r="BW25" s="66"/>
      <c r="BX25" s="35"/>
      <c r="BY25" s="35"/>
      <c r="BZ25" s="67"/>
      <c r="CA25" s="67"/>
      <c r="CB25" s="67"/>
      <c r="CC25" s="68"/>
      <c r="CD25" s="67"/>
      <c r="CE25" s="30"/>
      <c r="CF25" s="67"/>
      <c r="CG25" s="130"/>
      <c r="CH25" s="35"/>
      <c r="CI25" s="30"/>
    </row>
    <row r="26" spans="1:87" s="124" customFormat="1" x14ac:dyDescent="0.25">
      <c r="A26" s="1798">
        <f t="shared" si="29"/>
        <v>19</v>
      </c>
      <c r="B26" s="587" t="s">
        <v>848</v>
      </c>
      <c r="C26" s="1789" t="s">
        <v>76</v>
      </c>
      <c r="D26" s="681">
        <v>1964</v>
      </c>
      <c r="E26" s="681">
        <v>1</v>
      </c>
      <c r="F26" s="675">
        <v>2</v>
      </c>
      <c r="G26" s="675">
        <v>3</v>
      </c>
      <c r="H26" s="770">
        <v>85</v>
      </c>
      <c r="I26" s="770"/>
      <c r="J26" s="770"/>
      <c r="K26" s="770"/>
      <c r="L26" s="770"/>
      <c r="M26" s="676">
        <f t="shared" si="0"/>
        <v>0</v>
      </c>
      <c r="N26" s="676">
        <f t="shared" si="1"/>
        <v>0</v>
      </c>
      <c r="O26" s="770">
        <v>81.599999999999994</v>
      </c>
      <c r="P26" s="770">
        <v>95.2</v>
      </c>
      <c r="Q26" s="770"/>
      <c r="R26" s="770"/>
      <c r="S26" s="676">
        <f t="shared" si="2"/>
        <v>81.599999999999994</v>
      </c>
      <c r="T26" s="676">
        <f t="shared" si="3"/>
        <v>95.2</v>
      </c>
      <c r="U26" s="770">
        <v>581.4</v>
      </c>
      <c r="V26" s="770">
        <v>678.3</v>
      </c>
      <c r="W26" s="770"/>
      <c r="X26" s="770"/>
      <c r="Y26" s="676">
        <f t="shared" si="4"/>
        <v>581.4</v>
      </c>
      <c r="Z26" s="676">
        <f t="shared" si="5"/>
        <v>678.3</v>
      </c>
      <c r="AA26" s="524">
        <v>2285.54</v>
      </c>
      <c r="AB26" s="524">
        <v>2255.6799999999998</v>
      </c>
      <c r="AC26" s="524"/>
      <c r="AD26" s="524"/>
      <c r="AE26" s="591">
        <f t="shared" si="6"/>
        <v>2285.54</v>
      </c>
      <c r="AF26" s="591">
        <f t="shared" si="7"/>
        <v>2255.6799999999998</v>
      </c>
      <c r="AG26" s="524">
        <v>0</v>
      </c>
      <c r="AH26" s="524">
        <v>0</v>
      </c>
      <c r="AI26" s="628">
        <f t="shared" si="8"/>
        <v>2948.54</v>
      </c>
      <c r="AJ26" s="628">
        <f t="shared" si="9"/>
        <v>3029.18</v>
      </c>
      <c r="AK26" s="1497">
        <f t="shared" si="10"/>
        <v>7301.6210740020815</v>
      </c>
      <c r="AL26" s="591"/>
      <c r="AM26" s="592">
        <f t="shared" si="11"/>
        <v>122.14909136061587</v>
      </c>
      <c r="AN26" s="592">
        <f t="shared" si="12"/>
        <v>124.07495252095285</v>
      </c>
      <c r="AO26" s="592"/>
      <c r="AP26" s="592"/>
      <c r="AQ26" s="592">
        <f t="shared" si="13"/>
        <v>28.696284589322694</v>
      </c>
      <c r="AR26" s="592">
        <f t="shared" si="14"/>
        <v>43.330027872303532</v>
      </c>
      <c r="AS26" s="592">
        <f t="shared" si="15"/>
        <v>284.84126634443669</v>
      </c>
      <c r="AT26" s="592">
        <f t="shared" si="16"/>
        <v>2954.8434865156073</v>
      </c>
      <c r="AU26" s="592">
        <f t="shared" si="17"/>
        <v>1836.3578378050515</v>
      </c>
      <c r="AV26" s="592"/>
      <c r="AW26" s="592"/>
      <c r="AX26" s="592"/>
      <c r="AY26" s="1487">
        <f t="shared" si="19"/>
        <v>5394.2929470082909</v>
      </c>
      <c r="AZ26" s="592"/>
      <c r="BA26" s="592"/>
      <c r="BB26" s="592"/>
      <c r="BC26" s="592"/>
      <c r="BD26" s="1499">
        <f t="shared" si="22"/>
        <v>0</v>
      </c>
      <c r="BE26" s="522"/>
      <c r="BF26" s="522">
        <f t="shared" si="23"/>
        <v>135.63260000926977</v>
      </c>
      <c r="BG26" s="522">
        <f t="shared" si="24"/>
        <v>1771.6955269845209</v>
      </c>
      <c r="BH26" s="522">
        <f t="shared" si="25"/>
        <v>-4353.0810740020816</v>
      </c>
      <c r="BI26" s="522">
        <f t="shared" si="26"/>
        <v>102.73491287213332</v>
      </c>
      <c r="BJ26" s="522">
        <f t="shared" si="27"/>
        <v>7.1584520333353732</v>
      </c>
      <c r="BK26" s="522">
        <f t="shared" si="28"/>
        <v>-80.639999999999873</v>
      </c>
      <c r="BL26" s="522">
        <v>3.69</v>
      </c>
      <c r="BM26" s="522"/>
      <c r="BN26" s="1489"/>
      <c r="BO26" s="1489"/>
      <c r="BP26" s="1489"/>
      <c r="BQ26" s="1489"/>
      <c r="BR26" s="1489"/>
      <c r="BS26" s="1489"/>
      <c r="BT26" s="35"/>
      <c r="BU26" s="66"/>
      <c r="BV26" s="66"/>
      <c r="BW26" s="66"/>
      <c r="BX26" s="35"/>
      <c r="BY26" s="35"/>
      <c r="BZ26" s="67"/>
      <c r="CA26" s="67"/>
      <c r="CB26" s="67"/>
      <c r="CC26" s="68"/>
      <c r="CD26" s="67"/>
      <c r="CE26" s="30"/>
      <c r="CF26" s="67"/>
      <c r="CG26" s="130"/>
      <c r="CH26" s="35"/>
      <c r="CI26" s="30"/>
    </row>
    <row r="27" spans="1:87" s="124" customFormat="1" x14ac:dyDescent="0.25">
      <c r="A27" s="1798">
        <f t="shared" si="29"/>
        <v>20</v>
      </c>
      <c r="B27" s="587" t="s">
        <v>848</v>
      </c>
      <c r="C27" s="1789" t="s">
        <v>77</v>
      </c>
      <c r="D27" s="681">
        <v>1962</v>
      </c>
      <c r="E27" s="681">
        <v>1</v>
      </c>
      <c r="F27" s="675">
        <v>2</v>
      </c>
      <c r="G27" s="675">
        <v>6</v>
      </c>
      <c r="H27" s="770">
        <v>88</v>
      </c>
      <c r="I27" s="770"/>
      <c r="J27" s="770"/>
      <c r="K27" s="770"/>
      <c r="L27" s="770"/>
      <c r="M27" s="676">
        <f t="shared" si="0"/>
        <v>0</v>
      </c>
      <c r="N27" s="676">
        <f t="shared" si="1"/>
        <v>0</v>
      </c>
      <c r="O27" s="770">
        <v>84.48</v>
      </c>
      <c r="P27" s="770">
        <v>49.28</v>
      </c>
      <c r="Q27" s="770"/>
      <c r="R27" s="770"/>
      <c r="S27" s="676">
        <f t="shared" si="2"/>
        <v>84.48</v>
      </c>
      <c r="T27" s="676">
        <f t="shared" si="3"/>
        <v>49.28</v>
      </c>
      <c r="U27" s="770">
        <v>601.91999999999996</v>
      </c>
      <c r="V27" s="770">
        <v>351.09</v>
      </c>
      <c r="W27" s="770"/>
      <c r="X27" s="770"/>
      <c r="Y27" s="676">
        <f t="shared" si="4"/>
        <v>601.91999999999996</v>
      </c>
      <c r="Z27" s="676">
        <f t="shared" si="5"/>
        <v>351.09</v>
      </c>
      <c r="AA27" s="524">
        <v>8120.64</v>
      </c>
      <c r="AB27" s="524">
        <v>3983.76</v>
      </c>
      <c r="AC27" s="524"/>
      <c r="AD27" s="524"/>
      <c r="AE27" s="591">
        <f t="shared" si="6"/>
        <v>8120.64</v>
      </c>
      <c r="AF27" s="591">
        <f t="shared" si="7"/>
        <v>3983.76</v>
      </c>
      <c r="AG27" s="524">
        <v>0</v>
      </c>
      <c r="AH27" s="524">
        <v>0</v>
      </c>
      <c r="AI27" s="628">
        <f t="shared" si="8"/>
        <v>8807.0400000000009</v>
      </c>
      <c r="AJ27" s="628">
        <f t="shared" si="9"/>
        <v>4384.13</v>
      </c>
      <c r="AK27" s="1497">
        <f t="shared" si="10"/>
        <v>7559.3253472021543</v>
      </c>
      <c r="AL27" s="591"/>
      <c r="AM27" s="592">
        <f t="shared" si="11"/>
        <v>126.46023576157879</v>
      </c>
      <c r="AN27" s="592">
        <f t="shared" si="12"/>
        <v>128.45406849228061</v>
      </c>
      <c r="AO27" s="592"/>
      <c r="AP27" s="592"/>
      <c r="AQ27" s="592">
        <f t="shared" si="13"/>
        <v>29.709094633651731</v>
      </c>
      <c r="AR27" s="592">
        <f t="shared" si="14"/>
        <v>44.85932297367895</v>
      </c>
      <c r="AS27" s="592">
        <f t="shared" si="15"/>
        <v>294.89448750953443</v>
      </c>
      <c r="AT27" s="592">
        <f t="shared" si="16"/>
        <v>3059.1320801573343</v>
      </c>
      <c r="AU27" s="592">
        <f t="shared" si="17"/>
        <v>1901.1704673746417</v>
      </c>
      <c r="AV27" s="592"/>
      <c r="AW27" s="592"/>
      <c r="AX27" s="592"/>
      <c r="AY27" s="1487">
        <f t="shared" si="19"/>
        <v>5584.6797569027003</v>
      </c>
      <c r="AZ27" s="592"/>
      <c r="BA27" s="592"/>
      <c r="BB27" s="592"/>
      <c r="BC27" s="592"/>
      <c r="BD27" s="1499">
        <f t="shared" si="22"/>
        <v>0</v>
      </c>
      <c r="BE27" s="522"/>
      <c r="BF27" s="522">
        <f t="shared" si="23"/>
        <v>140.4196329507734</v>
      </c>
      <c r="BG27" s="522">
        <f t="shared" si="24"/>
        <v>1834.2259573486806</v>
      </c>
      <c r="BH27" s="522">
        <f t="shared" si="25"/>
        <v>1247.7146527978466</v>
      </c>
      <c r="BI27" s="522">
        <f t="shared" si="26"/>
        <v>49.779835222730902</v>
      </c>
      <c r="BJ27" s="522">
        <f t="shared" si="27"/>
        <v>7.1584520333353732</v>
      </c>
      <c r="BK27" s="522">
        <f t="shared" si="28"/>
        <v>4422.9100000000008</v>
      </c>
      <c r="BL27" s="522">
        <v>8.56</v>
      </c>
      <c r="BM27" s="522"/>
      <c r="BN27" s="1489"/>
      <c r="BO27" s="1489"/>
      <c r="BP27" s="1489"/>
      <c r="BQ27" s="1489"/>
      <c r="BR27" s="1489"/>
      <c r="BS27" s="1489"/>
      <c r="BT27" s="35"/>
      <c r="BU27" s="66"/>
      <c r="BV27" s="66"/>
      <c r="BW27" s="66"/>
      <c r="BX27" s="35"/>
      <c r="BY27" s="35"/>
      <c r="BZ27" s="67"/>
      <c r="CA27" s="67"/>
      <c r="CB27" s="67"/>
      <c r="CC27" s="68"/>
      <c r="CD27" s="67"/>
      <c r="CE27" s="68"/>
      <c r="CF27" s="67"/>
      <c r="CG27" s="130"/>
      <c r="CH27" s="35"/>
      <c r="CI27" s="30"/>
    </row>
    <row r="28" spans="1:87" s="124" customFormat="1" x14ac:dyDescent="0.25">
      <c r="A28" s="1798">
        <f t="shared" si="29"/>
        <v>21</v>
      </c>
      <c r="B28" s="587" t="s">
        <v>848</v>
      </c>
      <c r="C28" s="1789" t="s">
        <v>78</v>
      </c>
      <c r="D28" s="681">
        <v>1964</v>
      </c>
      <c r="E28" s="681">
        <v>1</v>
      </c>
      <c r="F28" s="675">
        <v>4</v>
      </c>
      <c r="G28" s="675">
        <v>6</v>
      </c>
      <c r="H28" s="770">
        <v>102.7</v>
      </c>
      <c r="I28" s="770"/>
      <c r="J28" s="770"/>
      <c r="K28" s="770"/>
      <c r="L28" s="770"/>
      <c r="M28" s="676">
        <f t="shared" si="0"/>
        <v>0</v>
      </c>
      <c r="N28" s="676">
        <f t="shared" si="1"/>
        <v>0</v>
      </c>
      <c r="O28" s="770">
        <v>98.64</v>
      </c>
      <c r="P28" s="770">
        <v>151.91999999999999</v>
      </c>
      <c r="Q28" s="770"/>
      <c r="R28" s="770"/>
      <c r="S28" s="676">
        <f t="shared" si="2"/>
        <v>98.64</v>
      </c>
      <c r="T28" s="676">
        <f t="shared" si="3"/>
        <v>151.91999999999999</v>
      </c>
      <c r="U28" s="770">
        <v>702.42</v>
      </c>
      <c r="V28" s="770">
        <v>1064.27</v>
      </c>
      <c r="W28" s="770"/>
      <c r="X28" s="770"/>
      <c r="Y28" s="676">
        <f t="shared" si="4"/>
        <v>702.42</v>
      </c>
      <c r="Z28" s="676">
        <f t="shared" si="5"/>
        <v>1064.27</v>
      </c>
      <c r="AA28" s="524">
        <v>9477.18</v>
      </c>
      <c r="AB28" s="524">
        <v>9797.0300000000007</v>
      </c>
      <c r="AC28" s="524"/>
      <c r="AD28" s="524"/>
      <c r="AE28" s="591">
        <f t="shared" si="6"/>
        <v>9477.18</v>
      </c>
      <c r="AF28" s="591">
        <f t="shared" si="7"/>
        <v>9797.0300000000007</v>
      </c>
      <c r="AG28" s="524">
        <v>0</v>
      </c>
      <c r="AH28" s="524">
        <v>0</v>
      </c>
      <c r="AI28" s="628">
        <f t="shared" si="8"/>
        <v>10278.24</v>
      </c>
      <c r="AJ28" s="628">
        <f t="shared" si="9"/>
        <v>11013.220000000001</v>
      </c>
      <c r="AK28" s="1497">
        <f t="shared" si="10"/>
        <v>8822.0762858825146</v>
      </c>
      <c r="AL28" s="591"/>
      <c r="AM28" s="592">
        <f t="shared" si="11"/>
        <v>147.58484332629706</v>
      </c>
      <c r="AN28" s="592">
        <f t="shared" si="12"/>
        <v>149.91173675178658</v>
      </c>
      <c r="AO28" s="592"/>
      <c r="AP28" s="592"/>
      <c r="AQ28" s="592">
        <f t="shared" si="13"/>
        <v>34.671863850864007</v>
      </c>
      <c r="AR28" s="592">
        <f t="shared" si="14"/>
        <v>52.352868970418506</v>
      </c>
      <c r="AS28" s="592">
        <f t="shared" si="15"/>
        <v>344.15527121851352</v>
      </c>
      <c r="AT28" s="592">
        <f t="shared" si="16"/>
        <v>3570.1461890017981</v>
      </c>
      <c r="AU28" s="592">
        <f t="shared" si="17"/>
        <v>2218.7523522656329</v>
      </c>
      <c r="AV28" s="592"/>
      <c r="AW28" s="592"/>
      <c r="AX28" s="592"/>
      <c r="AY28" s="1487">
        <f t="shared" si="19"/>
        <v>6517.5751253853105</v>
      </c>
      <c r="AZ28" s="592"/>
      <c r="BA28" s="592"/>
      <c r="BB28" s="592"/>
      <c r="BC28" s="592"/>
      <c r="BD28" s="1499">
        <f t="shared" si="22"/>
        <v>0</v>
      </c>
      <c r="BE28" s="522"/>
      <c r="BF28" s="522">
        <f t="shared" si="23"/>
        <v>163.87609436414127</v>
      </c>
      <c r="BG28" s="522">
        <f t="shared" si="24"/>
        <v>2140.6250661330623</v>
      </c>
      <c r="BH28" s="522">
        <f t="shared" si="25"/>
        <v>1456.1637141174851</v>
      </c>
      <c r="BI28" s="522">
        <f t="shared" si="26"/>
        <v>107.15083516244029</v>
      </c>
      <c r="BJ28" s="522">
        <f t="shared" si="27"/>
        <v>7.1584520333353732</v>
      </c>
      <c r="BK28" s="522">
        <f t="shared" si="28"/>
        <v>-734.98000000000138</v>
      </c>
      <c r="BL28" s="522">
        <v>8.56</v>
      </c>
      <c r="BM28" s="522"/>
      <c r="BN28" s="1489"/>
      <c r="BO28" s="1489"/>
      <c r="BP28" s="1489"/>
      <c r="BQ28" s="1489"/>
      <c r="BR28" s="1489"/>
      <c r="BS28" s="1489"/>
      <c r="BT28" s="35"/>
      <c r="BU28" s="66"/>
      <c r="BV28" s="66"/>
      <c r="BW28" s="66"/>
      <c r="BX28" s="35"/>
      <c r="BY28" s="35"/>
      <c r="BZ28" s="67"/>
      <c r="CA28" s="67"/>
      <c r="CB28" s="67"/>
      <c r="CC28" s="68"/>
      <c r="CD28" s="67"/>
      <c r="CE28" s="68"/>
      <c r="CF28" s="67"/>
      <c r="CG28" s="130"/>
      <c r="CH28" s="35"/>
      <c r="CI28" s="30"/>
    </row>
    <row r="29" spans="1:87" s="124" customFormat="1" x14ac:dyDescent="0.25">
      <c r="A29" s="1798">
        <v>22</v>
      </c>
      <c r="B29" s="587" t="s">
        <v>848</v>
      </c>
      <c r="C29" s="1789" t="s">
        <v>79</v>
      </c>
      <c r="D29" s="681">
        <v>1961</v>
      </c>
      <c r="E29" s="681">
        <v>1</v>
      </c>
      <c r="F29" s="675">
        <v>2</v>
      </c>
      <c r="G29" s="675">
        <v>4</v>
      </c>
      <c r="H29" s="770">
        <v>44</v>
      </c>
      <c r="I29" s="770"/>
      <c r="J29" s="770"/>
      <c r="K29" s="770"/>
      <c r="L29" s="770"/>
      <c r="M29" s="676">
        <f t="shared" si="0"/>
        <v>0</v>
      </c>
      <c r="N29" s="676">
        <f t="shared" si="1"/>
        <v>0</v>
      </c>
      <c r="O29" s="770">
        <v>42.24</v>
      </c>
      <c r="P29" s="770">
        <v>49.28</v>
      </c>
      <c r="Q29" s="770"/>
      <c r="R29" s="770"/>
      <c r="S29" s="676">
        <f t="shared" si="2"/>
        <v>42.24</v>
      </c>
      <c r="T29" s="676">
        <f t="shared" si="3"/>
        <v>49.28</v>
      </c>
      <c r="U29" s="770">
        <v>300.95999999999998</v>
      </c>
      <c r="V29" s="770">
        <v>351.12</v>
      </c>
      <c r="W29" s="770"/>
      <c r="X29" s="770"/>
      <c r="Y29" s="676">
        <f t="shared" si="4"/>
        <v>300.95999999999998</v>
      </c>
      <c r="Z29" s="676">
        <f t="shared" si="5"/>
        <v>351.12</v>
      </c>
      <c r="AA29" s="524">
        <v>3760.24</v>
      </c>
      <c r="AB29" s="524">
        <v>3683.68</v>
      </c>
      <c r="AC29" s="524"/>
      <c r="AD29" s="524"/>
      <c r="AE29" s="591">
        <f t="shared" si="6"/>
        <v>3760.24</v>
      </c>
      <c r="AF29" s="591">
        <f t="shared" si="7"/>
        <v>3683.68</v>
      </c>
      <c r="AG29" s="524">
        <v>0</v>
      </c>
      <c r="AH29" s="524">
        <v>0</v>
      </c>
      <c r="AI29" s="628">
        <f t="shared" si="8"/>
        <v>4103.4399999999996</v>
      </c>
      <c r="AJ29" s="628">
        <f t="shared" si="9"/>
        <v>4084.08</v>
      </c>
      <c r="AK29" s="1497">
        <f t="shared" si="10"/>
        <v>3779.6626736010771</v>
      </c>
      <c r="AL29" s="591"/>
      <c r="AM29" s="592">
        <f t="shared" si="11"/>
        <v>63.230117880789393</v>
      </c>
      <c r="AN29" s="592">
        <f t="shared" si="12"/>
        <v>64.227034246140306</v>
      </c>
      <c r="AO29" s="592"/>
      <c r="AP29" s="592"/>
      <c r="AQ29" s="592">
        <f t="shared" si="13"/>
        <v>14.854547316825865</v>
      </c>
      <c r="AR29" s="592">
        <f t="shared" si="14"/>
        <v>22.429661486839475</v>
      </c>
      <c r="AS29" s="592">
        <f t="shared" si="15"/>
        <v>147.44724375476721</v>
      </c>
      <c r="AT29" s="592">
        <f t="shared" si="16"/>
        <v>1529.5660400786671</v>
      </c>
      <c r="AU29" s="592">
        <f t="shared" si="17"/>
        <v>950.58523368732085</v>
      </c>
      <c r="AV29" s="592"/>
      <c r="AW29" s="592"/>
      <c r="AX29" s="592"/>
      <c r="AY29" s="1487">
        <f t="shared" si="19"/>
        <v>2792.3398784513502</v>
      </c>
      <c r="AZ29" s="592"/>
      <c r="BA29" s="592"/>
      <c r="BB29" s="592"/>
      <c r="BC29" s="592"/>
      <c r="BD29" s="1499">
        <f t="shared" si="22"/>
        <v>0</v>
      </c>
      <c r="BE29" s="522"/>
      <c r="BF29" s="522">
        <f t="shared" si="23"/>
        <v>70.209816475386702</v>
      </c>
      <c r="BG29" s="522">
        <f t="shared" si="24"/>
        <v>917.1129786743403</v>
      </c>
      <c r="BH29" s="522">
        <f t="shared" si="25"/>
        <v>323.77732639892247</v>
      </c>
      <c r="BI29" s="522">
        <f t="shared" si="26"/>
        <v>99.528200729144331</v>
      </c>
      <c r="BJ29" s="522">
        <f t="shared" si="27"/>
        <v>7.1584520333353732</v>
      </c>
      <c r="BK29" s="522">
        <f t="shared" si="28"/>
        <v>19.359999999999673</v>
      </c>
      <c r="BL29" s="522">
        <v>8.56</v>
      </c>
      <c r="BM29" s="522"/>
      <c r="BN29" s="1489"/>
      <c r="BO29" s="1489"/>
      <c r="BP29" s="1489"/>
      <c r="BQ29" s="1489"/>
      <c r="BR29" s="1489"/>
      <c r="BS29" s="1489"/>
      <c r="BT29" s="35"/>
      <c r="BU29" s="66"/>
      <c r="BV29" s="66"/>
      <c r="BW29" s="66"/>
      <c r="BX29" s="35"/>
      <c r="BY29" s="35"/>
      <c r="BZ29" s="67"/>
      <c r="CA29" s="67"/>
      <c r="CB29" s="67"/>
      <c r="CC29" s="68"/>
      <c r="CD29" s="67"/>
      <c r="CE29" s="67"/>
      <c r="CF29" s="67"/>
      <c r="CG29" s="130"/>
      <c r="CH29" s="35"/>
      <c r="CI29" s="30"/>
    </row>
    <row r="30" spans="1:87" s="124" customFormat="1" x14ac:dyDescent="0.25">
      <c r="A30" s="1798">
        <v>23</v>
      </c>
      <c r="B30" s="587" t="s">
        <v>848</v>
      </c>
      <c r="C30" s="1789" t="s">
        <v>80</v>
      </c>
      <c r="D30" s="681">
        <v>1961</v>
      </c>
      <c r="E30" s="681">
        <v>1</v>
      </c>
      <c r="F30" s="675">
        <v>2</v>
      </c>
      <c r="G30" s="675">
        <v>4</v>
      </c>
      <c r="H30" s="770">
        <v>108.1</v>
      </c>
      <c r="I30" s="770"/>
      <c r="J30" s="770"/>
      <c r="K30" s="770"/>
      <c r="L30" s="770"/>
      <c r="M30" s="676">
        <f t="shared" si="0"/>
        <v>0</v>
      </c>
      <c r="N30" s="676">
        <f t="shared" si="1"/>
        <v>0</v>
      </c>
      <c r="O30" s="770">
        <v>103.8</v>
      </c>
      <c r="P30" s="770">
        <v>131.36000000000001</v>
      </c>
      <c r="Q30" s="770"/>
      <c r="R30" s="770"/>
      <c r="S30" s="676">
        <f t="shared" si="2"/>
        <v>103.8</v>
      </c>
      <c r="T30" s="676">
        <f t="shared" si="3"/>
        <v>131.36000000000001</v>
      </c>
      <c r="U30" s="770">
        <v>739.38</v>
      </c>
      <c r="V30" s="770">
        <v>935.68</v>
      </c>
      <c r="W30" s="770"/>
      <c r="X30" s="770"/>
      <c r="Y30" s="676">
        <f t="shared" si="4"/>
        <v>739.38</v>
      </c>
      <c r="Z30" s="676">
        <f t="shared" si="5"/>
        <v>935.68</v>
      </c>
      <c r="AA30" s="524">
        <v>9975.48</v>
      </c>
      <c r="AB30" s="524">
        <v>9675.84</v>
      </c>
      <c r="AC30" s="524"/>
      <c r="AD30" s="524"/>
      <c r="AE30" s="591">
        <f t="shared" si="6"/>
        <v>9975.48</v>
      </c>
      <c r="AF30" s="591">
        <f t="shared" si="7"/>
        <v>9675.84</v>
      </c>
      <c r="AG30" s="524">
        <v>0</v>
      </c>
      <c r="AH30" s="524">
        <v>0</v>
      </c>
      <c r="AI30" s="628">
        <f t="shared" si="8"/>
        <v>10818.66</v>
      </c>
      <c r="AJ30" s="628">
        <f t="shared" si="9"/>
        <v>10742.880000000001</v>
      </c>
      <c r="AK30" s="1497">
        <f t="shared" si="10"/>
        <v>9285.9439776426461</v>
      </c>
      <c r="AL30" s="591"/>
      <c r="AM30" s="592">
        <f t="shared" si="11"/>
        <v>155.34490324803031</v>
      </c>
      <c r="AN30" s="592">
        <f t="shared" si="12"/>
        <v>157.79414550017651</v>
      </c>
      <c r="AO30" s="592"/>
      <c r="AP30" s="592"/>
      <c r="AQ30" s="592">
        <f t="shared" si="13"/>
        <v>36.494921930656268</v>
      </c>
      <c r="AR30" s="592">
        <f t="shared" si="14"/>
        <v>55.105600152894255</v>
      </c>
      <c r="AS30" s="592">
        <f t="shared" si="15"/>
        <v>362.25106931568945</v>
      </c>
      <c r="AT30" s="592">
        <f t="shared" si="16"/>
        <v>3757.8656575569071</v>
      </c>
      <c r="AU30" s="592">
        <f t="shared" si="17"/>
        <v>2335.4150854908949</v>
      </c>
      <c r="AV30" s="592"/>
      <c r="AW30" s="592"/>
      <c r="AX30" s="592"/>
      <c r="AY30" s="1487">
        <f t="shared" si="19"/>
        <v>6860.2713831952487</v>
      </c>
      <c r="AZ30" s="592"/>
      <c r="BA30" s="592"/>
      <c r="BB30" s="592"/>
      <c r="BC30" s="592"/>
      <c r="BD30" s="1499">
        <f t="shared" si="22"/>
        <v>0</v>
      </c>
      <c r="BE30" s="522"/>
      <c r="BF30" s="522">
        <f t="shared" si="23"/>
        <v>172.49275365884779</v>
      </c>
      <c r="BG30" s="522">
        <f t="shared" si="24"/>
        <v>2253.1798407885494</v>
      </c>
      <c r="BH30" s="522">
        <f t="shared" si="25"/>
        <v>1532.7160223573537</v>
      </c>
      <c r="BI30" s="522">
        <f t="shared" si="26"/>
        <v>99.299543566393638</v>
      </c>
      <c r="BJ30" s="522">
        <f t="shared" si="27"/>
        <v>7.1584520333353732</v>
      </c>
      <c r="BK30" s="522">
        <f t="shared" si="28"/>
        <v>75.779999999998836</v>
      </c>
      <c r="BL30" s="522">
        <v>8.56</v>
      </c>
      <c r="BM30" s="522"/>
      <c r="BN30" s="1489"/>
      <c r="BO30" s="1489"/>
      <c r="BP30" s="1489"/>
      <c r="BQ30" s="1489"/>
      <c r="BR30" s="1489"/>
      <c r="BS30" s="1489"/>
      <c r="BT30" s="35"/>
      <c r="BU30" s="66"/>
      <c r="BV30" s="66"/>
      <c r="BW30" s="66"/>
      <c r="BX30" s="35"/>
      <c r="BY30" s="35"/>
      <c r="BZ30" s="67"/>
      <c r="CA30" s="67"/>
      <c r="CB30" s="67"/>
      <c r="CC30" s="68"/>
      <c r="CD30" s="67"/>
      <c r="CE30" s="67"/>
      <c r="CF30" s="67"/>
      <c r="CG30" s="130"/>
      <c r="CH30" s="35"/>
      <c r="CI30" s="30"/>
    </row>
    <row r="31" spans="1:87" s="124" customFormat="1" x14ac:dyDescent="0.25">
      <c r="A31" s="1798">
        <v>24</v>
      </c>
      <c r="B31" s="587" t="s">
        <v>848</v>
      </c>
      <c r="C31" s="1789" t="s">
        <v>81</v>
      </c>
      <c r="D31" s="681">
        <v>1961</v>
      </c>
      <c r="E31" s="681">
        <v>1</v>
      </c>
      <c r="F31" s="675">
        <v>2</v>
      </c>
      <c r="G31" s="675">
        <v>13</v>
      </c>
      <c r="H31" s="770">
        <v>102.4</v>
      </c>
      <c r="I31" s="770"/>
      <c r="J31" s="770"/>
      <c r="K31" s="770"/>
      <c r="L31" s="770"/>
      <c r="M31" s="676">
        <f t="shared" si="0"/>
        <v>0</v>
      </c>
      <c r="N31" s="676">
        <f t="shared" si="1"/>
        <v>0</v>
      </c>
      <c r="O31" s="770">
        <v>98.28</v>
      </c>
      <c r="P31" s="770">
        <v>129.38</v>
      </c>
      <c r="Q31" s="770"/>
      <c r="R31" s="770"/>
      <c r="S31" s="676">
        <f t="shared" si="2"/>
        <v>98.28</v>
      </c>
      <c r="T31" s="676">
        <f t="shared" si="3"/>
        <v>129.38</v>
      </c>
      <c r="U31" s="770">
        <v>700.44</v>
      </c>
      <c r="V31" s="770">
        <v>922.08</v>
      </c>
      <c r="W31" s="770"/>
      <c r="X31" s="770"/>
      <c r="Y31" s="676">
        <f t="shared" si="4"/>
        <v>700.44</v>
      </c>
      <c r="Z31" s="676">
        <f t="shared" si="5"/>
        <v>922.08</v>
      </c>
      <c r="AA31" s="524">
        <v>9449.4599999999991</v>
      </c>
      <c r="AB31" s="524">
        <v>9145.5400000000009</v>
      </c>
      <c r="AC31" s="524"/>
      <c r="AD31" s="524"/>
      <c r="AE31" s="591">
        <f t="shared" si="6"/>
        <v>9449.4599999999991</v>
      </c>
      <c r="AF31" s="591">
        <f t="shared" si="7"/>
        <v>9145.5400000000009</v>
      </c>
      <c r="AG31" s="524">
        <v>0</v>
      </c>
      <c r="AH31" s="524">
        <v>0</v>
      </c>
      <c r="AI31" s="628">
        <f t="shared" si="8"/>
        <v>10248.179999999998</v>
      </c>
      <c r="AJ31" s="628">
        <f t="shared" si="9"/>
        <v>10197</v>
      </c>
      <c r="AK31" s="1497">
        <f t="shared" si="10"/>
        <v>8796.3058585625076</v>
      </c>
      <c r="AL31" s="591"/>
      <c r="AM31" s="592">
        <f t="shared" si="11"/>
        <v>147.15372888620078</v>
      </c>
      <c r="AN31" s="592">
        <f t="shared" si="12"/>
        <v>149.47382515465378</v>
      </c>
      <c r="AO31" s="592"/>
      <c r="AP31" s="592"/>
      <c r="AQ31" s="592">
        <f t="shared" si="13"/>
        <v>34.570582846431101</v>
      </c>
      <c r="AR31" s="592">
        <f t="shared" si="14"/>
        <v>52.199939460280966</v>
      </c>
      <c r="AS31" s="592">
        <f t="shared" si="15"/>
        <v>343.14994910200375</v>
      </c>
      <c r="AT31" s="592">
        <f t="shared" si="16"/>
        <v>3559.7173296376259</v>
      </c>
      <c r="AU31" s="592">
        <f t="shared" si="17"/>
        <v>2212.2710893086742</v>
      </c>
      <c r="AV31" s="592"/>
      <c r="AW31" s="592"/>
      <c r="AX31" s="592"/>
      <c r="AY31" s="1487">
        <f t="shared" si="19"/>
        <v>6498.5364443958715</v>
      </c>
      <c r="AZ31" s="592"/>
      <c r="BA31" s="592"/>
      <c r="BB31" s="592"/>
      <c r="BC31" s="592"/>
      <c r="BD31" s="1499">
        <f t="shared" si="22"/>
        <v>0</v>
      </c>
      <c r="BE31" s="522"/>
      <c r="BF31" s="522">
        <f t="shared" si="23"/>
        <v>163.3973910699909</v>
      </c>
      <c r="BG31" s="522">
        <f t="shared" si="24"/>
        <v>2134.3720230966464</v>
      </c>
      <c r="BH31" s="522">
        <f t="shared" si="25"/>
        <v>1451.8741414374908</v>
      </c>
      <c r="BI31" s="522">
        <f t="shared" si="26"/>
        <v>99.500594251857422</v>
      </c>
      <c r="BJ31" s="522">
        <f t="shared" si="27"/>
        <v>7.1584520333353732</v>
      </c>
      <c r="BK31" s="522">
        <f t="shared" si="28"/>
        <v>51.179999999998472</v>
      </c>
      <c r="BL31" s="522">
        <v>8.56</v>
      </c>
      <c r="BM31" s="522"/>
      <c r="BN31" s="1489"/>
      <c r="BO31" s="1489"/>
      <c r="BP31" s="1489"/>
      <c r="BQ31" s="1489"/>
      <c r="BR31" s="1489"/>
      <c r="BS31" s="1489"/>
      <c r="BT31" s="35"/>
      <c r="BU31" s="66"/>
      <c r="BV31" s="66"/>
      <c r="BW31" s="66"/>
      <c r="BX31" s="35"/>
      <c r="BY31" s="35"/>
      <c r="BZ31" s="67"/>
      <c r="CA31" s="67"/>
      <c r="CB31" s="67"/>
      <c r="CC31" s="68"/>
      <c r="CD31" s="67"/>
      <c r="CE31" s="67"/>
      <c r="CF31" s="67"/>
      <c r="CG31" s="130"/>
      <c r="CH31" s="35"/>
      <c r="CI31" s="30"/>
    </row>
    <row r="32" spans="1:87" s="124" customFormat="1" x14ac:dyDescent="0.25">
      <c r="A32" s="1798">
        <v>25</v>
      </c>
      <c r="B32" s="587" t="s">
        <v>848</v>
      </c>
      <c r="C32" s="1789" t="s">
        <v>82</v>
      </c>
      <c r="D32" s="681">
        <v>1962</v>
      </c>
      <c r="E32" s="681">
        <v>1</v>
      </c>
      <c r="F32" s="675">
        <v>2</v>
      </c>
      <c r="G32" s="675">
        <v>6</v>
      </c>
      <c r="H32" s="770">
        <v>85.7</v>
      </c>
      <c r="I32" s="770"/>
      <c r="J32" s="770"/>
      <c r="K32" s="770"/>
      <c r="L32" s="770"/>
      <c r="M32" s="676">
        <f t="shared" si="0"/>
        <v>0</v>
      </c>
      <c r="N32" s="676">
        <f t="shared" si="1"/>
        <v>0</v>
      </c>
      <c r="O32" s="770">
        <v>82.26</v>
      </c>
      <c r="P32" s="770">
        <v>95.97</v>
      </c>
      <c r="Q32" s="770"/>
      <c r="R32" s="770"/>
      <c r="S32" s="676">
        <f t="shared" si="2"/>
        <v>82.26</v>
      </c>
      <c r="T32" s="676">
        <f t="shared" si="3"/>
        <v>95.97</v>
      </c>
      <c r="U32" s="770">
        <v>586.20000000000005</v>
      </c>
      <c r="V32" s="770">
        <v>683.9</v>
      </c>
      <c r="W32" s="770"/>
      <c r="X32" s="770"/>
      <c r="Y32" s="676">
        <f t="shared" si="4"/>
        <v>586.20000000000005</v>
      </c>
      <c r="Z32" s="676">
        <f t="shared" si="5"/>
        <v>683.9</v>
      </c>
      <c r="AA32" s="524">
        <v>7908.36</v>
      </c>
      <c r="AB32" s="524">
        <v>7759.24</v>
      </c>
      <c r="AC32" s="524"/>
      <c r="AD32" s="524"/>
      <c r="AE32" s="591">
        <f t="shared" si="6"/>
        <v>7908.36</v>
      </c>
      <c r="AF32" s="591">
        <f t="shared" si="7"/>
        <v>7759.24</v>
      </c>
      <c r="AG32" s="524">
        <v>0</v>
      </c>
      <c r="AH32" s="524">
        <v>0</v>
      </c>
      <c r="AI32" s="628">
        <f t="shared" si="8"/>
        <v>8576.82</v>
      </c>
      <c r="AJ32" s="628">
        <f t="shared" si="9"/>
        <v>8539.11</v>
      </c>
      <c r="AK32" s="1497">
        <f t="shared" si="10"/>
        <v>7361.7520710820972</v>
      </c>
      <c r="AL32" s="591"/>
      <c r="AM32" s="592">
        <f t="shared" si="11"/>
        <v>123.15502505417389</v>
      </c>
      <c r="AN32" s="592">
        <f t="shared" si="12"/>
        <v>125.096746247596</v>
      </c>
      <c r="AO32" s="592"/>
      <c r="AP32" s="592"/>
      <c r="AQ32" s="592">
        <f t="shared" si="13"/>
        <v>28.93260693299947</v>
      </c>
      <c r="AR32" s="592">
        <f t="shared" si="14"/>
        <v>43.686863395957801</v>
      </c>
      <c r="AS32" s="592">
        <f t="shared" si="15"/>
        <v>287.18701794962618</v>
      </c>
      <c r="AT32" s="592">
        <f t="shared" si="16"/>
        <v>2979.1774916986769</v>
      </c>
      <c r="AU32" s="592">
        <f t="shared" si="17"/>
        <v>1851.4807847046227</v>
      </c>
      <c r="AV32" s="592"/>
      <c r="AW32" s="592"/>
      <c r="AX32" s="592"/>
      <c r="AY32" s="1487">
        <f t="shared" si="19"/>
        <v>5438.7165359836517</v>
      </c>
      <c r="AZ32" s="592"/>
      <c r="BA32" s="592"/>
      <c r="BB32" s="592"/>
      <c r="BC32" s="592"/>
      <c r="BD32" s="1499">
        <f t="shared" si="22"/>
        <v>0</v>
      </c>
      <c r="BE32" s="522"/>
      <c r="BF32" s="522">
        <f t="shared" si="23"/>
        <v>136.74957436228729</v>
      </c>
      <c r="BG32" s="522">
        <f t="shared" si="24"/>
        <v>1786.2859607361584</v>
      </c>
      <c r="BH32" s="522">
        <f t="shared" si="25"/>
        <v>1215.0679289179025</v>
      </c>
      <c r="BI32" s="522">
        <f t="shared" si="26"/>
        <v>99.560326554597168</v>
      </c>
      <c r="BJ32" s="522">
        <f t="shared" si="27"/>
        <v>7.1584520333353723</v>
      </c>
      <c r="BK32" s="522">
        <f t="shared" si="28"/>
        <v>37.709999999999127</v>
      </c>
      <c r="BL32" s="522">
        <v>8.56</v>
      </c>
      <c r="BM32" s="522"/>
      <c r="BN32" s="1489"/>
      <c r="BO32" s="1489"/>
      <c r="BP32" s="1489"/>
      <c r="BQ32" s="1489"/>
      <c r="BR32" s="1489"/>
      <c r="BS32" s="1489"/>
      <c r="BT32" s="35"/>
      <c r="BU32" s="66"/>
      <c r="BV32" s="66"/>
      <c r="BW32" s="66"/>
      <c r="BX32" s="35"/>
      <c r="BY32" s="35"/>
      <c r="BZ32" s="67"/>
      <c r="CA32" s="67"/>
      <c r="CB32" s="67"/>
      <c r="CC32" s="68"/>
      <c r="CD32" s="67"/>
      <c r="CE32" s="67"/>
      <c r="CF32" s="67"/>
      <c r="CG32" s="130"/>
      <c r="CH32" s="35"/>
      <c r="CI32" s="30"/>
    </row>
    <row r="33" spans="1:87" s="124" customFormat="1" x14ac:dyDescent="0.25">
      <c r="A33" s="1798">
        <v>26</v>
      </c>
      <c r="B33" s="587" t="s">
        <v>848</v>
      </c>
      <c r="C33" s="1789" t="s">
        <v>83</v>
      </c>
      <c r="D33" s="681">
        <v>1940</v>
      </c>
      <c r="E33" s="681">
        <v>1</v>
      </c>
      <c r="F33" s="675">
        <v>1</v>
      </c>
      <c r="G33" s="675">
        <v>4</v>
      </c>
      <c r="H33" s="770">
        <v>53.56</v>
      </c>
      <c r="I33" s="770"/>
      <c r="J33" s="770"/>
      <c r="K33" s="770"/>
      <c r="L33" s="770"/>
      <c r="M33" s="676">
        <f t="shared" si="0"/>
        <v>0</v>
      </c>
      <c r="N33" s="676">
        <f t="shared" si="1"/>
        <v>0</v>
      </c>
      <c r="O33" s="770">
        <v>51.42</v>
      </c>
      <c r="P33" s="770">
        <v>3.28</v>
      </c>
      <c r="Q33" s="770"/>
      <c r="R33" s="770"/>
      <c r="S33" s="676">
        <f t="shared" si="2"/>
        <v>51.42</v>
      </c>
      <c r="T33" s="676">
        <f t="shared" si="3"/>
        <v>3.28</v>
      </c>
      <c r="U33" s="770">
        <v>366.36</v>
      </c>
      <c r="V33" s="770">
        <v>23.39</v>
      </c>
      <c r="W33" s="770"/>
      <c r="X33" s="770"/>
      <c r="Y33" s="676">
        <f t="shared" si="4"/>
        <v>366.36</v>
      </c>
      <c r="Z33" s="676">
        <f t="shared" si="5"/>
        <v>23.39</v>
      </c>
      <c r="AA33" s="524">
        <v>1892.82</v>
      </c>
      <c r="AB33" s="524">
        <v>242.79</v>
      </c>
      <c r="AC33" s="524"/>
      <c r="AD33" s="524"/>
      <c r="AE33" s="591">
        <f t="shared" si="6"/>
        <v>1892.82</v>
      </c>
      <c r="AF33" s="591">
        <f t="shared" si="7"/>
        <v>242.79</v>
      </c>
      <c r="AG33" s="524">
        <v>0</v>
      </c>
      <c r="AH33" s="524">
        <v>0</v>
      </c>
      <c r="AI33" s="628">
        <f t="shared" si="8"/>
        <v>2310.6</v>
      </c>
      <c r="AJ33" s="628">
        <f t="shared" si="9"/>
        <v>269.45999999999998</v>
      </c>
      <c r="AK33" s="1497">
        <f t="shared" si="10"/>
        <v>4600.8802908653115</v>
      </c>
      <c r="AL33" s="591"/>
      <c r="AM33" s="592">
        <f t="shared" si="11"/>
        <v>76.968298038524551</v>
      </c>
      <c r="AN33" s="592">
        <f t="shared" si="12"/>
        <v>78.18181714143806</v>
      </c>
      <c r="AO33" s="592"/>
      <c r="AP33" s="592"/>
      <c r="AQ33" s="592">
        <f t="shared" si="13"/>
        <v>18.082035324754393</v>
      </c>
      <c r="AR33" s="592">
        <f t="shared" si="14"/>
        <v>27.303015209889146</v>
      </c>
      <c r="AS33" s="592">
        <f t="shared" si="15"/>
        <v>179.48350853421209</v>
      </c>
      <c r="AT33" s="592">
        <f t="shared" si="16"/>
        <v>1861.8990251503051</v>
      </c>
      <c r="AU33" s="592">
        <f t="shared" si="17"/>
        <v>1157.1214799157478</v>
      </c>
      <c r="AV33" s="592"/>
      <c r="AW33" s="592"/>
      <c r="AX33" s="592"/>
      <c r="AY33" s="1487">
        <f t="shared" si="19"/>
        <v>3399.039179314871</v>
      </c>
      <c r="AZ33" s="592"/>
      <c r="BA33" s="592"/>
      <c r="BB33" s="592"/>
      <c r="BC33" s="592"/>
      <c r="BD33" s="1499">
        <f t="shared" si="22"/>
        <v>0</v>
      </c>
      <c r="BE33" s="522"/>
      <c r="BF33" s="522">
        <f t="shared" si="23"/>
        <v>85.464494782311647</v>
      </c>
      <c r="BG33" s="522">
        <f t="shared" si="24"/>
        <v>1116.3766167681288</v>
      </c>
      <c r="BH33" s="522">
        <f t="shared" si="25"/>
        <v>-2290.2802908653116</v>
      </c>
      <c r="BI33" s="522">
        <f t="shared" si="26"/>
        <v>11.661905998441963</v>
      </c>
      <c r="BJ33" s="522">
        <f t="shared" si="27"/>
        <v>7.1584520333353732</v>
      </c>
      <c r="BK33" s="522">
        <f t="shared" si="28"/>
        <v>2041.1399999999999</v>
      </c>
      <c r="BL33" s="522">
        <v>3.69</v>
      </c>
      <c r="BM33" s="522"/>
      <c r="BN33" s="1489"/>
      <c r="BO33" s="1489"/>
      <c r="BP33" s="1489"/>
      <c r="BQ33" s="1489"/>
      <c r="BR33" s="1489"/>
      <c r="BS33" s="1489"/>
      <c r="BT33" s="35"/>
      <c r="BU33" s="66"/>
      <c r="BV33" s="66"/>
      <c r="BW33" s="66"/>
      <c r="BX33" s="35"/>
      <c r="BY33" s="35"/>
      <c r="BZ33" s="67"/>
      <c r="CA33" s="67"/>
      <c r="CB33" s="67"/>
      <c r="CC33" s="68"/>
      <c r="CD33" s="67"/>
      <c r="CE33" s="67"/>
      <c r="CF33" s="67"/>
      <c r="CG33" s="130"/>
      <c r="CH33" s="35"/>
      <c r="CI33" s="30"/>
    </row>
    <row r="34" spans="1:87" s="124" customFormat="1" x14ac:dyDescent="0.25">
      <c r="A34" s="1798">
        <v>27</v>
      </c>
      <c r="B34" s="587" t="s">
        <v>848</v>
      </c>
      <c r="C34" s="1789" t="s">
        <v>84</v>
      </c>
      <c r="D34" s="681">
        <v>1963</v>
      </c>
      <c r="E34" s="681">
        <v>1</v>
      </c>
      <c r="F34" s="675">
        <v>2</v>
      </c>
      <c r="G34" s="675">
        <v>8</v>
      </c>
      <c r="H34" s="770">
        <v>88</v>
      </c>
      <c r="I34" s="770"/>
      <c r="J34" s="770"/>
      <c r="K34" s="770"/>
      <c r="L34" s="770"/>
      <c r="M34" s="676">
        <f t="shared" si="0"/>
        <v>0</v>
      </c>
      <c r="N34" s="676">
        <f t="shared" si="1"/>
        <v>0</v>
      </c>
      <c r="O34" s="770">
        <v>84.48</v>
      </c>
      <c r="P34" s="770">
        <v>98.56</v>
      </c>
      <c r="Q34" s="770"/>
      <c r="R34" s="770"/>
      <c r="S34" s="676">
        <f t="shared" si="2"/>
        <v>84.48</v>
      </c>
      <c r="T34" s="676">
        <f t="shared" si="3"/>
        <v>98.56</v>
      </c>
      <c r="U34" s="770">
        <v>601.91999999999996</v>
      </c>
      <c r="V34" s="770">
        <v>702.24</v>
      </c>
      <c r="W34" s="770"/>
      <c r="X34" s="770"/>
      <c r="Y34" s="676">
        <f t="shared" si="4"/>
        <v>601.91999999999996</v>
      </c>
      <c r="Z34" s="676">
        <f t="shared" si="5"/>
        <v>702.24</v>
      </c>
      <c r="AA34" s="524">
        <v>8120.64</v>
      </c>
      <c r="AB34" s="524">
        <v>7967.52</v>
      </c>
      <c r="AC34" s="524"/>
      <c r="AD34" s="524"/>
      <c r="AE34" s="591">
        <f t="shared" si="6"/>
        <v>8120.64</v>
      </c>
      <c r="AF34" s="591">
        <f t="shared" si="7"/>
        <v>7967.52</v>
      </c>
      <c r="AG34" s="524">
        <v>0</v>
      </c>
      <c r="AH34" s="524">
        <v>0</v>
      </c>
      <c r="AI34" s="628">
        <f t="shared" si="8"/>
        <v>8807.0400000000009</v>
      </c>
      <c r="AJ34" s="628">
        <f t="shared" si="9"/>
        <v>8768.32</v>
      </c>
      <c r="AK34" s="1497">
        <f t="shared" si="10"/>
        <v>7559.3253472021543</v>
      </c>
      <c r="AL34" s="591"/>
      <c r="AM34" s="592">
        <f t="shared" si="11"/>
        <v>126.46023576157879</v>
      </c>
      <c r="AN34" s="592">
        <f t="shared" si="12"/>
        <v>128.45406849228061</v>
      </c>
      <c r="AO34" s="592"/>
      <c r="AP34" s="592"/>
      <c r="AQ34" s="592">
        <f t="shared" si="13"/>
        <v>29.709094633651731</v>
      </c>
      <c r="AR34" s="592">
        <f t="shared" si="14"/>
        <v>44.85932297367895</v>
      </c>
      <c r="AS34" s="592">
        <f t="shared" si="15"/>
        <v>294.89448750953443</v>
      </c>
      <c r="AT34" s="592">
        <f t="shared" si="16"/>
        <v>3059.1320801573343</v>
      </c>
      <c r="AU34" s="592">
        <f t="shared" si="17"/>
        <v>1901.1704673746417</v>
      </c>
      <c r="AV34" s="592"/>
      <c r="AW34" s="592"/>
      <c r="AX34" s="592"/>
      <c r="AY34" s="1487">
        <f t="shared" si="19"/>
        <v>5584.6797569027003</v>
      </c>
      <c r="AZ34" s="592"/>
      <c r="BA34" s="592"/>
      <c r="BB34" s="592"/>
      <c r="BC34" s="592"/>
      <c r="BD34" s="1499">
        <f t="shared" si="22"/>
        <v>0</v>
      </c>
      <c r="BE34" s="522"/>
      <c r="BF34" s="522">
        <f t="shared" si="23"/>
        <v>140.4196329507734</v>
      </c>
      <c r="BG34" s="522">
        <f t="shared" si="24"/>
        <v>1834.2259573486806</v>
      </c>
      <c r="BH34" s="522">
        <f t="shared" si="25"/>
        <v>1247.7146527978466</v>
      </c>
      <c r="BI34" s="522">
        <f t="shared" si="26"/>
        <v>99.560351718625085</v>
      </c>
      <c r="BJ34" s="522">
        <f t="shared" si="27"/>
        <v>7.1584520333353732</v>
      </c>
      <c r="BK34" s="522">
        <f t="shared" si="28"/>
        <v>38.720000000001164</v>
      </c>
      <c r="BL34" s="522">
        <v>8.56</v>
      </c>
      <c r="BM34" s="522"/>
      <c r="BN34" s="1489"/>
      <c r="BO34" s="1489"/>
      <c r="BP34" s="1489"/>
      <c r="BQ34" s="1489"/>
      <c r="BR34" s="1489"/>
      <c r="BS34" s="1489"/>
      <c r="BT34" s="35"/>
      <c r="BU34" s="66"/>
      <c r="BV34" s="66"/>
      <c r="BW34" s="66"/>
      <c r="BX34" s="35"/>
      <c r="BY34" s="35"/>
      <c r="BZ34" s="67"/>
      <c r="CA34" s="67"/>
      <c r="CB34" s="67"/>
      <c r="CC34" s="68"/>
      <c r="CD34" s="67"/>
      <c r="CE34" s="67"/>
      <c r="CF34" s="67"/>
      <c r="CG34" s="130"/>
      <c r="CH34" s="35"/>
      <c r="CI34" s="30"/>
    </row>
    <row r="35" spans="1:87" s="124" customFormat="1" ht="13.5" customHeight="1" x14ac:dyDescent="0.25">
      <c r="A35" s="1798">
        <v>28</v>
      </c>
      <c r="B35" s="587" t="s">
        <v>848</v>
      </c>
      <c r="C35" s="1789" t="s">
        <v>85</v>
      </c>
      <c r="D35" s="681">
        <v>1962</v>
      </c>
      <c r="E35" s="681">
        <v>1</v>
      </c>
      <c r="F35" s="675">
        <v>1</v>
      </c>
      <c r="G35" s="675">
        <v>2</v>
      </c>
      <c r="H35" s="770">
        <v>44</v>
      </c>
      <c r="I35" s="770"/>
      <c r="J35" s="770"/>
      <c r="K35" s="770"/>
      <c r="L35" s="770"/>
      <c r="M35" s="676">
        <f t="shared" si="0"/>
        <v>0</v>
      </c>
      <c r="N35" s="676">
        <f t="shared" si="1"/>
        <v>0</v>
      </c>
      <c r="O35" s="770">
        <v>42.24</v>
      </c>
      <c r="P35" s="770">
        <v>29.85</v>
      </c>
      <c r="Q35" s="770"/>
      <c r="R35" s="770"/>
      <c r="S35" s="676">
        <f t="shared" si="2"/>
        <v>42.24</v>
      </c>
      <c r="T35" s="676">
        <f t="shared" si="3"/>
        <v>29.85</v>
      </c>
      <c r="U35" s="770">
        <v>300.95999999999998</v>
      </c>
      <c r="V35" s="770">
        <v>213.41</v>
      </c>
      <c r="W35" s="770"/>
      <c r="X35" s="770"/>
      <c r="Y35" s="676">
        <f t="shared" si="4"/>
        <v>300.95999999999998</v>
      </c>
      <c r="Z35" s="676">
        <f t="shared" si="5"/>
        <v>213.41</v>
      </c>
      <c r="AA35" s="524">
        <v>4060.32</v>
      </c>
      <c r="AB35" s="524">
        <v>3155.41</v>
      </c>
      <c r="AC35" s="524"/>
      <c r="AD35" s="524"/>
      <c r="AE35" s="591">
        <f t="shared" si="6"/>
        <v>4060.32</v>
      </c>
      <c r="AF35" s="591">
        <f t="shared" si="7"/>
        <v>3155.41</v>
      </c>
      <c r="AG35" s="524">
        <v>0</v>
      </c>
      <c r="AH35" s="524">
        <v>0</v>
      </c>
      <c r="AI35" s="628">
        <f t="shared" si="8"/>
        <v>4403.5200000000004</v>
      </c>
      <c r="AJ35" s="628">
        <f t="shared" si="9"/>
        <v>3398.67</v>
      </c>
      <c r="AK35" s="1497">
        <f t="shared" si="10"/>
        <v>3779.6626736010771</v>
      </c>
      <c r="AL35" s="591"/>
      <c r="AM35" s="592">
        <f t="shared" si="11"/>
        <v>63.230117880789393</v>
      </c>
      <c r="AN35" s="592">
        <f t="shared" si="12"/>
        <v>64.227034246140306</v>
      </c>
      <c r="AO35" s="592"/>
      <c r="AP35" s="592"/>
      <c r="AQ35" s="592">
        <f t="shared" si="13"/>
        <v>14.854547316825865</v>
      </c>
      <c r="AR35" s="592">
        <f t="shared" si="14"/>
        <v>22.429661486839475</v>
      </c>
      <c r="AS35" s="592">
        <f t="shared" si="15"/>
        <v>147.44724375476721</v>
      </c>
      <c r="AT35" s="592">
        <f t="shared" si="16"/>
        <v>1529.5660400786671</v>
      </c>
      <c r="AU35" s="592">
        <f t="shared" si="17"/>
        <v>950.58523368732085</v>
      </c>
      <c r="AV35" s="592"/>
      <c r="AW35" s="592"/>
      <c r="AX35" s="592"/>
      <c r="AY35" s="1487">
        <f t="shared" si="19"/>
        <v>2792.3398784513502</v>
      </c>
      <c r="AZ35" s="592"/>
      <c r="BA35" s="592"/>
      <c r="BB35" s="592"/>
      <c r="BC35" s="592"/>
      <c r="BD35" s="1499">
        <f t="shared" si="22"/>
        <v>0</v>
      </c>
      <c r="BE35" s="522"/>
      <c r="BF35" s="522">
        <f t="shared" si="23"/>
        <v>70.209816475386702</v>
      </c>
      <c r="BG35" s="522">
        <f t="shared" si="24"/>
        <v>917.1129786743403</v>
      </c>
      <c r="BH35" s="522">
        <f t="shared" si="25"/>
        <v>623.85732639892331</v>
      </c>
      <c r="BI35" s="522">
        <f t="shared" si="26"/>
        <v>77.180755395683448</v>
      </c>
      <c r="BJ35" s="522">
        <f t="shared" si="27"/>
        <v>7.1584520333353732</v>
      </c>
      <c r="BK35" s="522">
        <f t="shared" si="28"/>
        <v>1004.8500000000004</v>
      </c>
      <c r="BL35" s="522">
        <v>8.56</v>
      </c>
      <c r="BM35" s="522"/>
      <c r="BN35" s="1489"/>
      <c r="BO35" s="1489"/>
      <c r="BP35" s="1489"/>
      <c r="BQ35" s="1489"/>
      <c r="BR35" s="1489"/>
      <c r="BS35" s="1489"/>
      <c r="BT35" s="35"/>
      <c r="BU35" s="66"/>
      <c r="BV35" s="66"/>
      <c r="BW35" s="66"/>
      <c r="BX35" s="35"/>
      <c r="BY35" s="35"/>
      <c r="BZ35" s="67"/>
      <c r="CA35" s="67"/>
      <c r="CB35" s="67"/>
      <c r="CC35" s="68"/>
      <c r="CD35" s="67"/>
      <c r="CE35" s="67"/>
      <c r="CF35" s="67"/>
      <c r="CG35" s="130"/>
      <c r="CH35" s="35"/>
      <c r="CI35" s="30"/>
    </row>
    <row r="36" spans="1:87" s="124" customFormat="1" x14ac:dyDescent="0.25">
      <c r="A36" s="1798">
        <v>29</v>
      </c>
      <c r="B36" s="587" t="s">
        <v>848</v>
      </c>
      <c r="C36" s="1789" t="s">
        <v>86</v>
      </c>
      <c r="D36" s="681">
        <v>1943</v>
      </c>
      <c r="E36" s="681">
        <v>1</v>
      </c>
      <c r="F36" s="675">
        <v>2</v>
      </c>
      <c r="G36" s="675">
        <v>4</v>
      </c>
      <c r="H36" s="770">
        <v>31.3</v>
      </c>
      <c r="I36" s="770"/>
      <c r="J36" s="770"/>
      <c r="K36" s="770"/>
      <c r="L36" s="770"/>
      <c r="M36" s="676">
        <f t="shared" si="0"/>
        <v>0</v>
      </c>
      <c r="N36" s="676">
        <f t="shared" si="1"/>
        <v>0</v>
      </c>
      <c r="O36" s="770">
        <v>30.06</v>
      </c>
      <c r="P36" s="770">
        <v>35.07</v>
      </c>
      <c r="Q36" s="770"/>
      <c r="R36" s="770"/>
      <c r="S36" s="676">
        <f t="shared" si="2"/>
        <v>30.06</v>
      </c>
      <c r="T36" s="676">
        <f t="shared" si="3"/>
        <v>35.07</v>
      </c>
      <c r="U36" s="770">
        <v>214.08</v>
      </c>
      <c r="V36" s="770">
        <v>249.76</v>
      </c>
      <c r="W36" s="770"/>
      <c r="X36" s="770"/>
      <c r="Y36" s="676">
        <f t="shared" si="4"/>
        <v>214.08</v>
      </c>
      <c r="Z36" s="676">
        <f t="shared" si="5"/>
        <v>249.76</v>
      </c>
      <c r="AA36" s="524">
        <v>1106.1600000000001</v>
      </c>
      <c r="AB36" s="524">
        <v>939.22</v>
      </c>
      <c r="AC36" s="524"/>
      <c r="AD36" s="524"/>
      <c r="AE36" s="591">
        <f t="shared" si="6"/>
        <v>1106.1600000000001</v>
      </c>
      <c r="AF36" s="591">
        <f t="shared" si="7"/>
        <v>939.22</v>
      </c>
      <c r="AG36" s="524">
        <v>0</v>
      </c>
      <c r="AH36" s="524">
        <v>0</v>
      </c>
      <c r="AI36" s="628">
        <f t="shared" si="8"/>
        <v>1350.3000000000002</v>
      </c>
      <c r="AJ36" s="628">
        <f t="shared" si="9"/>
        <v>1224.05</v>
      </c>
      <c r="AK36" s="1497">
        <f t="shared" si="10"/>
        <v>2688.7145837207663</v>
      </c>
      <c r="AL36" s="591"/>
      <c r="AM36" s="592">
        <f t="shared" si="11"/>
        <v>44.979606583379727</v>
      </c>
      <c r="AN36" s="592">
        <f t="shared" si="12"/>
        <v>45.688776634186169</v>
      </c>
      <c r="AO36" s="592"/>
      <c r="AP36" s="592"/>
      <c r="AQ36" s="592">
        <f t="shared" si="13"/>
        <v>10.566984795832944</v>
      </c>
      <c r="AR36" s="592">
        <f t="shared" si="14"/>
        <v>15.955645557683537</v>
      </c>
      <c r="AS36" s="592">
        <f t="shared" si="15"/>
        <v>104.88860748918668</v>
      </c>
      <c r="AT36" s="592">
        <f t="shared" si="16"/>
        <v>1088.0776603286884</v>
      </c>
      <c r="AU36" s="592">
        <f t="shared" si="17"/>
        <v>676.21176850938957</v>
      </c>
      <c r="AV36" s="592"/>
      <c r="AW36" s="592"/>
      <c r="AX36" s="592"/>
      <c r="AY36" s="1487">
        <f t="shared" si="19"/>
        <v>1986.3690498983469</v>
      </c>
      <c r="AZ36" s="592"/>
      <c r="BA36" s="592"/>
      <c r="BB36" s="592"/>
      <c r="BC36" s="592"/>
      <c r="BD36" s="1499">
        <f t="shared" si="22"/>
        <v>0</v>
      </c>
      <c r="BE36" s="522"/>
      <c r="BF36" s="522">
        <f t="shared" si="23"/>
        <v>49.944710356354634</v>
      </c>
      <c r="BG36" s="522">
        <f t="shared" si="24"/>
        <v>652.40082346606482</v>
      </c>
      <c r="BH36" s="522">
        <f t="shared" si="25"/>
        <v>-1338.4145837207661</v>
      </c>
      <c r="BI36" s="522">
        <f t="shared" si="26"/>
        <v>90.650225875731309</v>
      </c>
      <c r="BJ36" s="522">
        <f t="shared" si="27"/>
        <v>7.1584520333353732</v>
      </c>
      <c r="BK36" s="522">
        <f t="shared" si="28"/>
        <v>126.25000000000023</v>
      </c>
      <c r="BL36" s="522">
        <v>3.69</v>
      </c>
      <c r="BM36" s="522"/>
      <c r="BN36" s="1489"/>
      <c r="BO36" s="1489"/>
      <c r="BP36" s="1489"/>
      <c r="BQ36" s="1489"/>
      <c r="BR36" s="1489"/>
      <c r="BS36" s="1489"/>
      <c r="BT36" s="35"/>
      <c r="BU36" s="66"/>
      <c r="BV36" s="66"/>
      <c r="BW36" s="66"/>
      <c r="BX36" s="35"/>
      <c r="BY36" s="35"/>
      <c r="BZ36" s="67"/>
      <c r="CA36" s="67"/>
      <c r="CB36" s="67"/>
      <c r="CC36" s="68"/>
      <c r="CD36" s="67"/>
      <c r="CE36" s="67"/>
      <c r="CF36" s="67"/>
      <c r="CG36" s="130"/>
      <c r="CH36" s="35"/>
      <c r="CI36" s="30"/>
    </row>
    <row r="37" spans="1:87" s="124" customFormat="1" x14ac:dyDescent="0.25">
      <c r="A37" s="1798">
        <v>30</v>
      </c>
      <c r="B37" s="587" t="s">
        <v>848</v>
      </c>
      <c r="C37" s="1789" t="s">
        <v>87</v>
      </c>
      <c r="D37" s="681">
        <v>1943</v>
      </c>
      <c r="E37" s="681">
        <v>1</v>
      </c>
      <c r="F37" s="675">
        <v>1</v>
      </c>
      <c r="G37" s="675">
        <v>1</v>
      </c>
      <c r="H37" s="770">
        <v>22</v>
      </c>
      <c r="I37" s="770"/>
      <c r="J37" s="770"/>
      <c r="K37" s="770"/>
      <c r="L37" s="770"/>
      <c r="M37" s="676">
        <f t="shared" si="0"/>
        <v>0</v>
      </c>
      <c r="N37" s="676">
        <f t="shared" si="1"/>
        <v>0</v>
      </c>
      <c r="O37" s="770">
        <v>21.12</v>
      </c>
      <c r="P37" s="770">
        <v>52.8</v>
      </c>
      <c r="Q37" s="770"/>
      <c r="R37" s="770"/>
      <c r="S37" s="676">
        <f t="shared" si="2"/>
        <v>21.12</v>
      </c>
      <c r="T37" s="676">
        <f t="shared" si="3"/>
        <v>52.8</v>
      </c>
      <c r="U37" s="770">
        <v>150.47999999999999</v>
      </c>
      <c r="V37" s="770">
        <v>360.36</v>
      </c>
      <c r="W37" s="770"/>
      <c r="X37" s="770"/>
      <c r="Y37" s="676">
        <f t="shared" si="4"/>
        <v>150.47999999999999</v>
      </c>
      <c r="Z37" s="676">
        <f t="shared" si="5"/>
        <v>360.36</v>
      </c>
      <c r="AA37" s="524">
        <v>1422.96</v>
      </c>
      <c r="AB37" s="524">
        <v>2193.4</v>
      </c>
      <c r="AC37" s="524"/>
      <c r="AD37" s="524"/>
      <c r="AE37" s="591">
        <f t="shared" si="6"/>
        <v>1422.96</v>
      </c>
      <c r="AF37" s="591">
        <f t="shared" si="7"/>
        <v>2193.4</v>
      </c>
      <c r="AG37" s="524">
        <v>0</v>
      </c>
      <c r="AH37" s="524">
        <v>0</v>
      </c>
      <c r="AI37" s="628">
        <f t="shared" si="8"/>
        <v>1594.56</v>
      </c>
      <c r="AJ37" s="628">
        <f t="shared" si="9"/>
        <v>2606.56</v>
      </c>
      <c r="AK37" s="1497">
        <f t="shared" si="10"/>
        <v>1889.8313368005386</v>
      </c>
      <c r="AL37" s="591"/>
      <c r="AM37" s="592">
        <f t="shared" si="11"/>
        <v>31.615058940394697</v>
      </c>
      <c r="AN37" s="592">
        <f t="shared" si="12"/>
        <v>32.113517123070153</v>
      </c>
      <c r="AO37" s="592"/>
      <c r="AP37" s="592"/>
      <c r="AQ37" s="592">
        <f t="shared" si="13"/>
        <v>7.4272736584129326</v>
      </c>
      <c r="AR37" s="592">
        <f t="shared" si="14"/>
        <v>11.214830743419737</v>
      </c>
      <c r="AS37" s="592">
        <f t="shared" si="15"/>
        <v>73.723621877383607</v>
      </c>
      <c r="AT37" s="592">
        <f t="shared" si="16"/>
        <v>764.78302003933356</v>
      </c>
      <c r="AU37" s="592">
        <f t="shared" si="17"/>
        <v>475.29261684366043</v>
      </c>
      <c r="AV37" s="592"/>
      <c r="AW37" s="592"/>
      <c r="AX37" s="592"/>
      <c r="AY37" s="1487">
        <f t="shared" si="19"/>
        <v>1396.1699392256751</v>
      </c>
      <c r="AZ37" s="592"/>
      <c r="BA37" s="592"/>
      <c r="BB37" s="592"/>
      <c r="BC37" s="592"/>
      <c r="BD37" s="1499">
        <f t="shared" si="22"/>
        <v>0</v>
      </c>
      <c r="BE37" s="522"/>
      <c r="BF37" s="522">
        <f t="shared" si="23"/>
        <v>35.104908237693351</v>
      </c>
      <c r="BG37" s="522">
        <f t="shared" si="24"/>
        <v>458.55648933717015</v>
      </c>
      <c r="BH37" s="522">
        <f t="shared" si="25"/>
        <v>-295.27133680053862</v>
      </c>
      <c r="BI37" s="522">
        <f t="shared" si="26"/>
        <v>163.46578366445917</v>
      </c>
      <c r="BJ37" s="522">
        <f t="shared" si="27"/>
        <v>7.1584520333353732</v>
      </c>
      <c r="BK37" s="522">
        <f t="shared" si="28"/>
        <v>-1012</v>
      </c>
      <c r="BL37" s="522">
        <v>6.2</v>
      </c>
      <c r="BM37" s="522"/>
      <c r="BN37" s="1489"/>
      <c r="BO37" s="1489"/>
      <c r="BP37" s="1489"/>
      <c r="BQ37" s="1489"/>
      <c r="BR37" s="1489"/>
      <c r="BS37" s="1489"/>
      <c r="BT37" s="35"/>
      <c r="BU37" s="66"/>
      <c r="BV37" s="66"/>
      <c r="BW37" s="66"/>
      <c r="BX37" s="35"/>
      <c r="BY37" s="35"/>
      <c r="BZ37" s="67"/>
      <c r="CA37" s="67"/>
      <c r="CB37" s="67"/>
      <c r="CC37" s="68"/>
      <c r="CD37" s="67"/>
      <c r="CE37" s="67"/>
      <c r="CF37" s="67"/>
      <c r="CG37" s="130"/>
      <c r="CH37" s="35"/>
      <c r="CI37" s="30"/>
    </row>
    <row r="38" spans="1:87" s="124" customFormat="1" x14ac:dyDescent="0.25">
      <c r="A38" s="1794">
        <v>31</v>
      </c>
      <c r="B38" s="1795"/>
      <c r="C38" s="426" t="s">
        <v>88</v>
      </c>
      <c r="D38" s="813">
        <v>1969</v>
      </c>
      <c r="E38" s="813">
        <v>2</v>
      </c>
      <c r="F38" s="813">
        <v>16</v>
      </c>
      <c r="G38" s="813">
        <v>34</v>
      </c>
      <c r="H38" s="689">
        <v>649.16</v>
      </c>
      <c r="I38" s="689"/>
      <c r="J38" s="689"/>
      <c r="K38" s="689"/>
      <c r="L38" s="689"/>
      <c r="M38" s="676">
        <f t="shared" si="0"/>
        <v>0</v>
      </c>
      <c r="N38" s="676">
        <f t="shared" si="1"/>
        <v>0</v>
      </c>
      <c r="O38" s="689">
        <v>622.02</v>
      </c>
      <c r="P38" s="689">
        <v>704.44</v>
      </c>
      <c r="Q38" s="689"/>
      <c r="R38" s="689"/>
      <c r="S38" s="676">
        <f t="shared" si="2"/>
        <v>622.02</v>
      </c>
      <c r="T38" s="676">
        <f t="shared" si="3"/>
        <v>704.44</v>
      </c>
      <c r="U38" s="689">
        <v>6919.77</v>
      </c>
      <c r="V38" s="689">
        <v>7836.73</v>
      </c>
      <c r="W38" s="689"/>
      <c r="X38" s="689"/>
      <c r="Y38" s="676">
        <f t="shared" si="4"/>
        <v>6919.77</v>
      </c>
      <c r="Z38" s="676">
        <f t="shared" si="5"/>
        <v>7836.73</v>
      </c>
      <c r="AA38" s="632">
        <v>73897.53</v>
      </c>
      <c r="AB38" s="632">
        <v>69420.25</v>
      </c>
      <c r="AC38" s="632"/>
      <c r="AD38" s="632"/>
      <c r="AE38" s="591">
        <f t="shared" si="6"/>
        <v>73897.53</v>
      </c>
      <c r="AF38" s="591">
        <f t="shared" si="7"/>
        <v>69420.25</v>
      </c>
      <c r="AG38" s="632">
        <v>1992.31</v>
      </c>
      <c r="AH38" s="632">
        <v>1852.67</v>
      </c>
      <c r="AI38" s="628">
        <f t="shared" si="8"/>
        <v>83431.63</v>
      </c>
      <c r="AJ38" s="628">
        <f t="shared" si="9"/>
        <v>79814.09</v>
      </c>
      <c r="AK38" s="1497">
        <f t="shared" si="10"/>
        <v>87973.427819516743</v>
      </c>
      <c r="AL38" s="632"/>
      <c r="AM38" s="592">
        <f t="shared" si="11"/>
        <v>932.87416644302823</v>
      </c>
      <c r="AN38" s="592">
        <f t="shared" si="12"/>
        <v>947.58230798237355</v>
      </c>
      <c r="AO38" s="592">
        <v>2705.64</v>
      </c>
      <c r="AP38" s="1343"/>
      <c r="AQ38" s="592">
        <f t="shared" si="13"/>
        <v>219.15858945887905</v>
      </c>
      <c r="AR38" s="592">
        <f t="shared" si="14"/>
        <v>330.91906933628894</v>
      </c>
      <c r="AS38" s="592">
        <f t="shared" si="15"/>
        <v>2175.3830171782884</v>
      </c>
      <c r="AT38" s="592">
        <f t="shared" si="16"/>
        <v>22566.6611494879</v>
      </c>
      <c r="AU38" s="592">
        <f t="shared" si="17"/>
        <v>14024.588870465026</v>
      </c>
      <c r="AV38" s="592"/>
      <c r="AW38" s="592">
        <f t="shared" ref="AW38" si="33">743484.83/16358.47*H38</f>
        <v>29504.019155996859</v>
      </c>
      <c r="AX38" s="592"/>
      <c r="AY38" s="1487">
        <f t="shared" si="19"/>
        <v>73406.826326348644</v>
      </c>
      <c r="AZ38" s="592"/>
      <c r="BA38" s="592"/>
      <c r="BB38" s="592"/>
      <c r="BC38" s="592"/>
      <c r="BD38" s="1499">
        <f t="shared" si="22"/>
        <v>0</v>
      </c>
      <c r="BE38" s="522"/>
      <c r="BF38" s="522">
        <f t="shared" si="23"/>
        <v>1035.8501014355008</v>
      </c>
      <c r="BG38" s="522">
        <f t="shared" si="24"/>
        <v>13530.751391732607</v>
      </c>
      <c r="BH38" s="522">
        <f t="shared" si="25"/>
        <v>-4541.7978195167379</v>
      </c>
      <c r="BI38" s="522">
        <f t="shared" si="26"/>
        <v>95.664066493726651</v>
      </c>
      <c r="BJ38" s="522">
        <f t="shared" si="27"/>
        <v>11.293238931788357</v>
      </c>
      <c r="BK38" s="522">
        <f t="shared" si="28"/>
        <v>3617.5400000000081</v>
      </c>
      <c r="BL38" s="522">
        <v>10.76</v>
      </c>
      <c r="BM38" s="522"/>
      <c r="BN38" s="1489"/>
      <c r="BO38" s="1489"/>
      <c r="BP38" s="1489"/>
      <c r="BQ38" s="1489"/>
      <c r="BR38" s="1489"/>
      <c r="BS38" s="1489"/>
      <c r="BT38" s="35"/>
      <c r="BU38" s="66"/>
      <c r="BV38" s="66"/>
      <c r="BW38" s="66"/>
      <c r="BX38" s="35"/>
      <c r="BY38" s="35"/>
      <c r="BZ38" s="67"/>
      <c r="CA38" s="67"/>
      <c r="CB38" s="67"/>
      <c r="CC38" s="68"/>
      <c r="CD38" s="67"/>
      <c r="CE38" s="68"/>
      <c r="CF38" s="67"/>
      <c r="CG38" s="130"/>
      <c r="CH38" s="35"/>
      <c r="CI38" s="30"/>
    </row>
    <row r="39" spans="1:87" s="34" customFormat="1" x14ac:dyDescent="0.25">
      <c r="A39" s="1796"/>
      <c r="B39" s="1796"/>
      <c r="C39" s="1797" t="s">
        <v>89</v>
      </c>
      <c r="D39" s="815"/>
      <c r="E39" s="1656">
        <f t="shared" ref="E39:BK39" si="34">SUM(E8:E38)</f>
        <v>53</v>
      </c>
      <c r="F39" s="1656">
        <f t="shared" si="34"/>
        <v>337</v>
      </c>
      <c r="G39" s="1656">
        <f t="shared" si="34"/>
        <v>1035</v>
      </c>
      <c r="H39" s="1656">
        <f t="shared" si="34"/>
        <v>17476.130000000005</v>
      </c>
      <c r="I39" s="1656">
        <f t="shared" si="34"/>
        <v>199938.83</v>
      </c>
      <c r="J39" s="1656">
        <f t="shared" si="34"/>
        <v>240518.34000000003</v>
      </c>
      <c r="K39" s="1656">
        <f t="shared" si="34"/>
        <v>11866.16</v>
      </c>
      <c r="L39" s="1656">
        <f t="shared" si="34"/>
        <v>11866.16</v>
      </c>
      <c r="M39" s="1656">
        <f t="shared" si="34"/>
        <v>211804.99000000002</v>
      </c>
      <c r="N39" s="1656">
        <f t="shared" si="34"/>
        <v>252384.5</v>
      </c>
      <c r="O39" s="1656">
        <f t="shared" si="34"/>
        <v>15922.519999999999</v>
      </c>
      <c r="P39" s="1656">
        <f t="shared" si="34"/>
        <v>21079.279999999999</v>
      </c>
      <c r="Q39" s="1656">
        <f t="shared" si="34"/>
        <v>790.43</v>
      </c>
      <c r="R39" s="1656">
        <f t="shared" si="34"/>
        <v>790.43</v>
      </c>
      <c r="S39" s="1656">
        <f t="shared" si="34"/>
        <v>16712.95</v>
      </c>
      <c r="T39" s="1656">
        <f t="shared" si="34"/>
        <v>21869.709999999992</v>
      </c>
      <c r="U39" s="1656">
        <f t="shared" si="34"/>
        <v>469004.29000000004</v>
      </c>
      <c r="V39" s="1656">
        <f t="shared" si="34"/>
        <v>205725.36999999997</v>
      </c>
      <c r="W39" s="1656">
        <f t="shared" si="34"/>
        <v>7730.4100000000008</v>
      </c>
      <c r="X39" s="1656">
        <f t="shared" si="34"/>
        <v>7730.4100000000008</v>
      </c>
      <c r="Y39" s="1656">
        <f t="shared" si="34"/>
        <v>476734.7</v>
      </c>
      <c r="Z39" s="1656">
        <f t="shared" si="34"/>
        <v>213455.77999999994</v>
      </c>
      <c r="AA39" s="1418">
        <f t="shared" si="34"/>
        <v>2217042.0699999994</v>
      </c>
      <c r="AB39" s="1418">
        <f t="shared" si="34"/>
        <v>1991782.7400000002</v>
      </c>
      <c r="AC39" s="1418">
        <f t="shared" si="34"/>
        <v>43495.930000000008</v>
      </c>
      <c r="AD39" s="1418">
        <f t="shared" si="34"/>
        <v>43495.930000000008</v>
      </c>
      <c r="AE39" s="1418">
        <f t="shared" si="34"/>
        <v>2260538</v>
      </c>
      <c r="AF39" s="1418">
        <f t="shared" si="34"/>
        <v>2035278.67</v>
      </c>
      <c r="AG39" s="1418">
        <f t="shared" si="34"/>
        <v>70303.37000000001</v>
      </c>
      <c r="AH39" s="1418">
        <f t="shared" si="34"/>
        <v>59287.839999999997</v>
      </c>
      <c r="AI39" s="1661">
        <f t="shared" si="34"/>
        <v>3036094.0100000002</v>
      </c>
      <c r="AJ39" s="1661">
        <f t="shared" si="34"/>
        <v>2582276.4999999991</v>
      </c>
      <c r="AK39" s="1661">
        <f t="shared" si="34"/>
        <v>2727260.4100000011</v>
      </c>
      <c r="AL39" s="1426">
        <f t="shared" si="34"/>
        <v>16374.79</v>
      </c>
      <c r="AM39" s="1662">
        <f t="shared" si="34"/>
        <v>25114.040000000012</v>
      </c>
      <c r="AN39" s="1662">
        <f t="shared" si="34"/>
        <v>25510.000000000004</v>
      </c>
      <c r="AO39" s="1662">
        <f t="shared" si="34"/>
        <v>79129.960000000006</v>
      </c>
      <c r="AP39" s="1662">
        <f t="shared" si="34"/>
        <v>5297.7000000000007</v>
      </c>
      <c r="AQ39" s="1662">
        <f t="shared" si="34"/>
        <v>5900.0000000000018</v>
      </c>
      <c r="AR39" s="1662">
        <f t="shared" si="34"/>
        <v>8908.720000000003</v>
      </c>
      <c r="AS39" s="1662">
        <f t="shared" si="34"/>
        <v>58563.799999999996</v>
      </c>
      <c r="AT39" s="1662">
        <f t="shared" si="34"/>
        <v>607520.33999999985</v>
      </c>
      <c r="AU39" s="1662">
        <f t="shared" si="34"/>
        <v>377557.97999999986</v>
      </c>
      <c r="AV39" s="1662">
        <f t="shared" si="34"/>
        <v>1600</v>
      </c>
      <c r="AW39" s="1662">
        <f t="shared" si="34"/>
        <v>743484.83</v>
      </c>
      <c r="AX39" s="1662"/>
      <c r="AY39" s="1663">
        <f t="shared" si="34"/>
        <v>1954962.1599999997</v>
      </c>
      <c r="AZ39" s="1662">
        <f t="shared" si="34"/>
        <v>3591.2</v>
      </c>
      <c r="BA39" s="1662">
        <f t="shared" si="34"/>
        <v>3373.07</v>
      </c>
      <c r="BB39" s="1662">
        <f t="shared" si="34"/>
        <v>373184.40000000008</v>
      </c>
      <c r="BC39" s="1662">
        <f t="shared" si="34"/>
        <v>0</v>
      </c>
      <c r="BD39" s="1664">
        <f t="shared" si="34"/>
        <v>380148.67000000004</v>
      </c>
      <c r="BE39" s="1641">
        <f t="shared" si="34"/>
        <v>0</v>
      </c>
      <c r="BF39" s="1641">
        <f t="shared" si="34"/>
        <v>27886.269999999997</v>
      </c>
      <c r="BG39" s="1641">
        <f t="shared" si="34"/>
        <v>364263.31</v>
      </c>
      <c r="BH39" s="1641">
        <f t="shared" si="34"/>
        <v>308833.60000000009</v>
      </c>
      <c r="BI39" s="1894">
        <f t="shared" si="26"/>
        <v>85.05258702447091</v>
      </c>
      <c r="BJ39" s="1894">
        <f t="shared" si="27"/>
        <v>13.004692734222814</v>
      </c>
      <c r="BK39" s="1641">
        <f t="shared" si="34"/>
        <v>453817.50999999989</v>
      </c>
      <c r="BL39" s="1641"/>
      <c r="BM39" s="1641"/>
      <c r="BN39" s="1489"/>
      <c r="BO39" s="1489"/>
      <c r="BP39" s="1489"/>
      <c r="BQ39" s="1489"/>
      <c r="BR39" s="1489"/>
      <c r="BS39" s="1489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127"/>
      <c r="CH39" s="83"/>
      <c r="CI39" s="86"/>
    </row>
    <row r="40" spans="1:87" x14ac:dyDescent="0.25">
      <c r="C40" s="816"/>
      <c r="D40" s="816"/>
      <c r="E40" s="816"/>
      <c r="F40" s="816"/>
      <c r="G40" s="1659"/>
      <c r="H40" s="1659"/>
      <c r="I40" s="1659" t="s">
        <v>180</v>
      </c>
      <c r="J40" s="1659" t="s">
        <v>180</v>
      </c>
      <c r="K40" s="1659"/>
      <c r="L40" s="1659"/>
      <c r="M40" s="1659"/>
      <c r="N40" s="1659"/>
      <c r="O40" s="1659" t="s">
        <v>180</v>
      </c>
      <c r="P40" s="1659"/>
      <c r="Q40" s="1659"/>
      <c r="R40" s="1659"/>
      <c r="S40" s="1659"/>
      <c r="T40" s="1659"/>
      <c r="U40" s="1659" t="s">
        <v>180</v>
      </c>
      <c r="V40" s="1659"/>
      <c r="W40" s="1659"/>
      <c r="X40" s="1659"/>
      <c r="Y40" s="1659"/>
      <c r="Z40" s="1659"/>
      <c r="AA40" s="1659" t="s">
        <v>180</v>
      </c>
      <c r="AB40" s="1659"/>
      <c r="AC40" s="1659"/>
      <c r="AD40" s="1659"/>
      <c r="AE40" s="1659"/>
      <c r="AF40" s="1659"/>
      <c r="AG40" s="1659" t="s">
        <v>180</v>
      </c>
      <c r="AH40" s="1659"/>
      <c r="AI40" s="1888" t="s">
        <v>880</v>
      </c>
      <c r="AJ40" s="1659"/>
      <c r="AK40" s="816" t="s">
        <v>180</v>
      </c>
      <c r="AL40" s="818"/>
      <c r="AM40" s="819"/>
      <c r="AN40" s="819"/>
      <c r="AO40" s="816" t="s">
        <v>180</v>
      </c>
      <c r="AP40" s="816" t="s">
        <v>180</v>
      </c>
      <c r="AQ40" s="816" t="s">
        <v>180</v>
      </c>
      <c r="AR40" s="816" t="s">
        <v>180</v>
      </c>
      <c r="AS40" s="816" t="s">
        <v>180</v>
      </c>
      <c r="AT40" s="816" t="s">
        <v>180</v>
      </c>
      <c r="AU40" s="816"/>
      <c r="AV40" s="816" t="s">
        <v>180</v>
      </c>
      <c r="AW40" s="820" t="s">
        <v>180</v>
      </c>
      <c r="AX40" s="816"/>
      <c r="AY40" s="816" t="s">
        <v>180</v>
      </c>
      <c r="AZ40" s="1799">
        <f>AZ39+BA39</f>
        <v>6964.27</v>
      </c>
      <c r="BA40" s="816"/>
      <c r="BB40" s="816"/>
      <c r="BC40" s="816"/>
      <c r="BD40" s="816"/>
      <c r="BE40" s="816"/>
      <c r="BF40" s="816"/>
      <c r="BG40" s="816"/>
      <c r="BH40" s="816"/>
      <c r="BI40" s="816"/>
      <c r="BJ40" s="816"/>
      <c r="BK40" s="816"/>
      <c r="BL40" s="816"/>
      <c r="BM40" s="816"/>
      <c r="BN40" s="1489"/>
      <c r="BO40" s="1489"/>
      <c r="BP40" s="1489"/>
      <c r="BQ40" s="1489"/>
      <c r="BR40" s="1489"/>
      <c r="BS40" s="1489"/>
      <c r="BT40" s="9"/>
      <c r="BU40" s="9"/>
      <c r="BV40" s="9"/>
      <c r="BW40" s="9"/>
      <c r="BX40" s="9"/>
      <c r="BY40" s="86"/>
      <c r="BZ40" s="9"/>
      <c r="CA40" s="9"/>
      <c r="CB40" s="9"/>
      <c r="CC40" s="9"/>
      <c r="CD40" s="9"/>
      <c r="CE40" s="9"/>
      <c r="CF40" s="9"/>
      <c r="CG40" s="128"/>
      <c r="CH40" s="9"/>
      <c r="CI40" s="9"/>
    </row>
    <row r="41" spans="1:87" x14ac:dyDescent="0.25">
      <c r="C41" s="1800" t="s">
        <v>849</v>
      </c>
      <c r="D41" s="1801"/>
      <c r="E41" s="1801"/>
      <c r="F41" s="1801"/>
      <c r="G41" s="1802"/>
      <c r="H41" s="1803">
        <f>H39-H18-H19-H20-H21-H25-H26-H27-H28-H29-H30-H31-H32-H33-H34-H35-H36-H37</f>
        <v>16358.470000000005</v>
      </c>
      <c r="I41" s="534"/>
      <c r="J41" s="534"/>
      <c r="K41" s="534"/>
      <c r="L41" s="534"/>
      <c r="M41" s="534"/>
      <c r="N41" s="534"/>
      <c r="O41" s="534"/>
      <c r="P41" s="534"/>
      <c r="Q41" s="534"/>
      <c r="R41" s="534"/>
      <c r="S41" s="534"/>
      <c r="T41" s="534"/>
      <c r="U41" s="534"/>
      <c r="V41" s="534"/>
      <c r="W41" s="534"/>
      <c r="X41" s="534"/>
      <c r="Y41" s="534"/>
      <c r="Z41" s="534"/>
      <c r="AA41" s="534"/>
      <c r="AB41" s="534"/>
      <c r="AC41" s="534"/>
      <c r="AD41" s="534"/>
      <c r="AE41" s="534"/>
      <c r="AF41" s="534"/>
      <c r="AG41" s="534"/>
      <c r="AH41" s="534"/>
      <c r="AI41" s="534"/>
      <c r="AJ41" s="534"/>
      <c r="AK41" s="816"/>
      <c r="AL41" s="1486">
        <f>AL39+AM39+AN39</f>
        <v>66998.830000000016</v>
      </c>
      <c r="AM41" s="1790"/>
      <c r="AN41" s="823"/>
      <c r="AO41" s="823"/>
      <c r="AP41" s="816"/>
      <c r="AQ41" s="816"/>
      <c r="AR41" s="816"/>
      <c r="AS41" s="816"/>
      <c r="AT41" s="816"/>
      <c r="AU41" s="816"/>
      <c r="AV41" s="816"/>
      <c r="AW41" s="1486"/>
      <c r="AX41" s="816"/>
      <c r="AY41" s="816"/>
      <c r="AZ41" s="816"/>
      <c r="BA41" s="816"/>
      <c r="BB41" s="1486"/>
      <c r="BC41" s="816"/>
      <c r="BD41" s="816"/>
      <c r="BE41" s="816"/>
      <c r="BF41" s="816"/>
      <c r="BG41" s="816"/>
      <c r="BH41" s="816"/>
      <c r="BI41" s="816"/>
      <c r="BJ41" s="816"/>
      <c r="BK41" s="816"/>
      <c r="BL41" s="816"/>
      <c r="BM41" s="816"/>
      <c r="BN41" s="816"/>
      <c r="BO41" s="532"/>
      <c r="BP41" s="532"/>
      <c r="BQ41" s="9"/>
      <c r="BR41" s="9"/>
      <c r="BS41" s="9"/>
      <c r="BT41" s="9"/>
      <c r="BU41" s="9"/>
      <c r="BV41" s="9"/>
      <c r="BW41" s="9"/>
      <c r="BX41" s="9"/>
      <c r="BY41" s="86"/>
      <c r="BZ41" s="9"/>
      <c r="CA41" s="9"/>
      <c r="CB41" s="9"/>
      <c r="CC41" s="9"/>
      <c r="CD41" s="9"/>
      <c r="CE41" s="9"/>
      <c r="CF41" s="9"/>
      <c r="CG41" s="128"/>
      <c r="CH41" s="9"/>
      <c r="CI41" s="9"/>
    </row>
    <row r="42" spans="1:87" ht="15" customHeight="1" x14ac:dyDescent="0.25">
      <c r="C42" s="1804" t="s">
        <v>850</v>
      </c>
      <c r="D42" s="1805"/>
      <c r="E42" s="1805"/>
      <c r="F42" s="1805"/>
      <c r="G42" s="1802"/>
      <c r="H42" s="1803">
        <f>H8+H9+H10+H11+H12+H13+H14+H15+H16+H17+H22+H23+H24</f>
        <v>15709.310000000001</v>
      </c>
      <c r="I42" s="534"/>
      <c r="J42" s="534"/>
      <c r="K42" s="534"/>
      <c r="L42" s="534"/>
      <c r="M42" s="534"/>
      <c r="N42" s="534"/>
      <c r="O42" s="534"/>
      <c r="P42" s="534"/>
      <c r="Q42" s="534"/>
      <c r="R42" s="534"/>
      <c r="S42" s="534"/>
      <c r="T42" s="534"/>
      <c r="U42" s="534"/>
      <c r="V42" s="534"/>
      <c r="W42" s="534"/>
      <c r="X42" s="534"/>
      <c r="Y42" s="534"/>
      <c r="Z42" s="534"/>
      <c r="AA42" s="534"/>
      <c r="AB42" s="534"/>
      <c r="AC42" s="534"/>
      <c r="AD42" s="534"/>
      <c r="AE42" s="534"/>
      <c r="AF42" s="534"/>
      <c r="AG42" s="534"/>
      <c r="AH42" s="534"/>
      <c r="AI42" s="534"/>
      <c r="AJ42" s="534"/>
      <c r="AK42" s="1571"/>
      <c r="AL42" s="1571"/>
      <c r="AM42" s="1571"/>
      <c r="AN42" s="1571"/>
      <c r="AO42" s="816"/>
      <c r="AP42" s="816"/>
      <c r="AQ42" s="816"/>
      <c r="AR42" s="816"/>
      <c r="AS42" s="816"/>
      <c r="AT42" s="816"/>
      <c r="AU42" s="816"/>
      <c r="AV42" s="816"/>
      <c r="AW42" s="816"/>
      <c r="AX42" s="816"/>
      <c r="AY42" s="816"/>
      <c r="AZ42" s="816"/>
      <c r="BA42" s="816"/>
      <c r="BB42" s="816"/>
      <c r="BC42" s="816"/>
      <c r="BD42" s="816"/>
      <c r="BE42" s="816"/>
      <c r="BF42" s="816"/>
      <c r="BG42" s="816"/>
      <c r="BH42" s="816"/>
      <c r="BI42" s="816"/>
      <c r="BJ42" s="816"/>
      <c r="BK42" s="816"/>
      <c r="BL42" s="816"/>
      <c r="BM42" s="816"/>
      <c r="BN42" s="816"/>
      <c r="BO42" s="532"/>
      <c r="BP42" s="532"/>
      <c r="BQ42" s="9"/>
      <c r="BR42" s="9"/>
      <c r="BS42" s="9"/>
      <c r="BT42" s="9"/>
      <c r="BU42" s="9"/>
      <c r="BV42" s="9"/>
      <c r="BW42" s="9"/>
      <c r="BX42" s="9"/>
      <c r="BY42" s="86"/>
      <c r="BZ42" s="9"/>
      <c r="CA42" s="9"/>
      <c r="CB42" s="9"/>
      <c r="CC42" s="9"/>
      <c r="CD42" s="9"/>
      <c r="CE42" s="9"/>
      <c r="CF42" s="9"/>
      <c r="CG42" s="128"/>
      <c r="CH42" s="9"/>
      <c r="CI42" s="9"/>
    </row>
    <row r="43" spans="1:87" ht="18" customHeight="1" x14ac:dyDescent="0.25">
      <c r="A43" s="9"/>
      <c r="B43" s="9"/>
      <c r="C43" s="1571"/>
      <c r="D43" s="1571"/>
      <c r="E43" s="1571"/>
      <c r="F43" s="1571"/>
      <c r="G43" s="1571"/>
      <c r="H43" s="1571"/>
      <c r="I43" s="1571"/>
      <c r="J43" s="1571"/>
      <c r="K43" s="1571"/>
      <c r="L43" s="1571"/>
      <c r="M43" s="1571"/>
      <c r="N43" s="1571"/>
      <c r="O43" s="1571"/>
      <c r="P43" s="1571"/>
      <c r="Q43" s="1571"/>
      <c r="R43" s="1571"/>
      <c r="S43" s="1571"/>
      <c r="T43" s="1571"/>
      <c r="U43" s="1571"/>
      <c r="V43" s="1571"/>
      <c r="W43" s="1571"/>
      <c r="X43" s="1571"/>
      <c r="Y43" s="1571"/>
      <c r="Z43" s="1571"/>
      <c r="AA43" s="1571"/>
      <c r="AB43" s="1571"/>
      <c r="AC43" s="1571"/>
      <c r="AD43" s="1571"/>
      <c r="AE43" s="1571"/>
      <c r="AF43" s="1571"/>
      <c r="AG43" s="1571"/>
      <c r="AH43" s="1571"/>
      <c r="AI43" s="1571"/>
      <c r="AJ43" s="1571"/>
      <c r="AK43" s="1571"/>
      <c r="AL43" s="1571"/>
      <c r="AM43" s="1571"/>
      <c r="AN43" s="1571"/>
      <c r="AO43" s="816"/>
      <c r="AP43" s="816"/>
      <c r="AQ43" s="816"/>
      <c r="AR43" s="816"/>
      <c r="AS43" s="816"/>
      <c r="AT43" s="816"/>
      <c r="AU43" s="816"/>
      <c r="AV43" s="816"/>
      <c r="AW43" s="816"/>
      <c r="AX43" s="816"/>
      <c r="AY43" s="816"/>
      <c r="AZ43" s="816"/>
      <c r="BA43" s="816"/>
      <c r="BB43" s="816"/>
      <c r="BC43" s="816"/>
      <c r="BD43" s="816"/>
      <c r="BE43" s="816"/>
      <c r="BF43" s="816"/>
      <c r="BG43" s="816"/>
      <c r="BH43" s="816"/>
      <c r="BI43" s="816"/>
      <c r="BJ43" s="816"/>
      <c r="BK43" s="816"/>
      <c r="BL43" s="816"/>
      <c r="BM43" s="816"/>
      <c r="BN43" s="816"/>
      <c r="BO43" s="532"/>
      <c r="BP43" s="532"/>
      <c r="BQ43" s="9"/>
      <c r="BR43" s="9"/>
      <c r="BS43" s="9"/>
      <c r="BT43" s="9"/>
      <c r="BU43" s="9"/>
      <c r="BV43" s="9"/>
      <c r="BW43" s="9"/>
      <c r="BX43" s="9"/>
      <c r="BY43" s="86"/>
      <c r="BZ43" s="9"/>
      <c r="CA43" s="9"/>
      <c r="CB43" s="9"/>
      <c r="CC43" s="9"/>
      <c r="CD43" s="9"/>
      <c r="CE43" s="9"/>
      <c r="CF43" s="9"/>
      <c r="CG43" s="128"/>
      <c r="CH43" s="9"/>
      <c r="CI43" s="9"/>
    </row>
    <row r="44" spans="1:87" ht="18.75" customHeight="1" x14ac:dyDescent="0.3">
      <c r="C44" s="1571"/>
      <c r="D44" s="1571"/>
      <c r="E44" s="1571"/>
      <c r="F44" s="1571"/>
      <c r="G44" s="1571"/>
      <c r="H44" s="1657" t="s">
        <v>795</v>
      </c>
      <c r="I44" s="1657"/>
      <c r="J44" s="1657"/>
      <c r="K44" s="1657"/>
      <c r="L44" s="1657"/>
      <c r="M44" s="1657"/>
      <c r="N44" s="1657"/>
      <c r="O44" s="1657"/>
      <c r="P44" s="1657"/>
      <c r="Q44" s="1657"/>
      <c r="R44" s="1657"/>
      <c r="S44" s="1657"/>
      <c r="T44" s="1657"/>
      <c r="U44" s="1657"/>
      <c r="V44" s="1657"/>
      <c r="W44" s="1657"/>
      <c r="X44" s="1657"/>
      <c r="Y44" s="1657"/>
      <c r="Z44" s="1657"/>
      <c r="AA44" s="1571"/>
      <c r="AB44" s="1571"/>
      <c r="AC44" s="1571"/>
      <c r="AD44" s="1571"/>
      <c r="AE44" s="1571"/>
      <c r="AF44" s="1571"/>
      <c r="AG44" s="1571"/>
      <c r="AH44" s="1571"/>
      <c r="AI44" s="1571"/>
      <c r="AJ44" s="1571"/>
      <c r="AK44" s="1571"/>
      <c r="AL44" s="1571"/>
      <c r="AM44" s="1571"/>
      <c r="AN44" s="1571"/>
      <c r="AO44" s="816"/>
      <c r="AP44" s="816"/>
      <c r="AQ44" s="816"/>
      <c r="AR44" s="816"/>
      <c r="AS44" s="816"/>
      <c r="AT44" s="816"/>
      <c r="AU44" s="816"/>
      <c r="AV44" s="816"/>
      <c r="AW44" s="816"/>
      <c r="AX44" s="816"/>
      <c r="AY44" s="816"/>
      <c r="AZ44" s="816"/>
      <c r="BA44" s="816"/>
      <c r="BB44" s="816"/>
      <c r="BC44" s="816"/>
      <c r="BD44" s="816"/>
      <c r="BE44" s="816"/>
      <c r="BF44" s="816"/>
      <c r="BG44" s="816"/>
      <c r="BH44" s="816"/>
      <c r="BI44" s="816"/>
      <c r="BJ44" s="816"/>
      <c r="BK44" s="816"/>
      <c r="BL44" s="816"/>
      <c r="BM44" s="816"/>
      <c r="BN44" s="816"/>
      <c r="BO44" s="532"/>
      <c r="BP44" s="532"/>
    </row>
    <row r="45" spans="1:87" ht="21.75" customHeight="1" x14ac:dyDescent="0.25">
      <c r="C45" s="1571"/>
      <c r="D45" s="1571"/>
      <c r="E45" s="1571"/>
      <c r="F45" s="1571"/>
      <c r="G45" s="1571"/>
      <c r="H45" s="1571"/>
      <c r="I45" s="1571"/>
      <c r="J45" s="1571"/>
      <c r="K45" s="1571"/>
      <c r="L45" s="1571"/>
      <c r="M45" s="1571"/>
      <c r="N45" s="1571"/>
      <c r="O45" s="1571"/>
      <c r="P45" s="1571"/>
      <c r="Q45" s="1571"/>
      <c r="R45" s="1571"/>
      <c r="S45" s="1571"/>
      <c r="T45" s="1571"/>
      <c r="U45" s="1571"/>
      <c r="V45" s="1571"/>
      <c r="W45" s="1571"/>
      <c r="X45" s="1571"/>
      <c r="Y45" s="1571"/>
      <c r="Z45" s="1571"/>
      <c r="AA45" s="1571"/>
      <c r="AB45" s="1571"/>
      <c r="AC45" s="1913"/>
      <c r="AD45" s="1913"/>
      <c r="AE45" s="1913"/>
      <c r="AF45" s="1913"/>
      <c r="AG45" s="1913"/>
      <c r="AH45" s="1913"/>
      <c r="AI45" s="1913"/>
      <c r="AJ45" s="1913"/>
      <c r="AK45" s="1913"/>
      <c r="AL45" s="1913"/>
      <c r="AM45" s="1913"/>
      <c r="AN45" s="1913"/>
      <c r="AO45" s="1913"/>
      <c r="AP45" s="1913"/>
      <c r="AQ45" s="1913"/>
      <c r="AR45" s="1913"/>
      <c r="AS45" s="1913"/>
      <c r="AT45" s="1913"/>
      <c r="AU45" s="1913"/>
      <c r="AV45" s="1913"/>
      <c r="AW45" s="1913"/>
      <c r="AX45" s="1913"/>
      <c r="AY45" s="1913"/>
      <c r="AZ45" s="1913"/>
      <c r="BA45" s="1913"/>
      <c r="BB45" s="1913"/>
      <c r="BC45" s="1913"/>
      <c r="BD45" s="1913"/>
      <c r="BE45" s="1913"/>
      <c r="BF45" s="1913"/>
      <c r="BG45" s="1913"/>
      <c r="BH45" s="1913"/>
      <c r="BI45" s="1913"/>
      <c r="BJ45" s="1913"/>
      <c r="BK45" s="1913"/>
      <c r="BL45" s="1913"/>
      <c r="BM45" s="1913"/>
      <c r="BN45" s="1913"/>
      <c r="BO45" s="1913"/>
      <c r="BP45" s="1913"/>
      <c r="BQ45" s="1913"/>
      <c r="BR45" s="1913"/>
      <c r="BS45" s="1913"/>
      <c r="BT45" s="1913"/>
      <c r="BU45" s="1648"/>
      <c r="BV45" s="1648"/>
      <c r="BW45" s="1648"/>
      <c r="BX45" s="1648"/>
      <c r="BY45" s="78"/>
      <c r="BZ45" s="1648"/>
      <c r="CA45" s="1649"/>
      <c r="CB45" s="1649"/>
      <c r="CC45" s="2192"/>
      <c r="CD45" s="2192"/>
      <c r="CE45" s="2192"/>
      <c r="CF45" s="2192"/>
      <c r="CG45" s="1646"/>
      <c r="CH45" s="1647"/>
    </row>
    <row r="46" spans="1:87" s="124" customFormat="1" ht="18" x14ac:dyDescent="0.25">
      <c r="A46"/>
      <c r="B46"/>
      <c r="C46" s="825"/>
      <c r="D46" s="825"/>
      <c r="E46" s="825"/>
      <c r="F46" s="825"/>
      <c r="G46" s="825"/>
      <c r="H46" s="825"/>
      <c r="I46" s="825"/>
      <c r="J46" s="825"/>
      <c r="K46" s="825"/>
      <c r="L46" s="825"/>
      <c r="M46" s="825"/>
      <c r="N46" s="825"/>
      <c r="O46" s="1571"/>
      <c r="P46" s="1571"/>
      <c r="Q46" s="1571"/>
      <c r="R46" s="1571"/>
      <c r="S46" s="1571"/>
      <c r="T46" s="1571"/>
      <c r="U46" s="1571"/>
      <c r="V46" s="1571"/>
      <c r="W46" s="1571"/>
      <c r="X46" s="1571"/>
      <c r="Y46" s="1571"/>
      <c r="Z46" s="1571"/>
      <c r="AA46" s="1571"/>
      <c r="AB46" s="1571"/>
      <c r="AC46" s="1913"/>
      <c r="AD46" s="1913"/>
      <c r="AE46" s="1913"/>
      <c r="AF46" s="1913"/>
      <c r="AG46" s="1913"/>
      <c r="AH46" s="1913"/>
      <c r="AI46" s="1913"/>
      <c r="AJ46" s="1913"/>
      <c r="AK46" s="1913"/>
      <c r="AL46" s="1913"/>
      <c r="AM46" s="1913"/>
      <c r="AN46" s="1913"/>
      <c r="AO46" s="1913"/>
      <c r="AP46" s="1913"/>
      <c r="AQ46" s="1913"/>
      <c r="AR46" s="1913"/>
      <c r="AS46" s="1913"/>
      <c r="AT46" s="1913"/>
      <c r="AU46" s="1913"/>
      <c r="AV46" s="1913"/>
      <c r="AW46" s="1913"/>
      <c r="AX46" s="1913"/>
      <c r="AY46" s="1913"/>
      <c r="AZ46" s="1913"/>
      <c r="BA46" s="1913"/>
      <c r="BB46" s="1913"/>
      <c r="BC46" s="1913"/>
      <c r="BD46" s="1913"/>
      <c r="BE46" s="1913"/>
      <c r="BF46" s="1913"/>
      <c r="BG46" s="1913"/>
      <c r="BH46" s="1913"/>
      <c r="BI46" s="1913"/>
      <c r="BJ46" s="1913"/>
      <c r="BK46" s="1913"/>
      <c r="BL46" s="1913"/>
      <c r="BM46" s="1913"/>
      <c r="BN46" s="1913"/>
      <c r="BO46" s="1913"/>
      <c r="BP46" s="1913"/>
      <c r="BQ46" s="1913"/>
      <c r="BR46" s="1913"/>
      <c r="BS46" s="1913"/>
      <c r="BT46" s="1913"/>
      <c r="BU46" s="66"/>
      <c r="BV46" s="66"/>
      <c r="BW46" s="66"/>
      <c r="BX46" s="30"/>
      <c r="BY46" s="35"/>
      <c r="BZ46" s="30"/>
      <c r="CA46" s="67"/>
      <c r="CB46" s="67"/>
      <c r="CC46" s="68"/>
      <c r="CD46" s="67"/>
      <c r="CE46" s="68"/>
      <c r="CF46" s="67"/>
      <c r="CG46" s="126"/>
      <c r="CH46" s="35"/>
    </row>
    <row r="47" spans="1:87" s="124" customFormat="1" ht="27.75" customHeight="1" x14ac:dyDescent="0.25">
      <c r="A47" s="2017" t="s">
        <v>0</v>
      </c>
      <c r="B47" s="2020"/>
      <c r="C47" s="2197" t="s">
        <v>184</v>
      </c>
      <c r="D47" s="2197" t="s">
        <v>54</v>
      </c>
      <c r="E47" s="2197" t="s">
        <v>55</v>
      </c>
      <c r="F47" s="2197" t="s">
        <v>56</v>
      </c>
      <c r="G47" s="2197" t="s">
        <v>57</v>
      </c>
      <c r="H47" s="2197" t="s">
        <v>6</v>
      </c>
      <c r="I47" s="1730"/>
      <c r="J47" s="1730"/>
      <c r="K47" s="2220"/>
      <c r="L47" s="2221"/>
      <c r="M47" s="2218" t="s">
        <v>881</v>
      </c>
      <c r="N47" s="2219"/>
      <c r="O47" s="1991" t="s">
        <v>284</v>
      </c>
      <c r="P47" s="1992"/>
      <c r="Q47" s="2097" t="s">
        <v>873</v>
      </c>
      <c r="R47" s="2060"/>
      <c r="S47" s="1882"/>
      <c r="T47" s="1882"/>
      <c r="U47" s="2138" t="s">
        <v>746</v>
      </c>
      <c r="V47" s="2138" t="s">
        <v>912</v>
      </c>
      <c r="W47" s="2138" t="s">
        <v>375</v>
      </c>
      <c r="X47" s="2138" t="s">
        <v>314</v>
      </c>
      <c r="Y47" s="2142" t="s">
        <v>735</v>
      </c>
      <c r="Z47" s="2154" t="s">
        <v>724</v>
      </c>
      <c r="AA47" s="2149" t="s">
        <v>566</v>
      </c>
      <c r="AB47" s="2151" t="s">
        <v>716</v>
      </c>
      <c r="AC47" s="1913"/>
      <c r="AD47" s="1913"/>
      <c r="AE47" s="1913"/>
      <c r="AF47" s="1913"/>
      <c r="AG47" s="1913"/>
      <c r="AH47" s="1913"/>
      <c r="AI47" s="1913"/>
      <c r="AJ47" s="1913"/>
      <c r="AK47" s="1913"/>
      <c r="AL47" s="1913"/>
      <c r="AM47" s="1913"/>
      <c r="AN47" s="1913"/>
      <c r="AO47" s="1913"/>
      <c r="AP47" s="1913"/>
      <c r="AQ47" s="1913"/>
      <c r="AR47" s="1913"/>
      <c r="AS47" s="1913"/>
      <c r="AT47" s="1913"/>
      <c r="AU47" s="1913"/>
      <c r="AV47" s="1913"/>
      <c r="AW47" s="1913"/>
      <c r="AX47" s="1913"/>
      <c r="AY47" s="1913"/>
      <c r="AZ47" s="1913"/>
      <c r="BA47" s="1913"/>
      <c r="BB47" s="1913"/>
      <c r="BC47" s="1913"/>
      <c r="BD47" s="1913"/>
      <c r="BE47" s="1913"/>
      <c r="BF47" s="1913"/>
      <c r="BG47" s="1913"/>
      <c r="BH47" s="1913"/>
      <c r="BI47" s="1913"/>
      <c r="BJ47" s="1913"/>
      <c r="BK47" s="1913"/>
      <c r="BL47" s="1913"/>
      <c r="BM47" s="1913"/>
      <c r="BN47" s="1913"/>
      <c r="BO47" s="1913"/>
      <c r="BP47" s="1913"/>
      <c r="BQ47" s="1913"/>
      <c r="BR47" s="1913"/>
      <c r="BS47" s="1913"/>
      <c r="BT47" s="1913"/>
      <c r="BU47" s="66"/>
      <c r="BV47" s="66"/>
      <c r="BW47" s="66"/>
      <c r="BX47" s="30"/>
      <c r="BY47" s="35"/>
      <c r="BZ47" s="30"/>
      <c r="CA47" s="67"/>
      <c r="CB47" s="67"/>
      <c r="CC47" s="68"/>
      <c r="CD47" s="67"/>
      <c r="CE47" s="68"/>
      <c r="CF47" s="67"/>
      <c r="CG47" s="126"/>
      <c r="CH47" s="35"/>
    </row>
    <row r="48" spans="1:87" s="124" customFormat="1" ht="64.5" customHeight="1" x14ac:dyDescent="0.25">
      <c r="A48" s="2017"/>
      <c r="B48" s="2021"/>
      <c r="C48" s="2197"/>
      <c r="D48" s="2197"/>
      <c r="E48" s="2197"/>
      <c r="F48" s="2197"/>
      <c r="G48" s="2197"/>
      <c r="H48" s="2197"/>
      <c r="I48" s="1731"/>
      <c r="J48" s="1731"/>
      <c r="K48" s="1643"/>
      <c r="L48" s="1644"/>
      <c r="M48" s="150" t="s">
        <v>15</v>
      </c>
      <c r="N48" s="1883" t="s">
        <v>16</v>
      </c>
      <c r="O48" s="150" t="s">
        <v>15</v>
      </c>
      <c r="P48" s="1645" t="s">
        <v>16</v>
      </c>
      <c r="Q48" s="150" t="s">
        <v>15</v>
      </c>
      <c r="R48" s="1883" t="s">
        <v>16</v>
      </c>
      <c r="S48" s="1881"/>
      <c r="T48" s="1881"/>
      <c r="U48" s="2139"/>
      <c r="V48" s="2139"/>
      <c r="W48" s="2139"/>
      <c r="X48" s="2139"/>
      <c r="Y48" s="2143"/>
      <c r="Z48" s="2155"/>
      <c r="AA48" s="2150"/>
      <c r="AB48" s="2152"/>
      <c r="AC48" s="1913"/>
      <c r="AD48" s="1913"/>
      <c r="AE48" s="1913"/>
      <c r="AF48" s="1913"/>
      <c r="AG48" s="1913"/>
      <c r="AH48" s="1913"/>
      <c r="AI48" s="1913"/>
      <c r="AJ48" s="1913"/>
      <c r="AK48" s="1913"/>
      <c r="AL48" s="1913"/>
      <c r="AM48" s="1913"/>
      <c r="AN48" s="1913"/>
      <c r="AO48" s="1913"/>
      <c r="AP48" s="1913"/>
      <c r="AQ48" s="1913"/>
      <c r="AR48" s="1913"/>
      <c r="AS48" s="1913"/>
      <c r="AT48" s="1913"/>
      <c r="AU48" s="1913"/>
      <c r="AV48" s="1913"/>
      <c r="AW48" s="1913"/>
      <c r="AX48" s="1913"/>
      <c r="AY48" s="1913"/>
      <c r="AZ48" s="1913"/>
      <c r="BA48" s="1913"/>
      <c r="BB48" s="1913"/>
      <c r="BC48" s="1913"/>
      <c r="BD48" s="1913"/>
      <c r="BE48" s="1913"/>
      <c r="BF48" s="1913"/>
      <c r="BG48" s="1913"/>
      <c r="BH48" s="1913"/>
      <c r="BI48" s="1913"/>
      <c r="BJ48" s="1913"/>
      <c r="BK48" s="1913"/>
      <c r="BL48" s="1913"/>
      <c r="BM48" s="1913"/>
      <c r="BN48" s="1913"/>
      <c r="BO48" s="1913"/>
      <c r="BP48" s="1913"/>
      <c r="BQ48" s="1913"/>
      <c r="BR48" s="1913"/>
      <c r="BS48" s="1913"/>
      <c r="BT48" s="1913"/>
      <c r="BU48" s="66"/>
      <c r="BV48" s="66"/>
      <c r="BW48" s="66"/>
      <c r="BX48" s="30"/>
      <c r="BY48" s="35"/>
      <c r="BZ48" s="30"/>
      <c r="CA48" s="67"/>
      <c r="CB48" s="67"/>
      <c r="CC48" s="68"/>
      <c r="CD48" s="67"/>
      <c r="CE48" s="68"/>
      <c r="CF48" s="67"/>
      <c r="CG48" s="126"/>
      <c r="CH48" s="35"/>
    </row>
    <row r="49" spans="1:86" s="124" customFormat="1" ht="15" customHeight="1" x14ac:dyDescent="0.25">
      <c r="A49" s="16">
        <v>1</v>
      </c>
      <c r="B49" s="574">
        <v>42491</v>
      </c>
      <c r="C49" s="424" t="s">
        <v>58</v>
      </c>
      <c r="D49" s="675">
        <v>1976</v>
      </c>
      <c r="E49" s="675">
        <v>3</v>
      </c>
      <c r="F49" s="675">
        <v>24</v>
      </c>
      <c r="G49" s="675">
        <v>97</v>
      </c>
      <c r="H49" s="676">
        <v>1461.2</v>
      </c>
      <c r="I49" s="1732"/>
      <c r="J49" s="1732"/>
      <c r="K49" s="1732"/>
      <c r="L49" s="1732"/>
      <c r="M49" s="676">
        <v>2122.17</v>
      </c>
      <c r="N49" s="676">
        <v>2122.17</v>
      </c>
      <c r="O49" s="1668">
        <f>94222.91</f>
        <v>94222.91</v>
      </c>
      <c r="P49" s="1668">
        <v>84275.08</v>
      </c>
      <c r="Q49" s="1668">
        <f>M49+O49</f>
        <v>96345.08</v>
      </c>
      <c r="R49" s="1668">
        <f>N49+P49</f>
        <v>86397.25</v>
      </c>
      <c r="S49" s="1890"/>
      <c r="T49" s="1890"/>
      <c r="U49" s="1787">
        <f>V49+W49+X49</f>
        <v>698.61</v>
      </c>
      <c r="V49" s="1787"/>
      <c r="W49" s="1787"/>
      <c r="X49" s="1787">
        <v>698.61</v>
      </c>
      <c r="Y49" s="1787">
        <f>Q49-U49</f>
        <v>95646.47</v>
      </c>
      <c r="Z49" s="1787">
        <f>R49/Q49*100</f>
        <v>89.674791904267451</v>
      </c>
      <c r="AA49" s="1787">
        <f>Q49-R49</f>
        <v>9947.8300000000017</v>
      </c>
      <c r="AB49" s="1668">
        <v>5.5</v>
      </c>
      <c r="AC49" s="1913"/>
      <c r="AD49" s="1913"/>
      <c r="AE49" s="1913"/>
      <c r="AF49" s="1913"/>
      <c r="AG49" s="1913"/>
      <c r="AH49" s="1913"/>
      <c r="AI49" s="1913"/>
      <c r="AJ49" s="1913"/>
      <c r="AK49" s="1913"/>
      <c r="AL49" s="1913"/>
      <c r="AM49" s="1913"/>
      <c r="AN49" s="1913"/>
      <c r="AO49" s="1913"/>
      <c r="AP49" s="1913"/>
      <c r="AQ49" s="1913"/>
      <c r="AR49" s="1913"/>
      <c r="AS49" s="1913"/>
      <c r="AT49" s="1913"/>
      <c r="AU49" s="1913"/>
      <c r="AV49" s="1913"/>
      <c r="AW49" s="1913"/>
      <c r="AX49" s="1913"/>
      <c r="AY49" s="1913"/>
      <c r="AZ49" s="1913"/>
      <c r="BA49" s="1913"/>
      <c r="BB49" s="1913"/>
      <c r="BC49" s="1913"/>
      <c r="BD49" s="1913"/>
      <c r="BE49" s="1913"/>
      <c r="BF49" s="1913"/>
      <c r="BG49" s="1913"/>
      <c r="BH49" s="1913"/>
      <c r="BI49" s="1913"/>
      <c r="BJ49" s="1913"/>
      <c r="BK49" s="1913"/>
      <c r="BL49" s="1913"/>
      <c r="BM49" s="1913"/>
      <c r="BN49" s="1913"/>
      <c r="BO49" s="1913"/>
      <c r="BP49" s="1913"/>
      <c r="BQ49" s="1913"/>
      <c r="BR49" s="1913"/>
      <c r="BS49" s="1913"/>
      <c r="BT49" s="1913"/>
      <c r="BU49" s="66"/>
      <c r="BV49" s="66"/>
      <c r="BW49" s="66"/>
      <c r="BX49" s="30"/>
      <c r="BY49" s="35"/>
      <c r="BZ49" s="30"/>
      <c r="CA49" s="67"/>
      <c r="CB49" s="67"/>
      <c r="CC49" s="68"/>
      <c r="CD49" s="67"/>
      <c r="CE49" s="68"/>
      <c r="CF49" s="67"/>
      <c r="CG49" s="126"/>
      <c r="CH49" s="35"/>
    </row>
    <row r="50" spans="1:86" s="124" customFormat="1" ht="15" customHeight="1" x14ac:dyDescent="0.25">
      <c r="A50" s="16">
        <v>2</v>
      </c>
      <c r="B50" s="16"/>
      <c r="C50" s="424" t="s">
        <v>59</v>
      </c>
      <c r="D50" s="675">
        <v>1977</v>
      </c>
      <c r="E50" s="675">
        <v>3</v>
      </c>
      <c r="F50" s="675">
        <v>24</v>
      </c>
      <c r="G50" s="675">
        <v>81</v>
      </c>
      <c r="H50" s="676">
        <v>1456.7</v>
      </c>
      <c r="I50" s="1732"/>
      <c r="J50" s="1732"/>
      <c r="K50" s="1732"/>
      <c r="L50" s="1732"/>
      <c r="M50" s="676">
        <v>1118</v>
      </c>
      <c r="N50" s="676">
        <v>1118</v>
      </c>
      <c r="O50" s="1668">
        <f>95024.4</f>
        <v>95024.4</v>
      </c>
      <c r="P50" s="1668">
        <v>96099.95</v>
      </c>
      <c r="Q50" s="1668">
        <f t="shared" ref="Q50:Q62" si="35">M50+O50</f>
        <v>96142.399999999994</v>
      </c>
      <c r="R50" s="1668">
        <f t="shared" ref="R50:R62" si="36">N50+P50</f>
        <v>97217.95</v>
      </c>
      <c r="S50" s="1890"/>
      <c r="T50" s="1890"/>
      <c r="U50" s="1787">
        <f t="shared" ref="U50:U62" si="37">V50+W50+X50</f>
        <v>91852.02</v>
      </c>
      <c r="V50" s="1787"/>
      <c r="W50" s="1787">
        <v>86030.27</v>
      </c>
      <c r="X50" s="1787">
        <v>5821.75</v>
      </c>
      <c r="Y50" s="1787">
        <f t="shared" ref="Y50:Y62" si="38">Q50-U50</f>
        <v>4290.3799999999901</v>
      </c>
      <c r="Z50" s="1787">
        <f t="shared" ref="Z50:Z63" si="39">R50/Q50*100</f>
        <v>101.11870517066353</v>
      </c>
      <c r="AA50" s="1787">
        <f t="shared" ref="AA50:AA63" si="40">Q50-R50</f>
        <v>-1075.5500000000029</v>
      </c>
      <c r="AB50" s="1668">
        <v>5.5</v>
      </c>
      <c r="AC50" s="1913"/>
      <c r="AD50" s="1913"/>
      <c r="AE50" s="1913"/>
      <c r="AF50" s="1913"/>
      <c r="AG50" s="1913"/>
      <c r="AH50" s="1913"/>
      <c r="AI50" s="1913"/>
      <c r="AJ50" s="1913"/>
      <c r="AK50" s="1913"/>
      <c r="AL50" s="1913"/>
      <c r="AM50" s="1913"/>
      <c r="AN50" s="1913"/>
      <c r="AO50" s="1913"/>
      <c r="AP50" s="1913"/>
      <c r="AQ50" s="1913"/>
      <c r="AR50" s="1913"/>
      <c r="AS50" s="1913"/>
      <c r="AT50" s="1913"/>
      <c r="AU50" s="1913"/>
      <c r="AV50" s="1913"/>
      <c r="AW50" s="1913"/>
      <c r="AX50" s="1913"/>
      <c r="AY50" s="1913"/>
      <c r="AZ50" s="1913"/>
      <c r="BA50" s="1913"/>
      <c r="BB50" s="1913"/>
      <c r="BC50" s="1913"/>
      <c r="BD50" s="1913"/>
      <c r="BE50" s="1913"/>
      <c r="BF50" s="1913"/>
      <c r="BG50" s="1913"/>
      <c r="BH50" s="1913"/>
      <c r="BI50" s="1913"/>
      <c r="BJ50" s="1913"/>
      <c r="BK50" s="1913"/>
      <c r="BL50" s="1913"/>
      <c r="BM50" s="1913"/>
      <c r="BN50" s="1913"/>
      <c r="BO50" s="1913"/>
      <c r="BP50" s="1913"/>
      <c r="BQ50" s="1913"/>
      <c r="BR50" s="1913"/>
      <c r="BS50" s="1913"/>
      <c r="BT50" s="1913"/>
      <c r="BU50" s="66"/>
      <c r="BV50" s="66"/>
      <c r="BW50" s="66"/>
      <c r="BX50" s="30"/>
      <c r="BY50" s="35"/>
      <c r="BZ50" s="30"/>
      <c r="CA50" s="67"/>
      <c r="CB50" s="67"/>
      <c r="CC50" s="68"/>
      <c r="CD50" s="67"/>
      <c r="CE50" s="68"/>
      <c r="CF50" s="67"/>
      <c r="CG50" s="126"/>
      <c r="CH50" s="35"/>
    </row>
    <row r="51" spans="1:86" s="124" customFormat="1" ht="15" customHeight="1" x14ac:dyDescent="0.25">
      <c r="A51" s="16">
        <v>3</v>
      </c>
      <c r="B51" s="16"/>
      <c r="C51" s="424" t="s">
        <v>60</v>
      </c>
      <c r="D51" s="675">
        <v>1972</v>
      </c>
      <c r="E51" s="675">
        <v>2</v>
      </c>
      <c r="F51" s="675">
        <v>18</v>
      </c>
      <c r="G51" s="675">
        <v>57</v>
      </c>
      <c r="H51" s="676">
        <v>776.8</v>
      </c>
      <c r="I51" s="1732"/>
      <c r="J51" s="1732"/>
      <c r="K51" s="1732"/>
      <c r="L51" s="1732"/>
      <c r="M51" s="676">
        <v>1751.5</v>
      </c>
      <c r="N51" s="676">
        <v>1751.5</v>
      </c>
      <c r="O51" s="1668">
        <f>49517.42</f>
        <v>49517.42</v>
      </c>
      <c r="P51" s="1668">
        <v>47368.29</v>
      </c>
      <c r="Q51" s="1668">
        <f t="shared" si="35"/>
        <v>51268.92</v>
      </c>
      <c r="R51" s="1668">
        <f t="shared" si="36"/>
        <v>49119.79</v>
      </c>
      <c r="S51" s="1890"/>
      <c r="T51" s="1890"/>
      <c r="U51" s="1787">
        <f t="shared" si="37"/>
        <v>1547.54</v>
      </c>
      <c r="V51" s="1787">
        <v>1081.8</v>
      </c>
      <c r="W51" s="1787"/>
      <c r="X51" s="1787">
        <v>465.74</v>
      </c>
      <c r="Y51" s="1787">
        <f t="shared" si="38"/>
        <v>49721.38</v>
      </c>
      <c r="Z51" s="1787">
        <f t="shared" si="39"/>
        <v>95.808123128008162</v>
      </c>
      <c r="AA51" s="1787">
        <f t="shared" si="40"/>
        <v>2149.1299999999974</v>
      </c>
      <c r="AB51" s="1668">
        <v>5.5</v>
      </c>
      <c r="AC51" s="1913"/>
      <c r="AD51" s="1913"/>
      <c r="AE51" s="1913"/>
      <c r="AF51" s="1913"/>
      <c r="AG51" s="1913"/>
      <c r="AH51" s="1913"/>
      <c r="AI51" s="1913"/>
      <c r="AJ51" s="1913"/>
      <c r="AK51" s="1913"/>
      <c r="AL51" s="1913"/>
      <c r="AM51" s="1913"/>
      <c r="AN51" s="1913"/>
      <c r="AO51" s="1913"/>
      <c r="AP51" s="1913"/>
      <c r="AQ51" s="1913"/>
      <c r="AR51" s="1913"/>
      <c r="AS51" s="1913"/>
      <c r="AT51" s="1913"/>
      <c r="AU51" s="1913"/>
      <c r="AV51" s="1913"/>
      <c r="AW51" s="1913"/>
      <c r="AX51" s="1913"/>
      <c r="AY51" s="1913"/>
      <c r="AZ51" s="1913"/>
      <c r="BA51" s="1913"/>
      <c r="BB51" s="1913"/>
      <c r="BC51" s="1913"/>
      <c r="BD51" s="1913"/>
      <c r="BE51" s="1913"/>
      <c r="BF51" s="1913"/>
      <c r="BG51" s="1913"/>
      <c r="BH51" s="1913"/>
      <c r="BI51" s="1913"/>
      <c r="BJ51" s="1913"/>
      <c r="BK51" s="1913"/>
      <c r="BL51" s="1913"/>
      <c r="BM51" s="1913"/>
      <c r="BN51" s="1913"/>
      <c r="BO51" s="1913"/>
      <c r="BP51" s="1913"/>
      <c r="BQ51" s="1913"/>
      <c r="BR51" s="1913"/>
      <c r="BS51" s="1913"/>
      <c r="BT51" s="1913"/>
      <c r="BU51" s="66"/>
      <c r="BV51" s="66"/>
      <c r="BW51" s="66"/>
      <c r="BX51" s="30"/>
      <c r="BY51" s="35"/>
      <c r="BZ51" s="30"/>
      <c r="CA51" s="67"/>
      <c r="CB51" s="67"/>
      <c r="CC51" s="68"/>
      <c r="CD51" s="67"/>
      <c r="CE51" s="68"/>
      <c r="CF51" s="67"/>
      <c r="CG51" s="126"/>
      <c r="CH51" s="35"/>
    </row>
    <row r="52" spans="1:86" s="124" customFormat="1" ht="15" customHeight="1" x14ac:dyDescent="0.25">
      <c r="A52" s="16">
        <v>4</v>
      </c>
      <c r="B52" s="16"/>
      <c r="C52" s="424" t="s">
        <v>318</v>
      </c>
      <c r="D52" s="675">
        <v>1973</v>
      </c>
      <c r="E52" s="675">
        <v>2</v>
      </c>
      <c r="F52" s="675">
        <v>18</v>
      </c>
      <c r="G52" s="675">
        <v>49</v>
      </c>
      <c r="H52" s="676">
        <v>773.51</v>
      </c>
      <c r="I52" s="1732"/>
      <c r="J52" s="1732"/>
      <c r="K52" s="1732"/>
      <c r="L52" s="1732"/>
      <c r="M52" s="676">
        <v>645.12</v>
      </c>
      <c r="N52" s="676">
        <v>645.12</v>
      </c>
      <c r="O52" s="1668">
        <f>50466</f>
        <v>50466</v>
      </c>
      <c r="P52" s="1668">
        <v>52058.02</v>
      </c>
      <c r="Q52" s="1668">
        <f t="shared" si="35"/>
        <v>51111.12</v>
      </c>
      <c r="R52" s="1668">
        <f t="shared" si="36"/>
        <v>52703.14</v>
      </c>
      <c r="S52" s="1890"/>
      <c r="T52" s="1890"/>
      <c r="U52" s="1787">
        <f t="shared" si="37"/>
        <v>465.74</v>
      </c>
      <c r="V52" s="1787"/>
      <c r="W52" s="1787"/>
      <c r="X52" s="1787">
        <v>465.74</v>
      </c>
      <c r="Y52" s="1787">
        <f t="shared" si="38"/>
        <v>50645.380000000005</v>
      </c>
      <c r="Z52" s="1787">
        <f t="shared" si="39"/>
        <v>103.11482119742239</v>
      </c>
      <c r="AA52" s="1787">
        <f t="shared" si="40"/>
        <v>-1592.0199999999968</v>
      </c>
      <c r="AB52" s="1668">
        <v>5.5</v>
      </c>
      <c r="AC52" s="1913"/>
      <c r="AD52" s="1913"/>
      <c r="AE52" s="1913"/>
      <c r="AF52" s="1913"/>
      <c r="AG52" s="1913"/>
      <c r="AH52" s="1913"/>
      <c r="AI52" s="1913"/>
      <c r="AJ52" s="1913"/>
      <c r="AK52" s="1913"/>
      <c r="AL52" s="1913"/>
      <c r="AM52" s="1913"/>
      <c r="AN52" s="1913"/>
      <c r="AO52" s="1913"/>
      <c r="AP52" s="1913"/>
      <c r="AQ52" s="1913"/>
      <c r="AR52" s="1913"/>
      <c r="AS52" s="1913"/>
      <c r="AT52" s="1913"/>
      <c r="AU52" s="1913"/>
      <c r="AV52" s="1913"/>
      <c r="AW52" s="1913"/>
      <c r="AX52" s="1913"/>
      <c r="AY52" s="1913"/>
      <c r="AZ52" s="1913"/>
      <c r="BA52" s="1913"/>
      <c r="BB52" s="1913"/>
      <c r="BC52" s="1913"/>
      <c r="BD52" s="1913"/>
      <c r="BE52" s="1913"/>
      <c r="BF52" s="1913"/>
      <c r="BG52" s="1913"/>
      <c r="BH52" s="1913"/>
      <c r="BI52" s="1913"/>
      <c r="BJ52" s="1913"/>
      <c r="BK52" s="1913"/>
      <c r="BL52" s="1913"/>
      <c r="BM52" s="1913"/>
      <c r="BN52" s="1913"/>
      <c r="BO52" s="1913"/>
      <c r="BP52" s="1913"/>
      <c r="BQ52" s="1913"/>
      <c r="BR52" s="1913"/>
      <c r="BS52" s="1913"/>
      <c r="BT52" s="1913"/>
      <c r="BU52" s="66"/>
      <c r="BV52" s="66"/>
      <c r="BW52" s="66"/>
      <c r="BX52" s="30"/>
      <c r="BY52" s="35"/>
      <c r="BZ52" s="30"/>
      <c r="CA52" s="67"/>
      <c r="CB52" s="67"/>
      <c r="CC52" s="68"/>
      <c r="CD52" s="67"/>
      <c r="CE52" s="68"/>
      <c r="CF52" s="67"/>
      <c r="CG52" s="126"/>
      <c r="CH52" s="35"/>
    </row>
    <row r="53" spans="1:86" s="124" customFormat="1" ht="15" customHeight="1" x14ac:dyDescent="0.25">
      <c r="A53" s="16">
        <v>5</v>
      </c>
      <c r="B53" s="16"/>
      <c r="C53" s="424" t="s">
        <v>62</v>
      </c>
      <c r="D53" s="675">
        <v>1980</v>
      </c>
      <c r="E53" s="675">
        <v>3</v>
      </c>
      <c r="F53" s="675">
        <v>36</v>
      </c>
      <c r="G53" s="675">
        <v>93</v>
      </c>
      <c r="H53" s="676">
        <v>1799.9</v>
      </c>
      <c r="I53" s="1732"/>
      <c r="J53" s="1732"/>
      <c r="K53" s="1732"/>
      <c r="L53" s="1732"/>
      <c r="M53" s="676">
        <v>2802.8</v>
      </c>
      <c r="N53" s="676">
        <v>2802.8</v>
      </c>
      <c r="O53" s="1668">
        <f>115858.6</f>
        <v>115858.6</v>
      </c>
      <c r="P53" s="1668">
        <v>116609.58</v>
      </c>
      <c r="Q53" s="1668">
        <f t="shared" si="35"/>
        <v>118661.40000000001</v>
      </c>
      <c r="R53" s="1668">
        <f t="shared" si="36"/>
        <v>119412.38</v>
      </c>
      <c r="S53" s="1890"/>
      <c r="T53" s="1890"/>
      <c r="U53" s="1787">
        <f t="shared" si="37"/>
        <v>0</v>
      </c>
      <c r="V53" s="1787"/>
      <c r="W53" s="1787"/>
      <c r="X53" s="1787"/>
      <c r="Y53" s="1787">
        <f t="shared" si="38"/>
        <v>118661.40000000001</v>
      </c>
      <c r="Z53" s="1787">
        <f t="shared" si="39"/>
        <v>100.63287640294148</v>
      </c>
      <c r="AA53" s="1787">
        <f t="shared" si="40"/>
        <v>-750.97999999999593</v>
      </c>
      <c r="AB53" s="1668">
        <v>5.5</v>
      </c>
      <c r="AC53" s="1913"/>
      <c r="AD53" s="1913"/>
      <c r="AE53" s="1913"/>
      <c r="AF53" s="1913"/>
      <c r="AG53" s="1913"/>
      <c r="AH53" s="1913"/>
      <c r="AI53" s="1913"/>
      <c r="AJ53" s="1913"/>
      <c r="AK53" s="1913"/>
      <c r="AL53" s="1913"/>
      <c r="AM53" s="1913"/>
      <c r="AN53" s="1913"/>
      <c r="AO53" s="1913"/>
      <c r="AP53" s="1913"/>
      <c r="AQ53" s="1913"/>
      <c r="AR53" s="1913"/>
      <c r="AS53" s="1913"/>
      <c r="AT53" s="1913"/>
      <c r="AU53" s="1913"/>
      <c r="AV53" s="1913"/>
      <c r="AW53" s="1913"/>
      <c r="AX53" s="1913"/>
      <c r="AY53" s="1913"/>
      <c r="AZ53" s="1913"/>
      <c r="BA53" s="1913"/>
      <c r="BB53" s="1913"/>
      <c r="BC53" s="1913"/>
      <c r="BD53" s="1913"/>
      <c r="BE53" s="1913"/>
      <c r="BF53" s="1913"/>
      <c r="BG53" s="1913"/>
      <c r="BH53" s="1913"/>
      <c r="BI53" s="1913"/>
      <c r="BJ53" s="1913"/>
      <c r="BK53" s="1913"/>
      <c r="BL53" s="1913"/>
      <c r="BM53" s="1913"/>
      <c r="BN53" s="1913"/>
      <c r="BO53" s="1913"/>
      <c r="BP53" s="1913"/>
      <c r="BQ53" s="1913"/>
      <c r="BR53" s="1913"/>
      <c r="BS53" s="1913"/>
      <c r="BT53" s="1913"/>
      <c r="BU53" s="66"/>
      <c r="BV53" s="66"/>
      <c r="BW53" s="66"/>
      <c r="BX53" s="30"/>
      <c r="BY53" s="35"/>
      <c r="BZ53" s="30"/>
      <c r="CA53" s="67"/>
      <c r="CB53" s="67"/>
      <c r="CC53" s="68"/>
      <c r="CD53" s="67"/>
      <c r="CE53" s="68"/>
      <c r="CF53" s="67"/>
      <c r="CG53" s="126"/>
      <c r="CH53" s="35"/>
    </row>
    <row r="54" spans="1:86" s="124" customFormat="1" ht="15" customHeight="1" x14ac:dyDescent="0.25">
      <c r="A54" s="16">
        <v>6</v>
      </c>
      <c r="B54" s="16"/>
      <c r="C54" s="424" t="s">
        <v>63</v>
      </c>
      <c r="D54" s="675">
        <v>1982</v>
      </c>
      <c r="E54" s="675">
        <v>3</v>
      </c>
      <c r="F54" s="675">
        <v>24</v>
      </c>
      <c r="G54" s="675">
        <v>84</v>
      </c>
      <c r="H54" s="676">
        <v>1454.5</v>
      </c>
      <c r="I54" s="1732"/>
      <c r="J54" s="1732"/>
      <c r="K54" s="1732"/>
      <c r="L54" s="1732"/>
      <c r="M54" s="676">
        <v>2492</v>
      </c>
      <c r="N54" s="676">
        <v>2492</v>
      </c>
      <c r="O54" s="1668">
        <f>93485.32</f>
        <v>93485.32</v>
      </c>
      <c r="P54" s="1668">
        <v>80993.45</v>
      </c>
      <c r="Q54" s="1668">
        <f t="shared" si="35"/>
        <v>95977.32</v>
      </c>
      <c r="R54" s="1668">
        <f t="shared" si="36"/>
        <v>83485.45</v>
      </c>
      <c r="S54" s="1890"/>
      <c r="T54" s="1890"/>
      <c r="U54" s="1787">
        <f t="shared" si="37"/>
        <v>86680.17</v>
      </c>
      <c r="V54" s="1787"/>
      <c r="W54" s="1787">
        <v>82022.77</v>
      </c>
      <c r="X54" s="1787">
        <v>4657.3999999999996</v>
      </c>
      <c r="Y54" s="1787">
        <f t="shared" si="38"/>
        <v>9297.1500000000087</v>
      </c>
      <c r="Z54" s="1787">
        <f t="shared" si="39"/>
        <v>86.9845605190893</v>
      </c>
      <c r="AA54" s="1787">
        <f t="shared" si="40"/>
        <v>12491.87000000001</v>
      </c>
      <c r="AB54" s="1668">
        <v>5.5</v>
      </c>
      <c r="AC54" s="1913"/>
      <c r="AD54" s="1913"/>
      <c r="AE54" s="1913"/>
      <c r="AF54" s="1913"/>
      <c r="AG54" s="1913"/>
      <c r="AH54" s="1913"/>
      <c r="AI54" s="1913"/>
      <c r="AJ54" s="1913"/>
      <c r="AK54" s="1913"/>
      <c r="AL54" s="1913"/>
      <c r="AM54" s="1913"/>
      <c r="AN54" s="1913"/>
      <c r="AO54" s="1913"/>
      <c r="AP54" s="1913"/>
      <c r="AQ54" s="1913"/>
      <c r="AR54" s="1913"/>
      <c r="AS54" s="1913"/>
      <c r="AT54" s="1913"/>
      <c r="AU54" s="1913"/>
      <c r="AV54" s="1913"/>
      <c r="AW54" s="1913"/>
      <c r="AX54" s="1913"/>
      <c r="AY54" s="1913"/>
      <c r="AZ54" s="1913"/>
      <c r="BA54" s="1913"/>
      <c r="BB54" s="1913"/>
      <c r="BC54" s="1913"/>
      <c r="BD54" s="1913"/>
      <c r="BE54" s="1913"/>
      <c r="BF54" s="1913"/>
      <c r="BG54" s="1913"/>
      <c r="BH54" s="1913"/>
      <c r="BI54" s="1913"/>
      <c r="BJ54" s="1913"/>
      <c r="BK54" s="1913"/>
      <c r="BL54" s="1913"/>
      <c r="BM54" s="1913"/>
      <c r="BN54" s="1913"/>
      <c r="BO54" s="1913"/>
      <c r="BP54" s="1913"/>
      <c r="BQ54" s="1913"/>
      <c r="BR54" s="1913"/>
      <c r="BS54" s="1913"/>
      <c r="BT54" s="1913"/>
      <c r="BU54" s="66"/>
      <c r="BV54" s="66"/>
      <c r="BW54" s="66"/>
      <c r="BX54" s="30"/>
      <c r="BY54" s="35"/>
      <c r="BZ54" s="30"/>
      <c r="CA54" s="67"/>
      <c r="CB54" s="67"/>
      <c r="CC54" s="68"/>
      <c r="CD54" s="67"/>
      <c r="CE54" s="68"/>
      <c r="CF54" s="67"/>
      <c r="CG54" s="126"/>
      <c r="CH54" s="35"/>
    </row>
    <row r="55" spans="1:86" s="124" customFormat="1" ht="15" customHeight="1" x14ac:dyDescent="0.25">
      <c r="A55" s="16">
        <v>7</v>
      </c>
      <c r="B55" s="16"/>
      <c r="C55" s="424" t="s">
        <v>64</v>
      </c>
      <c r="D55" s="675">
        <v>1982</v>
      </c>
      <c r="E55" s="675">
        <v>3</v>
      </c>
      <c r="F55" s="675">
        <v>24</v>
      </c>
      <c r="G55" s="675">
        <v>95</v>
      </c>
      <c r="H55" s="676">
        <v>1458.3</v>
      </c>
      <c r="I55" s="1732"/>
      <c r="J55" s="1732"/>
      <c r="K55" s="1732"/>
      <c r="L55" s="1732"/>
      <c r="M55" s="676">
        <v>1426</v>
      </c>
      <c r="N55" s="676">
        <v>1426</v>
      </c>
      <c r="O55" s="1668">
        <f>94782.32</f>
        <v>94782.32</v>
      </c>
      <c r="P55" s="1668">
        <v>92288.88</v>
      </c>
      <c r="Q55" s="1668">
        <f t="shared" si="35"/>
        <v>96208.320000000007</v>
      </c>
      <c r="R55" s="1668">
        <f t="shared" si="36"/>
        <v>93714.880000000005</v>
      </c>
      <c r="S55" s="1890"/>
      <c r="T55" s="1890"/>
      <c r="U55" s="1787">
        <f t="shared" si="37"/>
        <v>0</v>
      </c>
      <c r="V55" s="1787"/>
      <c r="W55" s="1787"/>
      <c r="X55" s="1787"/>
      <c r="Y55" s="1787">
        <f t="shared" si="38"/>
        <v>96208.320000000007</v>
      </c>
      <c r="Z55" s="1787">
        <f t="shared" si="39"/>
        <v>97.408290675899963</v>
      </c>
      <c r="AA55" s="1787">
        <f t="shared" si="40"/>
        <v>2493.4400000000023</v>
      </c>
      <c r="AB55" s="1668">
        <v>5.5</v>
      </c>
      <c r="AC55" s="1913"/>
      <c r="AD55" s="1913"/>
      <c r="AE55" s="1913"/>
      <c r="AF55" s="1913"/>
      <c r="AG55" s="1913"/>
      <c r="AH55" s="1913"/>
      <c r="AI55" s="1913"/>
      <c r="AJ55" s="1913"/>
      <c r="AK55" s="1913"/>
      <c r="AL55" s="1913"/>
      <c r="AM55" s="1913"/>
      <c r="AN55" s="1913"/>
      <c r="AO55" s="1913"/>
      <c r="AP55" s="1913"/>
      <c r="AQ55" s="1913"/>
      <c r="AR55" s="1913"/>
      <c r="AS55" s="1913"/>
      <c r="AT55" s="1913"/>
      <c r="AU55" s="1913"/>
      <c r="AV55" s="1913"/>
      <c r="AW55" s="1913"/>
      <c r="AX55" s="1913"/>
      <c r="AY55" s="1913"/>
      <c r="AZ55" s="1913"/>
      <c r="BA55" s="1913"/>
      <c r="BB55" s="1913"/>
      <c r="BC55" s="1913"/>
      <c r="BD55" s="1913"/>
      <c r="BE55" s="1913"/>
      <c r="BF55" s="1913"/>
      <c r="BG55" s="1913"/>
      <c r="BH55" s="1913"/>
      <c r="BI55" s="1913"/>
      <c r="BJ55" s="1913"/>
      <c r="BK55" s="1913"/>
      <c r="BL55" s="1913"/>
      <c r="BM55" s="1913"/>
      <c r="BN55" s="1913"/>
      <c r="BO55" s="1913"/>
      <c r="BP55" s="1913"/>
      <c r="BQ55" s="1913"/>
      <c r="BR55" s="1913"/>
      <c r="BS55" s="1913"/>
      <c r="BT55" s="1913"/>
      <c r="BU55" s="66"/>
      <c r="BV55" s="66"/>
      <c r="BW55" s="66"/>
      <c r="BX55" s="30"/>
      <c r="BY55" s="35"/>
      <c r="BZ55" s="30"/>
      <c r="CA55" s="67"/>
      <c r="CB55" s="67"/>
      <c r="CC55" s="68"/>
      <c r="CD55" s="67"/>
      <c r="CE55" s="68"/>
      <c r="CF55" s="67"/>
      <c r="CG55" s="126"/>
      <c r="CH55" s="35"/>
    </row>
    <row r="56" spans="1:86" s="124" customFormat="1" ht="15" customHeight="1" x14ac:dyDescent="0.25">
      <c r="A56" s="16">
        <v>8</v>
      </c>
      <c r="B56" s="16"/>
      <c r="C56" s="424" t="s">
        <v>65</v>
      </c>
      <c r="D56" s="675">
        <v>1983</v>
      </c>
      <c r="E56" s="675">
        <v>3</v>
      </c>
      <c r="F56" s="675">
        <v>24</v>
      </c>
      <c r="G56" s="675">
        <v>83</v>
      </c>
      <c r="H56" s="676">
        <v>1446.6</v>
      </c>
      <c r="I56" s="1732"/>
      <c r="J56" s="1732"/>
      <c r="K56" s="1732"/>
      <c r="L56" s="1732"/>
      <c r="M56" s="676">
        <v>2747.65</v>
      </c>
      <c r="N56" s="676">
        <v>2747.65</v>
      </c>
      <c r="O56" s="1668">
        <f>92721.35</f>
        <v>92721.35</v>
      </c>
      <c r="P56" s="1668">
        <v>93434.8</v>
      </c>
      <c r="Q56" s="1668">
        <f t="shared" si="35"/>
        <v>95469</v>
      </c>
      <c r="R56" s="1668">
        <f t="shared" si="36"/>
        <v>96182.45</v>
      </c>
      <c r="S56" s="1890"/>
      <c r="T56" s="1890"/>
      <c r="U56" s="1787">
        <f t="shared" si="37"/>
        <v>698.61</v>
      </c>
      <c r="V56" s="1787"/>
      <c r="W56" s="1787"/>
      <c r="X56" s="1787">
        <v>698.61</v>
      </c>
      <c r="Y56" s="1787">
        <f t="shared" si="38"/>
        <v>94770.39</v>
      </c>
      <c r="Z56" s="1787">
        <f t="shared" si="39"/>
        <v>100.74731064534038</v>
      </c>
      <c r="AA56" s="1787">
        <f t="shared" si="40"/>
        <v>-713.44999999999709</v>
      </c>
      <c r="AB56" s="1668">
        <v>5.5</v>
      </c>
      <c r="AC56" s="1913"/>
      <c r="AD56" s="1913"/>
      <c r="AE56" s="1913"/>
      <c r="AF56" s="1913"/>
      <c r="AG56" s="1913"/>
      <c r="AH56" s="1913"/>
      <c r="AI56" s="1913"/>
      <c r="AJ56" s="1913"/>
      <c r="AK56" s="1913"/>
      <c r="AL56" s="1913"/>
      <c r="AM56" s="1913"/>
      <c r="AN56" s="1913"/>
      <c r="AO56" s="1913"/>
      <c r="AP56" s="1913"/>
      <c r="AQ56" s="1913"/>
      <c r="AR56" s="1913"/>
      <c r="AS56" s="1913"/>
      <c r="AT56" s="1913"/>
      <c r="AU56" s="1913"/>
      <c r="AV56" s="1913"/>
      <c r="AW56" s="1913"/>
      <c r="AX56" s="1913"/>
      <c r="AY56" s="1913"/>
      <c r="AZ56" s="1913"/>
      <c r="BA56" s="1913"/>
      <c r="BB56" s="1913"/>
      <c r="BC56" s="1913"/>
      <c r="BD56" s="1913"/>
      <c r="BE56" s="1913"/>
      <c r="BF56" s="1913"/>
      <c r="BG56" s="1913"/>
      <c r="BH56" s="1913"/>
      <c r="BI56" s="1913"/>
      <c r="BJ56" s="1913"/>
      <c r="BK56" s="1913"/>
      <c r="BL56" s="1913"/>
      <c r="BM56" s="1913"/>
      <c r="BN56" s="1913"/>
      <c r="BO56" s="1913"/>
      <c r="BP56" s="1913"/>
      <c r="BQ56" s="1913"/>
      <c r="BR56" s="1913"/>
      <c r="BS56" s="1913"/>
      <c r="BT56" s="1913"/>
      <c r="BU56" s="66"/>
      <c r="BV56" s="66"/>
      <c r="BW56" s="66"/>
      <c r="BX56" s="30"/>
      <c r="BY56" s="35"/>
      <c r="BZ56" s="30"/>
      <c r="CA56" s="67"/>
      <c r="CB56" s="67"/>
      <c r="CC56" s="68"/>
      <c r="CD56" s="67"/>
      <c r="CE56" s="30"/>
      <c r="CF56" s="67"/>
      <c r="CG56" s="126"/>
      <c r="CH56" s="35"/>
    </row>
    <row r="57" spans="1:86" s="124" customFormat="1" ht="15" customHeight="1" x14ac:dyDescent="0.25">
      <c r="A57" s="16">
        <v>9</v>
      </c>
      <c r="B57" s="16"/>
      <c r="C57" s="424" t="s">
        <v>66</v>
      </c>
      <c r="D57" s="675">
        <v>1984</v>
      </c>
      <c r="E57" s="675">
        <v>3</v>
      </c>
      <c r="F57" s="675">
        <v>24</v>
      </c>
      <c r="G57" s="675">
        <v>68</v>
      </c>
      <c r="H57" s="676">
        <v>1448</v>
      </c>
      <c r="I57" s="1732"/>
      <c r="J57" s="1732"/>
      <c r="K57" s="1732"/>
      <c r="L57" s="1732"/>
      <c r="M57" s="676"/>
      <c r="N57" s="676"/>
      <c r="O57" s="1668">
        <v>95568</v>
      </c>
      <c r="P57" s="1668">
        <v>93907.87</v>
      </c>
      <c r="Q57" s="1668">
        <f t="shared" si="35"/>
        <v>95568</v>
      </c>
      <c r="R57" s="1668">
        <f t="shared" si="36"/>
        <v>93907.87</v>
      </c>
      <c r="S57" s="1890"/>
      <c r="T57" s="1890"/>
      <c r="U57" s="1787">
        <f t="shared" si="37"/>
        <v>1164.3499999999999</v>
      </c>
      <c r="V57" s="1787"/>
      <c r="W57" s="1787"/>
      <c r="X57" s="1787">
        <v>1164.3499999999999</v>
      </c>
      <c r="Y57" s="1787">
        <f t="shared" si="38"/>
        <v>94403.65</v>
      </c>
      <c r="Z57" s="1787">
        <f t="shared" si="39"/>
        <v>98.262880880629496</v>
      </c>
      <c r="AA57" s="1787">
        <f t="shared" si="40"/>
        <v>1660.1300000000047</v>
      </c>
      <c r="AB57" s="1668">
        <v>5.5</v>
      </c>
      <c r="AC57" s="1913"/>
      <c r="AD57" s="1913"/>
      <c r="AE57" s="1913"/>
      <c r="AF57" s="1913"/>
      <c r="AG57" s="1913"/>
      <c r="AH57" s="1913"/>
      <c r="AI57" s="1913"/>
      <c r="AJ57" s="1913"/>
      <c r="AK57" s="1913"/>
      <c r="AL57" s="1913"/>
      <c r="AM57" s="1913"/>
      <c r="AN57" s="1913"/>
      <c r="AO57" s="1913"/>
      <c r="AP57" s="1913"/>
      <c r="AQ57" s="1913"/>
      <c r="AR57" s="1913"/>
      <c r="AS57" s="1913"/>
      <c r="AT57" s="1913"/>
      <c r="AU57" s="1913"/>
      <c r="AV57" s="1913"/>
      <c r="AW57" s="1913"/>
      <c r="AX57" s="1913"/>
      <c r="AY57" s="1913"/>
      <c r="AZ57" s="1913"/>
      <c r="BA57" s="1913"/>
      <c r="BB57" s="1913"/>
      <c r="BC57" s="1913"/>
      <c r="BD57" s="1913"/>
      <c r="BE57" s="1913"/>
      <c r="BF57" s="1913"/>
      <c r="BG57" s="1913"/>
      <c r="BH57" s="1913"/>
      <c r="BI57" s="1913"/>
      <c r="BJ57" s="1913"/>
      <c r="BK57" s="1913"/>
      <c r="BL57" s="1913"/>
      <c r="BM57" s="1913"/>
      <c r="BN57" s="1913"/>
      <c r="BO57" s="1913"/>
      <c r="BP57" s="1913"/>
      <c r="BQ57" s="1913"/>
      <c r="BR57" s="1913"/>
      <c r="BS57" s="1913"/>
      <c r="BT57" s="1913"/>
      <c r="BU57" s="66"/>
      <c r="BV57" s="66"/>
      <c r="BW57" s="66"/>
      <c r="BX57" s="30"/>
      <c r="BY57" s="35"/>
      <c r="BZ57" s="30"/>
      <c r="CA57" s="67"/>
      <c r="CB57" s="67"/>
      <c r="CC57" s="68"/>
      <c r="CD57" s="67"/>
      <c r="CE57" s="68"/>
      <c r="CF57" s="67"/>
      <c r="CG57" s="126"/>
      <c r="CH57" s="35"/>
    </row>
    <row r="58" spans="1:86" s="124" customFormat="1" ht="15" customHeight="1" x14ac:dyDescent="0.25">
      <c r="A58" s="16">
        <v>10</v>
      </c>
      <c r="B58" s="16"/>
      <c r="C58" s="424" t="s">
        <v>67</v>
      </c>
      <c r="D58" s="675">
        <v>1987</v>
      </c>
      <c r="E58" s="675">
        <v>3</v>
      </c>
      <c r="F58" s="675">
        <v>27</v>
      </c>
      <c r="G58" s="675">
        <v>82</v>
      </c>
      <c r="H58" s="676">
        <v>1459.2</v>
      </c>
      <c r="I58" s="1732"/>
      <c r="J58" s="1732"/>
      <c r="K58" s="1732"/>
      <c r="L58" s="1732"/>
      <c r="M58" s="676"/>
      <c r="N58" s="676"/>
      <c r="O58" s="1668">
        <v>96365.5</v>
      </c>
      <c r="P58" s="1668">
        <v>93783.679999999993</v>
      </c>
      <c r="Q58" s="1668">
        <f t="shared" si="35"/>
        <v>96365.5</v>
      </c>
      <c r="R58" s="1668">
        <f t="shared" si="36"/>
        <v>93783.679999999993</v>
      </c>
      <c r="S58" s="1890"/>
      <c r="T58" s="1890"/>
      <c r="U58" s="1787">
        <f t="shared" si="37"/>
        <v>1164.3499999999999</v>
      </c>
      <c r="V58" s="1787"/>
      <c r="W58" s="1787"/>
      <c r="X58" s="1787">
        <v>1164.3499999999999</v>
      </c>
      <c r="Y58" s="1787">
        <f t="shared" si="38"/>
        <v>95201.15</v>
      </c>
      <c r="Z58" s="1787">
        <f t="shared" si="39"/>
        <v>97.320804644815823</v>
      </c>
      <c r="AA58" s="1787">
        <f t="shared" si="40"/>
        <v>2581.820000000007</v>
      </c>
      <c r="AB58" s="1668">
        <v>5.5</v>
      </c>
      <c r="AC58" s="1913"/>
      <c r="AD58" s="1913"/>
      <c r="AE58" s="1913"/>
      <c r="AF58" s="1913"/>
      <c r="AG58" s="1913"/>
      <c r="AH58" s="1913"/>
      <c r="AI58" s="1913"/>
      <c r="AJ58" s="1913"/>
      <c r="AK58" s="1913"/>
      <c r="AL58" s="1913"/>
      <c r="AM58" s="1913"/>
      <c r="AN58" s="1913"/>
      <c r="AO58" s="1913"/>
      <c r="AP58" s="1913"/>
      <c r="AQ58" s="1913"/>
      <c r="AR58" s="1913"/>
      <c r="AS58" s="1913"/>
      <c r="AT58" s="1913"/>
      <c r="AU58" s="1913"/>
      <c r="AV58" s="1913"/>
      <c r="AW58" s="1913"/>
      <c r="AX58" s="1913"/>
      <c r="AY58" s="1913"/>
      <c r="AZ58" s="1913"/>
      <c r="BA58" s="1913"/>
      <c r="BB58" s="1913"/>
      <c r="BC58" s="1913"/>
      <c r="BD58" s="1913"/>
      <c r="BE58" s="1913"/>
      <c r="BF58" s="1913"/>
      <c r="BG58" s="1913"/>
      <c r="BH58" s="1913"/>
      <c r="BI58" s="1913"/>
      <c r="BJ58" s="1913"/>
      <c r="BK58" s="1913"/>
      <c r="BL58" s="1913"/>
      <c r="BM58" s="1913"/>
      <c r="BN58" s="1913"/>
      <c r="BO58" s="1913"/>
      <c r="BP58" s="1913"/>
      <c r="BQ58" s="1913"/>
      <c r="BR58" s="1913"/>
      <c r="BS58" s="1913"/>
      <c r="BT58" s="1913"/>
      <c r="BU58" s="66"/>
      <c r="BV58" s="66"/>
      <c r="BW58" s="66"/>
      <c r="BX58" s="30"/>
      <c r="BY58" s="35"/>
      <c r="BZ58" s="30"/>
      <c r="CA58" s="67"/>
      <c r="CB58" s="67"/>
      <c r="CC58" s="68"/>
      <c r="CD58" s="67"/>
      <c r="CE58" s="68"/>
      <c r="CF58" s="67"/>
      <c r="CG58" s="126"/>
      <c r="CH58" s="35"/>
    </row>
    <row r="59" spans="1:86" s="124" customFormat="1" ht="15" customHeight="1" x14ac:dyDescent="0.25">
      <c r="A59" s="16">
        <v>11</v>
      </c>
      <c r="B59" s="16"/>
      <c r="C59" s="424" t="s">
        <v>72</v>
      </c>
      <c r="D59" s="675">
        <v>1968</v>
      </c>
      <c r="E59" s="675">
        <v>2</v>
      </c>
      <c r="F59" s="675">
        <v>16</v>
      </c>
      <c r="G59" s="675">
        <v>36</v>
      </c>
      <c r="H59" s="676">
        <v>722.8</v>
      </c>
      <c r="I59" s="1732"/>
      <c r="J59" s="1732"/>
      <c r="K59" s="1732"/>
      <c r="L59" s="1732"/>
      <c r="M59" s="676">
        <v>2050.3000000000002</v>
      </c>
      <c r="N59" s="676">
        <v>2050.3000000000002</v>
      </c>
      <c r="O59" s="1668">
        <f>45469.82</f>
        <v>45469.82</v>
      </c>
      <c r="P59" s="1668">
        <v>40348.959999999999</v>
      </c>
      <c r="Q59" s="1668">
        <f t="shared" si="35"/>
        <v>47520.12</v>
      </c>
      <c r="R59" s="1668">
        <f t="shared" si="36"/>
        <v>42399.26</v>
      </c>
      <c r="S59" s="1890"/>
      <c r="T59" s="1890"/>
      <c r="U59" s="1787">
        <f t="shared" si="37"/>
        <v>124938.36</v>
      </c>
      <c r="V59" s="1787"/>
      <c r="W59" s="1787">
        <v>124938.36</v>
      </c>
      <c r="X59" s="1787"/>
      <c r="Y59" s="1787">
        <f t="shared" si="38"/>
        <v>-77418.239999999991</v>
      </c>
      <c r="Z59" s="1787">
        <f t="shared" si="39"/>
        <v>89.223806673888873</v>
      </c>
      <c r="AA59" s="1787">
        <f t="shared" si="40"/>
        <v>5120.8600000000006</v>
      </c>
      <c r="AB59" s="1668">
        <v>5.5</v>
      </c>
      <c r="AC59" s="1913"/>
      <c r="AD59" s="1913"/>
      <c r="AE59" s="1913"/>
      <c r="AF59" s="1913"/>
      <c r="AG59" s="1913"/>
      <c r="AH59" s="1913"/>
      <c r="AI59" s="1913"/>
      <c r="AJ59" s="1913"/>
      <c r="AK59" s="1913"/>
      <c r="AL59" s="1913"/>
      <c r="AM59" s="1913"/>
      <c r="AN59" s="1913"/>
      <c r="AO59" s="1913"/>
      <c r="AP59" s="1913"/>
      <c r="AQ59" s="1913"/>
      <c r="AR59" s="1913"/>
      <c r="AS59" s="1913"/>
      <c r="AT59" s="1913"/>
      <c r="AU59" s="1913"/>
      <c r="AV59" s="1913"/>
      <c r="AW59" s="1913"/>
      <c r="AX59" s="1913"/>
      <c r="AY59" s="1913"/>
      <c r="AZ59" s="1913"/>
      <c r="BA59" s="1913"/>
      <c r="BB59" s="1913"/>
      <c r="BC59" s="1913"/>
      <c r="BD59" s="1913"/>
      <c r="BE59" s="1913"/>
      <c r="BF59" s="1913"/>
      <c r="BG59" s="1913"/>
      <c r="BH59" s="1913"/>
      <c r="BI59" s="1913"/>
      <c r="BJ59" s="1913"/>
      <c r="BK59" s="1913"/>
      <c r="BL59" s="1913"/>
      <c r="BM59" s="1913"/>
      <c r="BN59" s="1913"/>
      <c r="BO59" s="1913"/>
      <c r="BP59" s="1913"/>
      <c r="BQ59" s="1913"/>
      <c r="BR59" s="1913"/>
      <c r="BS59" s="1913"/>
      <c r="BT59" s="1913"/>
      <c r="BU59" s="66"/>
      <c r="BV59" s="66"/>
      <c r="BW59" s="66"/>
      <c r="BX59" s="30"/>
      <c r="BY59" s="35"/>
      <c r="BZ59" s="30"/>
      <c r="CA59" s="67"/>
      <c r="CB59" s="67"/>
      <c r="CC59" s="68"/>
      <c r="CD59" s="67"/>
      <c r="CE59" s="30"/>
      <c r="CF59" s="67"/>
      <c r="CG59" s="126"/>
      <c r="CH59" s="35"/>
    </row>
    <row r="60" spans="1:86" s="124" customFormat="1" ht="15" customHeight="1" x14ac:dyDescent="0.25">
      <c r="A60" s="16">
        <v>12</v>
      </c>
      <c r="B60" s="16"/>
      <c r="C60" s="424" t="s">
        <v>73</v>
      </c>
      <c r="D60" s="675">
        <v>1971</v>
      </c>
      <c r="E60" s="675">
        <v>2</v>
      </c>
      <c r="F60" s="675">
        <v>16</v>
      </c>
      <c r="G60" s="675">
        <v>47</v>
      </c>
      <c r="H60" s="676">
        <v>727.4</v>
      </c>
      <c r="I60" s="1732"/>
      <c r="J60" s="1732"/>
      <c r="K60" s="1732"/>
      <c r="L60" s="1732"/>
      <c r="M60" s="676">
        <v>3025.3</v>
      </c>
      <c r="N60" s="676">
        <v>3025.3</v>
      </c>
      <c r="O60" s="1668">
        <f>44976.5</f>
        <v>44976.5</v>
      </c>
      <c r="P60" s="1668">
        <v>40344.11</v>
      </c>
      <c r="Q60" s="1668">
        <f t="shared" si="35"/>
        <v>48001.8</v>
      </c>
      <c r="R60" s="1668">
        <f t="shared" si="36"/>
        <v>43369.41</v>
      </c>
      <c r="S60" s="1890"/>
      <c r="T60" s="1890"/>
      <c r="U60" s="1787">
        <f t="shared" si="37"/>
        <v>0</v>
      </c>
      <c r="V60" s="1787"/>
      <c r="W60" s="1787"/>
      <c r="X60" s="1787"/>
      <c r="Y60" s="1787">
        <f t="shared" si="38"/>
        <v>48001.8</v>
      </c>
      <c r="Z60" s="1787">
        <f t="shared" si="39"/>
        <v>90.34954939189781</v>
      </c>
      <c r="AA60" s="1787">
        <f t="shared" si="40"/>
        <v>4632.3899999999994</v>
      </c>
      <c r="AB60" s="1668">
        <v>5.5</v>
      </c>
      <c r="AC60" s="1913"/>
      <c r="AD60" s="1913"/>
      <c r="AE60" s="1913"/>
      <c r="AF60" s="1913"/>
      <c r="AG60" s="1913"/>
      <c r="AH60" s="1913"/>
      <c r="AI60" s="1913"/>
      <c r="AJ60" s="1913"/>
      <c r="AK60" s="1913"/>
      <c r="AL60" s="1913"/>
      <c r="AM60" s="1913"/>
      <c r="AN60" s="1913"/>
      <c r="AO60" s="1913"/>
      <c r="AP60" s="1913"/>
      <c r="AQ60" s="1913"/>
      <c r="AR60" s="1913"/>
      <c r="AS60" s="1913"/>
      <c r="AT60" s="1913"/>
      <c r="AU60" s="1913"/>
      <c r="AV60" s="1913"/>
      <c r="AW60" s="1913"/>
      <c r="AX60" s="1913"/>
      <c r="AY60" s="1913"/>
      <c r="AZ60" s="1913"/>
      <c r="BA60" s="1913"/>
      <c r="BB60" s="1913"/>
      <c r="BC60" s="1913"/>
      <c r="BD60" s="1913"/>
      <c r="BE60" s="1913"/>
      <c r="BF60" s="1913"/>
      <c r="BG60" s="1913"/>
      <c r="BH60" s="1913"/>
      <c r="BI60" s="1913"/>
      <c r="BJ60" s="1913"/>
      <c r="BK60" s="1913"/>
      <c r="BL60" s="1913"/>
      <c r="BM60" s="1913"/>
      <c r="BN60" s="1913"/>
      <c r="BO60" s="1913"/>
      <c r="BP60" s="1913"/>
      <c r="BQ60" s="1913"/>
      <c r="BR60" s="1913"/>
      <c r="BS60" s="1913"/>
      <c r="BT60" s="1913"/>
      <c r="BU60" s="66"/>
      <c r="BV60" s="66"/>
      <c r="BW60" s="66"/>
      <c r="BX60" s="30"/>
      <c r="BY60" s="35"/>
      <c r="BZ60" s="30"/>
      <c r="CA60" s="67"/>
      <c r="CB60" s="67"/>
      <c r="CC60" s="68"/>
      <c r="CD60" s="67"/>
      <c r="CE60" s="30"/>
      <c r="CF60" s="67"/>
      <c r="CG60" s="126"/>
      <c r="CH60" s="35"/>
    </row>
    <row r="61" spans="1:86" s="124" customFormat="1" ht="15" customHeight="1" x14ac:dyDescent="0.25">
      <c r="A61" s="257">
        <v>13</v>
      </c>
      <c r="B61" s="257"/>
      <c r="C61" s="424" t="s">
        <v>74</v>
      </c>
      <c r="D61" s="675">
        <v>1960</v>
      </c>
      <c r="E61" s="675">
        <v>2</v>
      </c>
      <c r="F61" s="675">
        <v>16</v>
      </c>
      <c r="G61" s="675">
        <v>44</v>
      </c>
      <c r="H61" s="676">
        <v>724.7</v>
      </c>
      <c r="I61" s="1732"/>
      <c r="J61" s="1732"/>
      <c r="K61" s="1732"/>
      <c r="L61" s="1732"/>
      <c r="M61" s="676">
        <v>1472.02</v>
      </c>
      <c r="N61" s="676">
        <v>1472.02</v>
      </c>
      <c r="O61" s="1668">
        <f>46358.18</f>
        <v>46358.18</v>
      </c>
      <c r="P61" s="1668">
        <v>46221.03</v>
      </c>
      <c r="Q61" s="1668">
        <f t="shared" si="35"/>
        <v>47830.2</v>
      </c>
      <c r="R61" s="1668">
        <f t="shared" si="36"/>
        <v>47693.049999999996</v>
      </c>
      <c r="S61" s="1890"/>
      <c r="T61" s="1890"/>
      <c r="U61" s="1787">
        <f t="shared" si="37"/>
        <v>0</v>
      </c>
      <c r="V61" s="1787"/>
      <c r="W61" s="1787"/>
      <c r="X61" s="1787"/>
      <c r="Y61" s="1787">
        <f t="shared" si="38"/>
        <v>47830.2</v>
      </c>
      <c r="Z61" s="1787">
        <f t="shared" si="39"/>
        <v>99.713256478124705</v>
      </c>
      <c r="AA61" s="1787">
        <f t="shared" si="40"/>
        <v>137.15000000000146</v>
      </c>
      <c r="AB61" s="1668">
        <v>5.5</v>
      </c>
      <c r="AC61" s="1913"/>
      <c r="AD61" s="1913"/>
      <c r="AE61" s="1913"/>
      <c r="AF61" s="1913"/>
      <c r="AG61" s="1913"/>
      <c r="AH61" s="1913"/>
      <c r="AI61" s="1913"/>
      <c r="AJ61" s="1913"/>
      <c r="AK61" s="1913"/>
      <c r="AL61" s="1913"/>
      <c r="AM61" s="1913"/>
      <c r="AN61" s="1913"/>
      <c r="AO61" s="1913"/>
      <c r="AP61" s="1913"/>
      <c r="AQ61" s="1913"/>
      <c r="AR61" s="1913"/>
      <c r="AS61" s="1913"/>
      <c r="AT61" s="1913"/>
      <c r="AU61" s="1913"/>
      <c r="AV61" s="1913"/>
      <c r="AW61" s="1913"/>
      <c r="AX61" s="1913"/>
      <c r="AY61" s="1913"/>
      <c r="AZ61" s="1913"/>
      <c r="BA61" s="1913"/>
      <c r="BB61" s="1913"/>
      <c r="BC61" s="1913"/>
      <c r="BD61" s="1913"/>
      <c r="BE61" s="1913"/>
      <c r="BF61" s="1913"/>
      <c r="BG61" s="1913"/>
      <c r="BH61" s="1913"/>
      <c r="BI61" s="1913"/>
      <c r="BJ61" s="1913"/>
      <c r="BK61" s="1913"/>
      <c r="BL61" s="1913"/>
      <c r="BM61" s="1913"/>
      <c r="BN61" s="1913"/>
      <c r="BO61" s="1913"/>
      <c r="BP61" s="1913"/>
      <c r="BQ61" s="1913"/>
      <c r="BR61" s="1913"/>
      <c r="BS61" s="1913"/>
      <c r="BT61" s="1913"/>
      <c r="BU61" s="66"/>
      <c r="BV61" s="66"/>
      <c r="BW61" s="66"/>
      <c r="BX61" s="30"/>
      <c r="BY61" s="35"/>
      <c r="BZ61" s="30"/>
      <c r="CA61" s="67"/>
      <c r="CB61" s="67"/>
      <c r="CC61" s="68"/>
      <c r="CD61" s="67"/>
      <c r="CE61" s="30"/>
      <c r="CF61" s="67"/>
      <c r="CG61" s="126"/>
      <c r="CH61" s="35"/>
    </row>
    <row r="62" spans="1:86" s="34" customFormat="1" ht="15" customHeight="1" x14ac:dyDescent="0.25">
      <c r="A62" s="257">
        <v>14</v>
      </c>
      <c r="B62" s="257"/>
      <c r="C62" s="526" t="s">
        <v>88</v>
      </c>
      <c r="D62" s="813">
        <v>1969</v>
      </c>
      <c r="E62" s="813">
        <v>2</v>
      </c>
      <c r="F62" s="813">
        <v>16</v>
      </c>
      <c r="G62" s="813">
        <v>34</v>
      </c>
      <c r="H62" s="689">
        <v>649.16</v>
      </c>
      <c r="I62" s="1733"/>
      <c r="J62" s="1733"/>
      <c r="K62" s="1733"/>
      <c r="L62" s="1733"/>
      <c r="M62" s="689"/>
      <c r="N62" s="689"/>
      <c r="O62" s="1668">
        <v>42720.86</v>
      </c>
      <c r="P62" s="1668">
        <v>41087.9</v>
      </c>
      <c r="Q62" s="1668">
        <f t="shared" si="35"/>
        <v>42720.86</v>
      </c>
      <c r="R62" s="1668">
        <f t="shared" si="36"/>
        <v>41087.9</v>
      </c>
      <c r="S62" s="1890"/>
      <c r="T62" s="1890"/>
      <c r="U62" s="1787">
        <f t="shared" si="37"/>
        <v>0</v>
      </c>
      <c r="V62" s="1787"/>
      <c r="W62" s="1787"/>
      <c r="X62" s="1787"/>
      <c r="Y62" s="1787">
        <f t="shared" si="38"/>
        <v>42720.86</v>
      </c>
      <c r="Z62" s="1787">
        <f t="shared" si="39"/>
        <v>96.177605038849876</v>
      </c>
      <c r="AA62" s="1787">
        <f t="shared" si="40"/>
        <v>1632.9599999999991</v>
      </c>
      <c r="AB62" s="1668">
        <v>5.5</v>
      </c>
      <c r="AC62" s="1913"/>
      <c r="AD62" s="1913"/>
      <c r="AE62" s="1913"/>
      <c r="AF62" s="1913"/>
      <c r="AG62" s="1913"/>
      <c r="AH62" s="1913"/>
      <c r="AI62" s="1913"/>
      <c r="AJ62" s="1913"/>
      <c r="AK62" s="1913"/>
      <c r="AL62" s="1913"/>
      <c r="AM62" s="1913"/>
      <c r="AN62" s="1913"/>
      <c r="AO62" s="1913"/>
      <c r="AP62" s="1913"/>
      <c r="AQ62" s="1913"/>
      <c r="AR62" s="1913"/>
      <c r="AS62" s="1913"/>
      <c r="AT62" s="1913"/>
      <c r="AU62" s="1913"/>
      <c r="AV62" s="1913"/>
      <c r="AW62" s="1913"/>
      <c r="AX62" s="1913"/>
      <c r="AY62" s="1913"/>
      <c r="AZ62" s="1913"/>
      <c r="BA62" s="1913"/>
      <c r="BB62" s="1913"/>
      <c r="BC62" s="1913"/>
      <c r="BD62" s="1913"/>
      <c r="BE62" s="1913"/>
      <c r="BF62" s="1913"/>
      <c r="BG62" s="1913"/>
      <c r="BH62" s="1913"/>
      <c r="BI62" s="1913"/>
      <c r="BJ62" s="1913"/>
      <c r="BK62" s="1913"/>
      <c r="BL62" s="1913"/>
      <c r="BM62" s="1913"/>
      <c r="BN62" s="1913"/>
      <c r="BO62" s="1913"/>
      <c r="BP62" s="1913"/>
      <c r="BQ62" s="1913"/>
      <c r="BR62" s="1913"/>
      <c r="BS62" s="1913"/>
      <c r="BT62" s="191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127"/>
      <c r="CH62" s="83"/>
    </row>
    <row r="63" spans="1:86" ht="15" customHeight="1" x14ac:dyDescent="0.25">
      <c r="A63" s="386"/>
      <c r="B63" s="386"/>
      <c r="C63" s="531" t="s">
        <v>89</v>
      </c>
      <c r="D63" s="1656"/>
      <c r="E63" s="1656"/>
      <c r="F63" s="1656">
        <f t="shared" ref="F63:H63" si="41">SUM(F49:F62)</f>
        <v>307</v>
      </c>
      <c r="G63" s="1656">
        <f t="shared" si="41"/>
        <v>950</v>
      </c>
      <c r="H63" s="1656">
        <f t="shared" si="41"/>
        <v>16358.77</v>
      </c>
      <c r="I63" s="1734"/>
      <c r="J63" s="1734"/>
      <c r="K63" s="1734"/>
      <c r="L63" s="1734"/>
      <c r="M63" s="1427">
        <f>SUM(M49:M62)</f>
        <v>21652.86</v>
      </c>
      <c r="N63" s="1427">
        <f>SUM(N49:N62)</f>
        <v>21652.86</v>
      </c>
      <c r="O63" s="1669">
        <f>SUM(O49:O62)</f>
        <v>1057537.18</v>
      </c>
      <c r="P63" s="1669">
        <f>SUM(P49:P62)</f>
        <v>1018821.6000000001</v>
      </c>
      <c r="Q63" s="1669">
        <f t="shared" ref="Q63:R63" si="42">SUM(Q49:Q62)</f>
        <v>1079190.04</v>
      </c>
      <c r="R63" s="1669">
        <f t="shared" si="42"/>
        <v>1040474.4600000002</v>
      </c>
      <c r="S63" s="1891"/>
      <c r="T63" s="1891"/>
      <c r="U63" s="1669">
        <f t="shared" ref="U63:Y63" si="43">SUM(U49:U62)</f>
        <v>309209.75</v>
      </c>
      <c r="V63" s="1669">
        <f t="shared" si="43"/>
        <v>1081.8</v>
      </c>
      <c r="W63" s="1669">
        <f t="shared" si="43"/>
        <v>292991.40000000002</v>
      </c>
      <c r="X63" s="1669">
        <f t="shared" si="43"/>
        <v>15136.55</v>
      </c>
      <c r="Y63" s="1669">
        <f t="shared" si="43"/>
        <v>769980.29</v>
      </c>
      <c r="Z63" s="1788">
        <f t="shared" si="39"/>
        <v>96.412533607148575</v>
      </c>
      <c r="AA63" s="1788">
        <f t="shared" si="40"/>
        <v>38715.579999999842</v>
      </c>
      <c r="AB63" s="1669"/>
      <c r="AC63" s="1913"/>
      <c r="AD63" s="1913"/>
      <c r="AE63" s="1913"/>
      <c r="AF63" s="1913"/>
      <c r="AG63" s="1913"/>
      <c r="AH63" s="1913"/>
      <c r="AI63" s="1913"/>
      <c r="AJ63" s="1913"/>
      <c r="AK63" s="1913"/>
      <c r="AL63" s="1913"/>
      <c r="AM63" s="1913"/>
      <c r="AN63" s="1913"/>
      <c r="AO63" s="1913"/>
      <c r="AP63" s="1913"/>
      <c r="AQ63" s="1913"/>
      <c r="AR63" s="1913"/>
      <c r="AS63" s="1913"/>
      <c r="AT63" s="1913"/>
      <c r="AU63" s="1913"/>
      <c r="AV63" s="1913"/>
      <c r="AW63" s="1913"/>
      <c r="AX63" s="1913"/>
      <c r="AY63" s="1913"/>
      <c r="AZ63" s="1913"/>
      <c r="BA63" s="1913"/>
      <c r="BB63" s="1913"/>
      <c r="BC63" s="1913"/>
      <c r="BD63" s="1913"/>
      <c r="BE63" s="1913"/>
      <c r="BF63" s="1913"/>
      <c r="BG63" s="1913"/>
      <c r="BH63" s="1913"/>
      <c r="BI63" s="1913"/>
      <c r="BJ63" s="1913"/>
      <c r="BK63" s="1913"/>
      <c r="BL63" s="1913"/>
      <c r="BM63" s="1913"/>
      <c r="BN63" s="1913"/>
      <c r="BO63" s="1913"/>
      <c r="BP63" s="1913"/>
      <c r="BQ63" s="1913"/>
      <c r="BR63" s="1913"/>
      <c r="BS63" s="1913"/>
      <c r="BT63" s="1913"/>
      <c r="BU63" s="9"/>
      <c r="BV63" s="9"/>
      <c r="BW63" s="9"/>
      <c r="BX63" s="9"/>
      <c r="BY63" s="86"/>
      <c r="BZ63" s="9"/>
      <c r="CA63" s="9"/>
      <c r="CB63" s="9"/>
      <c r="CC63" s="9"/>
      <c r="CD63" s="9"/>
      <c r="CE63" s="9"/>
      <c r="CF63" s="9"/>
      <c r="CG63" s="128"/>
      <c r="CH63" s="9"/>
    </row>
    <row r="64" spans="1:86" ht="15" customHeight="1" x14ac:dyDescent="0.25">
      <c r="C64" s="816"/>
      <c r="D64" s="816"/>
      <c r="E64" s="816"/>
      <c r="F64" s="816"/>
      <c r="G64" s="816"/>
      <c r="H64" s="816"/>
      <c r="I64" s="816"/>
      <c r="J64" s="816"/>
      <c r="K64" s="816"/>
      <c r="L64" s="816"/>
      <c r="M64" s="816"/>
      <c r="N64" s="816"/>
      <c r="O64" s="1571"/>
      <c r="P64" s="1571"/>
      <c r="Q64" s="1889"/>
      <c r="R64" s="1571"/>
      <c r="S64" s="1571"/>
      <c r="T64" s="1571"/>
      <c r="U64" s="1571"/>
      <c r="V64" s="1571"/>
      <c r="W64" s="1571"/>
      <c r="X64" s="1571"/>
      <c r="Y64" s="1571"/>
      <c r="Z64" s="1571"/>
      <c r="AA64" s="1655"/>
      <c r="AB64" s="1655"/>
      <c r="AC64" s="1913"/>
      <c r="AD64" s="1913"/>
      <c r="AE64" s="1913"/>
      <c r="AF64" s="1913"/>
      <c r="AG64" s="1913"/>
      <c r="AH64" s="1913"/>
      <c r="AI64" s="1913"/>
      <c r="AJ64" s="1913"/>
      <c r="AK64" s="1913"/>
      <c r="AL64" s="1913"/>
      <c r="AM64" s="1913"/>
      <c r="AN64" s="1913"/>
      <c r="AO64" s="1913"/>
      <c r="AP64" s="1913"/>
      <c r="AQ64" s="1913"/>
      <c r="AR64" s="1913"/>
      <c r="AS64" s="1913"/>
      <c r="AT64" s="1913"/>
      <c r="AU64" s="1913"/>
      <c r="AV64" s="1913"/>
      <c r="AW64" s="1913"/>
      <c r="AX64" s="1913"/>
      <c r="AY64" s="1913"/>
      <c r="AZ64" s="1913"/>
      <c r="BA64" s="1913"/>
      <c r="BB64" s="1913"/>
      <c r="BC64" s="1913"/>
      <c r="BD64" s="1913"/>
      <c r="BE64" s="1913"/>
      <c r="BF64" s="1913"/>
      <c r="BG64" s="1913"/>
      <c r="BH64" s="1913"/>
      <c r="BI64" s="1913"/>
      <c r="BJ64" s="1913"/>
      <c r="BK64" s="1913"/>
      <c r="BL64" s="1913"/>
      <c r="BM64" s="1913"/>
      <c r="BN64" s="1913"/>
      <c r="BO64" s="1913"/>
      <c r="BP64" s="1913"/>
      <c r="BQ64" s="1913"/>
      <c r="BR64" s="1913"/>
      <c r="BS64" s="1913"/>
      <c r="BT64" s="1913"/>
      <c r="BU64" s="9"/>
      <c r="BV64" s="9"/>
      <c r="BW64" s="9"/>
      <c r="BX64" s="9"/>
      <c r="BY64" s="86"/>
      <c r="BZ64" s="9"/>
      <c r="CA64" s="9"/>
      <c r="CB64" s="9"/>
      <c r="CC64" s="9"/>
      <c r="CD64" s="9"/>
      <c r="CE64" s="9"/>
      <c r="CF64" s="9"/>
      <c r="CG64" s="128"/>
      <c r="CH64" s="9"/>
    </row>
    <row r="65" spans="1:86" ht="15" customHeight="1" x14ac:dyDescent="0.25">
      <c r="C65" s="828" t="s">
        <v>432</v>
      </c>
      <c r="D65" s="816"/>
      <c r="E65" s="816"/>
      <c r="F65" s="816"/>
      <c r="G65" s="816"/>
      <c r="H65" s="816"/>
      <c r="I65" s="816"/>
      <c r="J65" s="816"/>
      <c r="K65" s="816"/>
      <c r="L65" s="816"/>
      <c r="M65" s="816"/>
      <c r="N65" s="816"/>
      <c r="O65" s="1571"/>
      <c r="P65" s="1571"/>
      <c r="Q65" s="1571"/>
      <c r="R65" s="1571"/>
      <c r="S65" s="1571"/>
      <c r="T65" s="1571"/>
      <c r="U65" s="1571"/>
      <c r="V65" s="1571"/>
      <c r="W65" s="1571"/>
      <c r="X65" s="1571"/>
      <c r="Y65" s="1571"/>
      <c r="Z65" s="1571"/>
      <c r="AA65" s="1571"/>
      <c r="AB65" s="1571"/>
      <c r="AC65" s="1913"/>
      <c r="AD65" s="1913"/>
      <c r="AE65" s="1913"/>
      <c r="AF65" s="1913"/>
      <c r="AG65" s="1913"/>
      <c r="AH65" s="1913"/>
      <c r="AI65" s="1913"/>
      <c r="AJ65" s="1913"/>
      <c r="AK65" s="1913"/>
      <c r="AL65" s="1913"/>
      <c r="AM65" s="1913"/>
      <c r="AN65" s="1913"/>
      <c r="AO65" s="1913"/>
      <c r="AP65" s="1913"/>
      <c r="AQ65" s="1913"/>
      <c r="AR65" s="1913"/>
      <c r="AS65" s="1913"/>
      <c r="AT65" s="1913"/>
      <c r="AU65" s="1913"/>
      <c r="AV65" s="1913"/>
      <c r="AW65" s="1913"/>
      <c r="AX65" s="1913"/>
      <c r="AY65" s="1913"/>
      <c r="AZ65" s="1913"/>
      <c r="BA65" s="1913"/>
      <c r="BB65" s="1913"/>
      <c r="BC65" s="1913"/>
      <c r="BD65" s="1913"/>
      <c r="BE65" s="1913"/>
      <c r="BF65" s="1913"/>
      <c r="BG65" s="1913"/>
      <c r="BH65" s="1913"/>
      <c r="BI65" s="1913"/>
      <c r="BJ65" s="1913"/>
      <c r="BK65" s="1913"/>
      <c r="BL65" s="1913"/>
      <c r="BM65" s="1913"/>
      <c r="BN65" s="1913"/>
      <c r="BO65" s="1913"/>
      <c r="BP65" s="1913"/>
      <c r="BQ65" s="1913"/>
      <c r="BR65" s="1913"/>
      <c r="BS65" s="1913"/>
      <c r="BT65" s="1913"/>
      <c r="BU65" s="9"/>
      <c r="BV65" s="9"/>
      <c r="BW65" s="9"/>
      <c r="BX65" s="9"/>
      <c r="BY65" s="86"/>
      <c r="BZ65" s="9"/>
      <c r="CA65" s="9"/>
      <c r="CB65" s="9"/>
      <c r="CC65" s="9"/>
      <c r="CD65" s="9"/>
      <c r="CE65" s="9"/>
      <c r="CF65" s="9"/>
      <c r="CG65" s="128"/>
      <c r="CH65" s="9"/>
    </row>
    <row r="66" spans="1:86" ht="15.75" customHeight="1" x14ac:dyDescent="0.25">
      <c r="C66" s="1570"/>
      <c r="D66" s="1570"/>
      <c r="E66" s="1570"/>
      <c r="F66" s="1570"/>
      <c r="G66" s="1570"/>
      <c r="H66" s="1570"/>
      <c r="I66" s="1570"/>
      <c r="J66" s="1570"/>
      <c r="K66" s="1570"/>
      <c r="L66" s="1570"/>
      <c r="M66" s="1570"/>
      <c r="N66" s="1570"/>
      <c r="O66" s="1570"/>
      <c r="P66" s="1570"/>
      <c r="Q66" s="1914" t="s">
        <v>891</v>
      </c>
      <c r="R66" s="1570"/>
      <c r="S66" s="1570"/>
      <c r="T66" s="1570"/>
      <c r="U66" s="1570"/>
      <c r="V66" s="1570"/>
      <c r="W66" s="1570"/>
      <c r="X66" s="1570"/>
      <c r="Y66" s="1570"/>
      <c r="Z66" s="1570"/>
      <c r="AA66" s="1570"/>
      <c r="AB66" s="1570"/>
      <c r="AC66" s="1913"/>
      <c r="AD66" s="1913"/>
      <c r="AE66" s="1913"/>
      <c r="AF66" s="1913"/>
      <c r="AG66" s="1913"/>
      <c r="AH66" s="1913"/>
      <c r="AI66" s="1913"/>
      <c r="AJ66" s="1913"/>
      <c r="AK66" s="1913"/>
      <c r="AL66" s="1913"/>
      <c r="AM66" s="1913"/>
      <c r="AN66" s="1913"/>
      <c r="AO66" s="1913"/>
      <c r="AP66" s="1913"/>
      <c r="AQ66" s="1913"/>
      <c r="AR66" s="1913"/>
      <c r="AS66" s="1913"/>
      <c r="AT66" s="1913"/>
      <c r="AU66" s="1913"/>
      <c r="AV66" s="1913"/>
      <c r="AW66" s="1913"/>
      <c r="AX66" s="1913"/>
      <c r="AY66" s="1913"/>
      <c r="AZ66" s="1913"/>
      <c r="BA66" s="1913"/>
      <c r="BB66" s="1913"/>
      <c r="BC66" s="1913"/>
      <c r="BD66" s="1913"/>
      <c r="BE66" s="1913"/>
      <c r="BF66" s="1913"/>
      <c r="BG66" s="1913"/>
      <c r="BH66" s="1913"/>
      <c r="BI66" s="1913"/>
      <c r="BJ66" s="1913"/>
      <c r="BK66" s="1913"/>
      <c r="BL66" s="1913"/>
      <c r="BM66" s="1913"/>
      <c r="BN66" s="1913"/>
      <c r="BO66" s="1913"/>
      <c r="BP66" s="1913"/>
      <c r="BQ66" s="1913"/>
      <c r="BR66" s="1913"/>
      <c r="BS66" s="1913"/>
      <c r="BT66" s="1913"/>
    </row>
    <row r="67" spans="1:86" x14ac:dyDescent="0.25">
      <c r="C67" s="375"/>
      <c r="D67" s="375"/>
      <c r="E67" s="375"/>
      <c r="F67" s="375"/>
      <c r="G67" s="375"/>
      <c r="H67" s="375"/>
      <c r="I67" s="375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1913"/>
      <c r="AD67" s="1913"/>
      <c r="AE67" s="1913"/>
      <c r="AF67" s="1913"/>
      <c r="AG67" s="1913"/>
      <c r="AH67" s="1913"/>
      <c r="AI67" s="1913"/>
      <c r="AJ67" s="1913"/>
      <c r="AK67" s="1913"/>
      <c r="AL67" s="1913"/>
      <c r="AM67" s="1913"/>
      <c r="AN67" s="1913"/>
      <c r="AO67" s="1913"/>
      <c r="AP67" s="1913"/>
      <c r="AQ67" s="1913"/>
      <c r="AR67" s="1913"/>
      <c r="AS67" s="1913"/>
      <c r="AT67" s="1913"/>
      <c r="AU67" s="1913"/>
      <c r="AV67" s="1913"/>
      <c r="AW67" s="1913"/>
      <c r="AX67" s="1913"/>
      <c r="AY67" s="1913"/>
      <c r="AZ67" s="1913"/>
      <c r="BA67" s="1913"/>
      <c r="BB67" s="1913"/>
      <c r="BC67" s="1913"/>
      <c r="BD67" s="1913"/>
      <c r="BE67" s="1913"/>
      <c r="BF67" s="1913"/>
      <c r="BG67" s="1913"/>
      <c r="BH67" s="1913"/>
      <c r="BI67" s="1913"/>
      <c r="BJ67" s="1913"/>
      <c r="BK67" s="1913"/>
      <c r="BL67" s="1913"/>
      <c r="BM67" s="1913"/>
      <c r="BN67" s="1913"/>
      <c r="BO67" s="1913"/>
      <c r="BP67" s="1913"/>
      <c r="BQ67" s="1913"/>
      <c r="BR67" s="1913"/>
      <c r="BS67" s="1913"/>
      <c r="BT67" s="1913"/>
      <c r="BU67" s="9"/>
      <c r="BV67" s="9"/>
      <c r="BW67" s="9"/>
      <c r="BX67" s="9"/>
      <c r="BY67" s="86"/>
      <c r="BZ67" s="9"/>
      <c r="CA67" s="9"/>
      <c r="CB67" s="9"/>
      <c r="CC67" s="9"/>
      <c r="CD67" s="9"/>
      <c r="CE67" s="9"/>
      <c r="CF67" s="9"/>
      <c r="CG67" s="128"/>
      <c r="CH67" s="9"/>
    </row>
    <row r="68" spans="1:86" x14ac:dyDescent="0.25"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1913"/>
      <c r="AD68" s="1913"/>
      <c r="AE68" s="1913"/>
      <c r="AF68" s="1913"/>
      <c r="AG68" s="1913"/>
      <c r="AH68" s="1913"/>
      <c r="AI68" s="1913"/>
      <c r="AJ68" s="1913"/>
      <c r="AK68" s="1913"/>
      <c r="AL68" s="1913"/>
      <c r="AM68" s="1913"/>
      <c r="AN68" s="1913"/>
      <c r="AO68" s="1913"/>
      <c r="AP68" s="1913"/>
      <c r="AQ68" s="1913"/>
      <c r="AR68" s="1913"/>
      <c r="AS68" s="1913"/>
      <c r="AT68" s="1913"/>
      <c r="AU68" s="1913"/>
      <c r="AV68" s="1913"/>
      <c r="AW68" s="1913"/>
      <c r="AX68" s="1913"/>
      <c r="AY68" s="1913"/>
      <c r="AZ68" s="1913"/>
      <c r="BA68" s="1913"/>
      <c r="BB68" s="1913"/>
      <c r="BC68" s="1913"/>
      <c r="BD68" s="1913"/>
      <c r="BE68" s="1913"/>
      <c r="BF68" s="1913"/>
      <c r="BG68" s="1913"/>
      <c r="BH68" s="1913"/>
      <c r="BI68" s="1913"/>
      <c r="BJ68" s="1913"/>
      <c r="BK68" s="1913"/>
      <c r="BL68" s="1913"/>
      <c r="BM68" s="1913"/>
      <c r="BN68" s="1913"/>
      <c r="BO68" s="1913"/>
      <c r="BP68" s="1913"/>
      <c r="BQ68" s="1913"/>
      <c r="BR68" s="1913"/>
      <c r="BS68" s="1913"/>
      <c r="BT68" s="1913"/>
    </row>
    <row r="69" spans="1:86" ht="18.75" customHeight="1" x14ac:dyDescent="0.3">
      <c r="C69" s="250"/>
      <c r="D69" s="250"/>
      <c r="E69" s="250"/>
      <c r="F69" s="250"/>
      <c r="G69" s="250"/>
      <c r="H69" s="1660" t="s">
        <v>796</v>
      </c>
      <c r="I69" s="1660"/>
      <c r="J69" s="1660"/>
      <c r="K69" s="1660"/>
      <c r="L69" s="1660"/>
      <c r="M69" s="1660"/>
      <c r="N69" s="1660"/>
      <c r="O69" s="1660"/>
      <c r="P69" s="1660"/>
      <c r="Q69" s="1660"/>
      <c r="R69" s="1660"/>
      <c r="S69" s="1660"/>
      <c r="T69" s="1660"/>
      <c r="U69" s="1660"/>
      <c r="V69" s="1660"/>
      <c r="W69" s="1660"/>
      <c r="X69" s="1660"/>
      <c r="Y69" s="1660"/>
      <c r="Z69" s="1660"/>
      <c r="AA69" s="250"/>
      <c r="AB69" s="250"/>
      <c r="AC69" s="1913"/>
      <c r="AD69" s="1913"/>
      <c r="AE69" s="1913"/>
      <c r="AF69" s="1913"/>
      <c r="AG69" s="1913"/>
      <c r="AH69" s="1913"/>
      <c r="AI69" s="1913"/>
      <c r="AJ69" s="1913"/>
      <c r="AK69" s="1913"/>
      <c r="AL69" s="1913"/>
      <c r="AM69" s="1913"/>
      <c r="AN69" s="1913"/>
      <c r="AO69" s="1913"/>
      <c r="AP69" s="1913"/>
      <c r="AQ69" s="1913"/>
      <c r="AR69" s="1913"/>
      <c r="AS69" s="1913"/>
      <c r="AT69" s="1913"/>
      <c r="AU69" s="1913"/>
      <c r="AV69" s="1913"/>
      <c r="AW69" s="1913"/>
      <c r="AX69" s="1913"/>
      <c r="AY69" s="1913"/>
      <c r="AZ69" s="1913"/>
      <c r="BA69" s="1913"/>
      <c r="BB69" s="1913"/>
      <c r="BC69" s="1913"/>
      <c r="BD69" s="1913"/>
      <c r="BE69" s="1913"/>
      <c r="BF69" s="1913"/>
      <c r="BG69" s="1913"/>
      <c r="BH69" s="1913"/>
      <c r="BI69" s="1913"/>
      <c r="BJ69" s="1913"/>
      <c r="BK69" s="1913"/>
      <c r="BL69" s="1913"/>
      <c r="BM69" s="1913"/>
      <c r="BN69" s="1913"/>
      <c r="BO69" s="1913"/>
      <c r="BP69" s="1913"/>
      <c r="BQ69" s="1913"/>
      <c r="BR69" s="1913"/>
      <c r="BS69" s="1913"/>
      <c r="BT69" s="1913"/>
    </row>
    <row r="70" spans="1:86" ht="18" x14ac:dyDescent="0.25">
      <c r="C70" s="825" t="s">
        <v>53</v>
      </c>
      <c r="D70" s="825"/>
      <c r="E70" s="825"/>
      <c r="F70" s="825"/>
      <c r="G70" s="825"/>
      <c r="H70" s="825"/>
      <c r="I70" s="825"/>
      <c r="J70" s="825"/>
      <c r="K70" s="825"/>
      <c r="L70" s="825"/>
      <c r="M70" s="825"/>
      <c r="N70" s="825"/>
      <c r="O70" s="825"/>
      <c r="P70" s="825"/>
      <c r="Q70" s="825"/>
      <c r="R70" s="825"/>
      <c r="S70" s="825"/>
      <c r="T70" s="825"/>
      <c r="U70" s="825"/>
      <c r="V70" s="825"/>
      <c r="W70" s="825"/>
      <c r="X70" s="825"/>
      <c r="Y70" s="825"/>
      <c r="Z70" s="825"/>
      <c r="AA70" s="825"/>
      <c r="AB70" s="825"/>
      <c r="AC70" s="825"/>
      <c r="AD70" s="825"/>
      <c r="AE70" s="825"/>
      <c r="AF70" s="825"/>
      <c r="AG70" s="825"/>
      <c r="AH70" s="825"/>
      <c r="AI70" s="825"/>
      <c r="AJ70" s="825"/>
      <c r="AK70" s="825"/>
      <c r="AL70" s="825"/>
      <c r="AM70" s="825"/>
      <c r="AN70" s="825"/>
      <c r="AO70" s="816"/>
      <c r="AP70" s="816"/>
      <c r="AQ70" s="816"/>
      <c r="AR70" s="816"/>
      <c r="AS70" s="816"/>
      <c r="AT70" s="816"/>
      <c r="AU70" s="816"/>
      <c r="AV70" s="816"/>
      <c r="AW70" s="816"/>
      <c r="AX70" s="816"/>
      <c r="AY70" s="375"/>
      <c r="AZ70" s="375"/>
      <c r="BA70" s="375"/>
      <c r="BB70" s="375"/>
      <c r="BC70" s="375"/>
      <c r="BD70" s="375"/>
      <c r="BE70" s="375"/>
      <c r="BF70" s="375"/>
      <c r="BG70" s="375"/>
      <c r="BH70" s="375"/>
      <c r="BI70" s="375"/>
      <c r="BJ70" s="375"/>
      <c r="BK70" s="375"/>
      <c r="BL70" s="375"/>
      <c r="BM70" s="375"/>
      <c r="BN70" s="375"/>
    </row>
    <row r="71" spans="1:86" ht="18" x14ac:dyDescent="0.25">
      <c r="C71" s="825"/>
      <c r="D71" s="825"/>
      <c r="E71" s="825"/>
      <c r="F71" s="825"/>
      <c r="G71" s="825"/>
      <c r="H71" s="825"/>
      <c r="I71" s="825"/>
      <c r="J71" s="825"/>
      <c r="K71" s="825"/>
      <c r="L71" s="825"/>
      <c r="M71" s="825"/>
      <c r="N71" s="825"/>
      <c r="O71" s="825"/>
      <c r="P71" s="1571"/>
      <c r="Q71" s="1571"/>
      <c r="R71" s="1571"/>
      <c r="S71" s="1571"/>
      <c r="T71" s="1571"/>
      <c r="U71" s="1571"/>
      <c r="V71" s="1571"/>
      <c r="W71" s="1571"/>
      <c r="X71" s="1571"/>
      <c r="Y71" s="1571"/>
      <c r="Z71" s="1571"/>
      <c r="AA71" s="1571"/>
      <c r="AB71" s="1571"/>
      <c r="AC71" s="1571"/>
      <c r="AD71" s="1571"/>
      <c r="AE71" s="1571"/>
      <c r="AF71" s="1571"/>
      <c r="AG71" s="1571"/>
      <c r="AH71" s="1571"/>
      <c r="AI71" s="1571"/>
      <c r="AJ71" s="1571"/>
      <c r="AK71" s="1571"/>
      <c r="AL71" s="1571"/>
      <c r="AM71" s="1571"/>
      <c r="AN71" s="1571"/>
      <c r="AO71" s="1571"/>
      <c r="AP71" s="1571"/>
      <c r="AQ71" s="1571"/>
      <c r="AR71" s="1571"/>
      <c r="AS71" s="1571"/>
      <c r="AT71" s="1571"/>
      <c r="AU71" s="1571"/>
      <c r="AV71" s="1571"/>
      <c r="AW71" s="1571"/>
      <c r="AX71" s="1571"/>
      <c r="AY71" s="1571"/>
      <c r="AZ71" s="375"/>
      <c r="BA71" s="375"/>
      <c r="BB71" s="375"/>
      <c r="BC71" s="375"/>
      <c r="BD71" s="375"/>
      <c r="BE71" s="375"/>
      <c r="BF71" s="375"/>
      <c r="BG71" s="375"/>
      <c r="BH71" s="375"/>
      <c r="BI71" s="375"/>
      <c r="BJ71" s="375"/>
      <c r="BK71" s="375"/>
      <c r="BL71" s="375"/>
      <c r="BM71" s="375"/>
      <c r="BN71" s="375"/>
    </row>
    <row r="72" spans="1:86" ht="18" x14ac:dyDescent="0.25">
      <c r="C72" s="825"/>
      <c r="D72" s="825"/>
      <c r="E72" s="825"/>
      <c r="F72" s="825"/>
      <c r="G72" s="825"/>
      <c r="H72" s="825"/>
      <c r="I72" s="825"/>
      <c r="J72" s="825"/>
      <c r="K72" s="825"/>
      <c r="L72" s="825"/>
      <c r="M72" s="825"/>
      <c r="N72" s="825"/>
      <c r="O72" s="825"/>
      <c r="P72" s="1571"/>
      <c r="Q72" s="1571"/>
      <c r="R72" s="1571"/>
      <c r="S72" s="1571"/>
      <c r="T72" s="1571"/>
      <c r="U72" s="1571"/>
      <c r="V72" s="1571"/>
      <c r="W72" s="1571"/>
      <c r="X72" s="1571"/>
      <c r="Y72" s="1571"/>
      <c r="Z72" s="1571"/>
      <c r="AA72" s="1571"/>
      <c r="AB72" s="1571"/>
      <c r="AC72" s="1571"/>
      <c r="AD72" s="1571"/>
      <c r="AE72" s="1571"/>
      <c r="AF72" s="1571"/>
      <c r="AG72" s="1571"/>
      <c r="AH72" s="1571"/>
      <c r="AI72" s="1571"/>
      <c r="AJ72" s="1571"/>
      <c r="AK72" s="1571"/>
      <c r="AL72" s="1571"/>
      <c r="AM72" s="1571"/>
      <c r="AN72" s="1571"/>
      <c r="AO72" s="1571"/>
      <c r="AP72" s="1571"/>
      <c r="AQ72" s="1571"/>
      <c r="AR72" s="1571"/>
      <c r="AS72" s="1571"/>
      <c r="AT72" s="1571"/>
      <c r="AU72" s="1571"/>
      <c r="AV72" s="1571"/>
      <c r="AW72" s="1571"/>
      <c r="AX72" s="1571"/>
      <c r="AY72" s="1571"/>
      <c r="AZ72" s="1571"/>
      <c r="BA72" s="1571"/>
      <c r="BB72" s="1571"/>
      <c r="BC72" s="1571"/>
      <c r="BD72" s="1571"/>
      <c r="BE72" s="1571"/>
      <c r="BF72" s="1571"/>
      <c r="BG72" s="1571"/>
      <c r="BH72" s="1571"/>
      <c r="BI72" s="1571"/>
      <c r="BJ72" s="1571"/>
      <c r="BK72" s="1571"/>
      <c r="BL72" s="1571"/>
      <c r="BM72" s="1571"/>
      <c r="BN72" s="1571"/>
      <c r="BO72" s="1571"/>
      <c r="BP72" s="1571"/>
      <c r="BQ72" s="1571"/>
      <c r="BR72" s="1571"/>
      <c r="BS72" s="1571"/>
    </row>
    <row r="73" spans="1:86" ht="26.25" customHeight="1" x14ac:dyDescent="0.25">
      <c r="A73" s="2017" t="s">
        <v>0</v>
      </c>
      <c r="B73" s="2020"/>
      <c r="C73" s="2197" t="s">
        <v>184</v>
      </c>
      <c r="D73" s="2197" t="s">
        <v>54</v>
      </c>
      <c r="E73" s="2197" t="s">
        <v>55</v>
      </c>
      <c r="F73" s="2197" t="s">
        <v>56</v>
      </c>
      <c r="G73" s="2197" t="s">
        <v>57</v>
      </c>
      <c r="H73" s="2197" t="s">
        <v>6</v>
      </c>
      <c r="I73" s="1730"/>
      <c r="J73" s="1730"/>
      <c r="K73" s="2220"/>
      <c r="L73" s="2221"/>
      <c r="M73" s="2218" t="s">
        <v>872</v>
      </c>
      <c r="N73" s="2219"/>
      <c r="O73" s="1991" t="s">
        <v>797</v>
      </c>
      <c r="P73" s="1992"/>
      <c r="Q73" s="2097" t="s">
        <v>883</v>
      </c>
      <c r="R73" s="2060"/>
      <c r="S73" s="1882"/>
      <c r="T73" s="1882"/>
      <c r="U73" s="2049" t="s">
        <v>746</v>
      </c>
      <c r="V73" s="1997" t="s">
        <v>588</v>
      </c>
      <c r="W73" s="1997" t="s">
        <v>845</v>
      </c>
      <c r="X73" s="1987" t="s">
        <v>735</v>
      </c>
      <c r="Y73" s="2005" t="s">
        <v>724</v>
      </c>
      <c r="Z73" s="2001" t="s">
        <v>566</v>
      </c>
      <c r="AA73" s="1999" t="s">
        <v>716</v>
      </c>
      <c r="AB73" s="1987"/>
      <c r="AC73" s="1571"/>
      <c r="AD73" s="1571"/>
      <c r="AE73" s="1571"/>
      <c r="AF73" s="1571"/>
      <c r="AG73" s="1571"/>
      <c r="AH73" s="1571"/>
      <c r="AI73" s="1571"/>
      <c r="AJ73" s="1571"/>
      <c r="AK73" s="1571"/>
      <c r="AL73" s="1571"/>
      <c r="AM73" s="1571"/>
      <c r="AN73" s="1571"/>
      <c r="AO73" s="1571"/>
      <c r="AP73" s="1571"/>
      <c r="AQ73" s="1571"/>
      <c r="AR73" s="1571"/>
      <c r="AS73" s="1571"/>
      <c r="AT73" s="1571"/>
      <c r="AU73" s="1571"/>
      <c r="AV73" s="1571"/>
      <c r="AW73" s="1571"/>
      <c r="AX73" s="1571"/>
      <c r="AY73" s="1571"/>
      <c r="AZ73" s="1571"/>
      <c r="BA73" s="1571"/>
      <c r="BB73" s="1571"/>
      <c r="BC73" s="1571"/>
      <c r="BD73" s="1571"/>
      <c r="BE73" s="1571"/>
      <c r="BF73" s="1571"/>
      <c r="BG73" s="1571"/>
      <c r="BH73" s="1571"/>
      <c r="BI73" s="1571"/>
      <c r="BJ73" s="1571"/>
      <c r="BK73" s="1571"/>
      <c r="BL73" s="1571"/>
      <c r="BM73" s="1571"/>
      <c r="BN73" s="1571"/>
      <c r="BO73" s="1571"/>
      <c r="BP73" s="1571"/>
      <c r="BQ73" s="1571"/>
      <c r="BR73" s="1571"/>
      <c r="BS73" s="1571"/>
    </row>
    <row r="74" spans="1:86" ht="54" customHeight="1" x14ac:dyDescent="0.25">
      <c r="A74" s="2017"/>
      <c r="B74" s="2021"/>
      <c r="C74" s="2197"/>
      <c r="D74" s="2197"/>
      <c r="E74" s="2197"/>
      <c r="F74" s="2197"/>
      <c r="G74" s="2197"/>
      <c r="H74" s="2197"/>
      <c r="I74" s="1731"/>
      <c r="J74" s="1731"/>
      <c r="K74" s="1643"/>
      <c r="L74" s="1644"/>
      <c r="M74" s="150" t="s">
        <v>15</v>
      </c>
      <c r="N74" s="1883" t="s">
        <v>16</v>
      </c>
      <c r="O74" s="150" t="s">
        <v>15</v>
      </c>
      <c r="P74" s="1645" t="s">
        <v>16</v>
      </c>
      <c r="Q74" s="150" t="s">
        <v>15</v>
      </c>
      <c r="R74" s="1883" t="s">
        <v>16</v>
      </c>
      <c r="S74" s="1881"/>
      <c r="T74" s="1881"/>
      <c r="U74" s="2050"/>
      <c r="V74" s="1998"/>
      <c r="W74" s="1998"/>
      <c r="X74" s="1988"/>
      <c r="Y74" s="2006"/>
      <c r="Z74" s="2002"/>
      <c r="AA74" s="2000"/>
      <c r="AB74" s="1988"/>
      <c r="AC74" s="1571"/>
      <c r="AD74" s="1571"/>
      <c r="AE74" s="1571"/>
      <c r="AF74" s="1571"/>
      <c r="AG74" s="1571"/>
      <c r="AH74" s="1571"/>
      <c r="AI74" s="1571"/>
      <c r="AJ74" s="1571"/>
      <c r="AK74" s="1571"/>
      <c r="AL74" s="1571"/>
      <c r="AM74" s="1571"/>
      <c r="AN74" s="1571"/>
      <c r="AO74" s="1571"/>
      <c r="AP74" s="1571"/>
      <c r="AQ74" s="1571"/>
      <c r="AR74" s="1571"/>
      <c r="AS74" s="1571"/>
      <c r="AT74" s="1571"/>
      <c r="AU74" s="1571"/>
      <c r="AV74" s="1571"/>
      <c r="AW74" s="1571"/>
      <c r="AX74" s="1571"/>
      <c r="AY74" s="1571"/>
      <c r="AZ74" s="1571"/>
      <c r="BA74" s="1571"/>
      <c r="BB74" s="1571"/>
      <c r="BC74" s="1571"/>
      <c r="BD74" s="1571"/>
      <c r="BE74" s="1571"/>
      <c r="BF74" s="1571"/>
      <c r="BG74" s="1571"/>
      <c r="BH74" s="1571"/>
      <c r="BI74" s="1571"/>
      <c r="BJ74" s="1571"/>
      <c r="BK74" s="1571"/>
      <c r="BL74" s="1571"/>
      <c r="BM74" s="1571"/>
      <c r="BN74" s="1571"/>
      <c r="BO74" s="1571"/>
      <c r="BP74" s="1571"/>
      <c r="BQ74" s="1571"/>
      <c r="BR74" s="1571"/>
      <c r="BS74" s="1571"/>
    </row>
    <row r="75" spans="1:86" ht="15" customHeight="1" x14ac:dyDescent="0.25">
      <c r="A75" s="16">
        <v>1</v>
      </c>
      <c r="B75" s="16"/>
      <c r="C75" s="424" t="s">
        <v>58</v>
      </c>
      <c r="D75" s="675">
        <v>1976</v>
      </c>
      <c r="E75" s="675">
        <v>3</v>
      </c>
      <c r="F75" s="675">
        <v>24</v>
      </c>
      <c r="G75" s="675">
        <v>97</v>
      </c>
      <c r="H75" s="676">
        <v>1461.2</v>
      </c>
      <c r="I75" s="1732"/>
      <c r="J75" s="1732"/>
      <c r="K75" s="1732"/>
      <c r="L75" s="1732"/>
      <c r="M75" s="676">
        <v>435.35</v>
      </c>
      <c r="N75" s="676">
        <v>435.35</v>
      </c>
      <c r="O75" s="676">
        <v>17081.849999999999</v>
      </c>
      <c r="P75" s="1658">
        <v>15317.77</v>
      </c>
      <c r="Q75" s="1887">
        <f>M75+O75</f>
        <v>17517.199999999997</v>
      </c>
      <c r="R75" s="1887">
        <f>N75+P75</f>
        <v>15753.12</v>
      </c>
      <c r="S75" s="1892"/>
      <c r="T75" s="1892"/>
      <c r="U75" s="1787">
        <f>V75+W75</f>
        <v>1781.1163993835505</v>
      </c>
      <c r="V75" s="1787">
        <f>2750/15709.31*H75</f>
        <v>255.79099272978891</v>
      </c>
      <c r="W75" s="1787">
        <f>16398.72/15709.31*H75</f>
        <v>1525.3254066537615</v>
      </c>
      <c r="X75" s="1787">
        <f>Q75-U75</f>
        <v>15736.083600616446</v>
      </c>
      <c r="Y75" s="1787">
        <f>R75/Q75*100</f>
        <v>89.929440778206583</v>
      </c>
      <c r="Z75" s="1787">
        <f>Q75-R75</f>
        <v>1764.0799999999963</v>
      </c>
      <c r="AA75" s="1787">
        <v>1</v>
      </c>
      <c r="AB75" s="1787"/>
      <c r="AC75" s="1571"/>
      <c r="AD75" s="1571"/>
      <c r="AE75" s="1571"/>
      <c r="AF75" s="1571"/>
      <c r="AG75" s="1571"/>
      <c r="AH75" s="1571"/>
      <c r="AI75" s="1571"/>
      <c r="AJ75" s="1571"/>
      <c r="AK75" s="1571"/>
      <c r="AL75" s="1571"/>
      <c r="AM75" s="1571"/>
      <c r="AN75" s="1571"/>
      <c r="AO75" s="1571"/>
      <c r="AP75" s="1571"/>
      <c r="AQ75" s="1571"/>
      <c r="AR75" s="1571"/>
      <c r="AS75" s="1571"/>
      <c r="AT75" s="1571"/>
      <c r="AU75" s="1571"/>
      <c r="AV75" s="1571"/>
      <c r="AW75" s="1571"/>
      <c r="AX75" s="1571"/>
      <c r="AY75" s="1571"/>
      <c r="AZ75" s="1571"/>
      <c r="BA75" s="1571"/>
      <c r="BB75" s="1571"/>
      <c r="BC75" s="1571"/>
      <c r="BD75" s="1571"/>
      <c r="BE75" s="1571"/>
      <c r="BF75" s="1571"/>
      <c r="BG75" s="1571"/>
      <c r="BH75" s="1571"/>
      <c r="BI75" s="1571"/>
      <c r="BJ75" s="1571"/>
      <c r="BK75" s="1571"/>
      <c r="BL75" s="1571"/>
      <c r="BM75" s="1571"/>
      <c r="BN75" s="1571"/>
      <c r="BO75" s="1571"/>
      <c r="BP75" s="1571"/>
      <c r="BQ75" s="1571"/>
      <c r="BR75" s="1571"/>
      <c r="BS75" s="1571"/>
    </row>
    <row r="76" spans="1:86" ht="15" customHeight="1" x14ac:dyDescent="0.25">
      <c r="A76" s="16">
        <v>2</v>
      </c>
      <c r="B76" s="16"/>
      <c r="C76" s="424" t="s">
        <v>59</v>
      </c>
      <c r="D76" s="675">
        <v>1977</v>
      </c>
      <c r="E76" s="675">
        <v>3</v>
      </c>
      <c r="F76" s="675">
        <v>24</v>
      </c>
      <c r="G76" s="675">
        <v>81</v>
      </c>
      <c r="H76" s="676">
        <v>1456.7</v>
      </c>
      <c r="I76" s="1732"/>
      <c r="J76" s="1732"/>
      <c r="K76" s="1732"/>
      <c r="L76" s="1732"/>
      <c r="M76" s="676">
        <v>279.5</v>
      </c>
      <c r="N76" s="676">
        <v>279.5</v>
      </c>
      <c r="O76" s="676">
        <v>17480.29</v>
      </c>
      <c r="P76" s="1658">
        <v>17472.09</v>
      </c>
      <c r="Q76" s="1887">
        <f t="shared" ref="Q76:Q87" si="44">M76+O76</f>
        <v>17759.79</v>
      </c>
      <c r="R76" s="1887">
        <f t="shared" ref="R76:R87" si="45">N76+P76</f>
        <v>17751.59</v>
      </c>
      <c r="S76" s="1892"/>
      <c r="T76" s="1892"/>
      <c r="U76" s="1787">
        <f t="shared" ref="U76:U87" si="46">V76+W76</f>
        <v>1775.6311654681206</v>
      </c>
      <c r="V76" s="1787">
        <f t="shared" ref="V76:V87" si="47">2750/15709.31*H76</f>
        <v>255.0032432996739</v>
      </c>
      <c r="W76" s="1787">
        <f t="shared" ref="W76:W87" si="48">16398.72/15709.31*H76</f>
        <v>1520.6279221684467</v>
      </c>
      <c r="X76" s="1787">
        <f t="shared" ref="X76:X87" si="49">Q76-U76</f>
        <v>15984.15883453188</v>
      </c>
      <c r="Y76" s="1787">
        <f t="shared" ref="Y76:Y88" si="50">R76/Q76*100</f>
        <v>99.953828282879471</v>
      </c>
      <c r="Z76" s="1787">
        <f t="shared" ref="Z76:Z87" si="51">Q76-R76</f>
        <v>8.2000000000007276</v>
      </c>
      <c r="AA76" s="1787">
        <v>1</v>
      </c>
      <c r="AB76" s="1787"/>
      <c r="AC76" s="1571"/>
      <c r="AD76" s="1571"/>
      <c r="AE76" s="1571"/>
      <c r="AF76" s="1571"/>
      <c r="AG76" s="1571"/>
      <c r="AH76" s="1571"/>
      <c r="AI76" s="1571"/>
      <c r="AJ76" s="1571"/>
      <c r="AK76" s="1571"/>
      <c r="AL76" s="1571"/>
      <c r="AM76" s="1571"/>
      <c r="AN76" s="1571"/>
      <c r="AO76" s="1571"/>
      <c r="AP76" s="1571"/>
      <c r="AQ76" s="1571"/>
      <c r="AR76" s="1571"/>
      <c r="AS76" s="1571"/>
      <c r="AT76" s="1571"/>
      <c r="AU76" s="1571"/>
      <c r="AV76" s="1571"/>
      <c r="AW76" s="1571"/>
      <c r="AX76" s="1571"/>
      <c r="AY76" s="1571"/>
      <c r="AZ76" s="1571"/>
      <c r="BA76" s="1571"/>
      <c r="BB76" s="1571"/>
      <c r="BC76" s="1571"/>
      <c r="BD76" s="1571"/>
      <c r="BE76" s="1571"/>
      <c r="BF76" s="1571"/>
      <c r="BG76" s="1571"/>
      <c r="BH76" s="1571"/>
      <c r="BI76" s="1571"/>
      <c r="BJ76" s="1571"/>
      <c r="BK76" s="1571"/>
      <c r="BL76" s="1571"/>
      <c r="BM76" s="1571"/>
      <c r="BN76" s="1571"/>
      <c r="BO76" s="1571"/>
      <c r="BP76" s="1571"/>
      <c r="BQ76" s="1571"/>
      <c r="BR76" s="1571"/>
      <c r="BS76" s="1571"/>
    </row>
    <row r="77" spans="1:86" ht="15" customHeight="1" x14ac:dyDescent="0.25">
      <c r="A77" s="16">
        <v>3</v>
      </c>
      <c r="B77" s="16"/>
      <c r="C77" s="424" t="s">
        <v>60</v>
      </c>
      <c r="D77" s="675">
        <v>1972</v>
      </c>
      <c r="E77" s="675">
        <v>2</v>
      </c>
      <c r="F77" s="675">
        <v>18</v>
      </c>
      <c r="G77" s="675">
        <v>57</v>
      </c>
      <c r="H77" s="676">
        <v>776.8</v>
      </c>
      <c r="I77" s="1732"/>
      <c r="J77" s="1732"/>
      <c r="K77" s="1732"/>
      <c r="L77" s="1732"/>
      <c r="M77" s="676">
        <v>389.5</v>
      </c>
      <c r="N77" s="676">
        <v>389.5</v>
      </c>
      <c r="O77" s="676">
        <v>8932.1</v>
      </c>
      <c r="P77" s="1658">
        <v>8614.17</v>
      </c>
      <c r="Q77" s="1887">
        <f t="shared" si="44"/>
        <v>9321.6</v>
      </c>
      <c r="R77" s="1887">
        <f t="shared" si="45"/>
        <v>9003.67</v>
      </c>
      <c r="S77" s="1892"/>
      <c r="T77" s="1892"/>
      <c r="U77" s="1787">
        <f t="shared" si="46"/>
        <v>946.87326789018744</v>
      </c>
      <c r="V77" s="1787">
        <f t="shared" si="47"/>
        <v>135.98305718074187</v>
      </c>
      <c r="W77" s="1787">
        <f t="shared" si="48"/>
        <v>810.89021070944557</v>
      </c>
      <c r="X77" s="1787">
        <f t="shared" si="49"/>
        <v>8374.7267321098134</v>
      </c>
      <c r="Y77" s="1787">
        <f t="shared" si="50"/>
        <v>96.589319430140748</v>
      </c>
      <c r="Z77" s="1787">
        <f t="shared" si="51"/>
        <v>317.93000000000029</v>
      </c>
      <c r="AA77" s="1787">
        <v>1</v>
      </c>
      <c r="AB77" s="1787"/>
      <c r="AC77" s="1571"/>
      <c r="AD77" s="1571"/>
      <c r="AE77" s="1571"/>
      <c r="AF77" s="1571"/>
      <c r="AG77" s="1571"/>
      <c r="AH77" s="1571"/>
      <c r="AI77" s="1571"/>
      <c r="AJ77" s="1571"/>
      <c r="AK77" s="1571"/>
      <c r="AL77" s="1571"/>
      <c r="AM77" s="1571"/>
      <c r="AN77" s="1571"/>
      <c r="AO77" s="1571"/>
      <c r="AP77" s="1571"/>
      <c r="AQ77" s="1571"/>
      <c r="AR77" s="1571"/>
      <c r="AS77" s="1571"/>
      <c r="AT77" s="1571"/>
      <c r="AU77" s="1571"/>
      <c r="AV77" s="1571"/>
      <c r="AW77" s="1571"/>
      <c r="AX77" s="1571"/>
      <c r="AY77" s="1571"/>
      <c r="AZ77" s="1571"/>
      <c r="BA77" s="1571"/>
      <c r="BB77" s="1571"/>
      <c r="BC77" s="1571"/>
      <c r="BD77" s="1571"/>
      <c r="BE77" s="1571"/>
      <c r="BF77" s="1571"/>
      <c r="BG77" s="1571"/>
      <c r="BH77" s="1571"/>
      <c r="BI77" s="1571"/>
      <c r="BJ77" s="1571"/>
      <c r="BK77" s="1571"/>
      <c r="BL77" s="1571"/>
      <c r="BM77" s="1571"/>
      <c r="BN77" s="1571"/>
      <c r="BO77" s="1571"/>
      <c r="BP77" s="1571"/>
      <c r="BQ77" s="1571"/>
      <c r="BR77" s="1571"/>
      <c r="BS77" s="1571"/>
    </row>
    <row r="78" spans="1:86" ht="15" customHeight="1" x14ac:dyDescent="0.25">
      <c r="A78" s="16">
        <v>4</v>
      </c>
      <c r="B78" s="16"/>
      <c r="C78" s="424" t="s">
        <v>61</v>
      </c>
      <c r="D78" s="675">
        <v>1973</v>
      </c>
      <c r="E78" s="675">
        <v>2</v>
      </c>
      <c r="F78" s="675">
        <v>18</v>
      </c>
      <c r="G78" s="675">
        <v>49</v>
      </c>
      <c r="H78" s="676">
        <v>773.51</v>
      </c>
      <c r="I78" s="1732"/>
      <c r="J78" s="1732"/>
      <c r="K78" s="1732"/>
      <c r="L78" s="1732"/>
      <c r="M78" s="676">
        <v>145.66999999999999</v>
      </c>
      <c r="N78" s="676">
        <v>145.66999999999999</v>
      </c>
      <c r="O78" s="676">
        <v>9147.25</v>
      </c>
      <c r="P78" s="1658">
        <v>9470.11</v>
      </c>
      <c r="Q78" s="1887">
        <f t="shared" si="44"/>
        <v>9292.92</v>
      </c>
      <c r="R78" s="1887">
        <f t="shared" si="45"/>
        <v>9615.7800000000007</v>
      </c>
      <c r="S78" s="1892"/>
      <c r="T78" s="1892"/>
      <c r="U78" s="1787">
        <f t="shared" si="46"/>
        <v>942.86295242757319</v>
      </c>
      <c r="V78" s="1787">
        <f t="shared" si="47"/>
        <v>135.40712481961333</v>
      </c>
      <c r="W78" s="1787">
        <f t="shared" si="48"/>
        <v>807.45582760795992</v>
      </c>
      <c r="X78" s="1787">
        <f t="shared" si="49"/>
        <v>8350.0570475724271</v>
      </c>
      <c r="Y78" s="1787">
        <f t="shared" si="50"/>
        <v>103.47425782208393</v>
      </c>
      <c r="Z78" s="1787">
        <f t="shared" si="51"/>
        <v>-322.86000000000058</v>
      </c>
      <c r="AA78" s="1787">
        <v>1</v>
      </c>
      <c r="AB78" s="1787"/>
      <c r="AC78" s="1571"/>
      <c r="AD78" s="1571"/>
      <c r="AE78" s="1571"/>
      <c r="AF78" s="1571"/>
      <c r="AG78" s="1571"/>
      <c r="AH78" s="1571"/>
      <c r="AI78" s="1571"/>
      <c r="AJ78" s="1571"/>
      <c r="AK78" s="1571"/>
      <c r="AL78" s="1571"/>
      <c r="AM78" s="1571"/>
      <c r="AN78" s="1571"/>
      <c r="AO78" s="1571"/>
      <c r="AP78" s="1571"/>
      <c r="AQ78" s="1571"/>
      <c r="AR78" s="1571"/>
      <c r="AS78" s="1571"/>
      <c r="AT78" s="1571"/>
      <c r="AU78" s="1571"/>
      <c r="AV78" s="1571"/>
      <c r="AW78" s="1571"/>
      <c r="AX78" s="1571"/>
      <c r="AY78" s="1571"/>
      <c r="AZ78" s="1571"/>
      <c r="BA78" s="1571"/>
      <c r="BB78" s="1571"/>
      <c r="BC78" s="1571"/>
      <c r="BD78" s="1571"/>
      <c r="BE78" s="1571"/>
      <c r="BF78" s="1571"/>
      <c r="BG78" s="1571"/>
      <c r="BH78" s="1571"/>
      <c r="BI78" s="1571"/>
      <c r="BJ78" s="1571"/>
      <c r="BK78" s="1571"/>
      <c r="BL78" s="1571"/>
      <c r="BM78" s="1571"/>
      <c r="BN78" s="1571"/>
      <c r="BO78" s="1571"/>
      <c r="BP78" s="1571"/>
      <c r="BQ78" s="1571"/>
      <c r="BR78" s="1571"/>
      <c r="BS78" s="1571"/>
    </row>
    <row r="79" spans="1:86" ht="15" customHeight="1" x14ac:dyDescent="0.25">
      <c r="A79" s="16">
        <v>5</v>
      </c>
      <c r="B79" s="16"/>
      <c r="C79" s="424" t="s">
        <v>62</v>
      </c>
      <c r="D79" s="675">
        <v>1980</v>
      </c>
      <c r="E79" s="675">
        <v>3</v>
      </c>
      <c r="F79" s="675">
        <v>36</v>
      </c>
      <c r="G79" s="675">
        <v>93</v>
      </c>
      <c r="H79" s="676">
        <v>1799.9</v>
      </c>
      <c r="I79" s="1732"/>
      <c r="J79" s="1732"/>
      <c r="K79" s="1732"/>
      <c r="L79" s="1732"/>
      <c r="M79" s="676">
        <v>699.85</v>
      </c>
      <c r="N79" s="676">
        <v>699.85</v>
      </c>
      <c r="O79" s="676">
        <v>20874.95</v>
      </c>
      <c r="P79" s="1658">
        <v>21303.57</v>
      </c>
      <c r="Q79" s="1887">
        <f t="shared" si="44"/>
        <v>21574.799999999999</v>
      </c>
      <c r="R79" s="1887">
        <f t="shared" si="45"/>
        <v>22003.42</v>
      </c>
      <c r="S79" s="1892"/>
      <c r="T79" s="1892"/>
      <c r="U79" s="1787">
        <f t="shared" si="46"/>
        <v>2193.9716720848974</v>
      </c>
      <c r="V79" s="1787">
        <f t="shared" si="47"/>
        <v>315.0822665031119</v>
      </c>
      <c r="W79" s="1787">
        <f t="shared" si="48"/>
        <v>1878.8894055817857</v>
      </c>
      <c r="X79" s="1787">
        <f t="shared" si="49"/>
        <v>19380.8283279151</v>
      </c>
      <c r="Y79" s="1787">
        <f t="shared" si="50"/>
        <v>101.98666963309044</v>
      </c>
      <c r="Z79" s="1787">
        <f t="shared" si="51"/>
        <v>-428.61999999999898</v>
      </c>
      <c r="AA79" s="1787">
        <v>1</v>
      </c>
      <c r="AB79" s="1787"/>
      <c r="AC79" s="1571"/>
      <c r="AD79" s="1571"/>
      <c r="AE79" s="1571"/>
      <c r="AF79" s="1571"/>
      <c r="AG79" s="1571"/>
      <c r="AH79" s="1571"/>
      <c r="AI79" s="1571"/>
      <c r="AJ79" s="1571"/>
      <c r="AK79" s="1571"/>
      <c r="AL79" s="1571"/>
      <c r="AM79" s="1571"/>
      <c r="AN79" s="1571"/>
      <c r="AO79" s="1571"/>
      <c r="AP79" s="1571"/>
      <c r="AQ79" s="1571"/>
      <c r="AR79" s="1571"/>
      <c r="AS79" s="1571"/>
      <c r="AT79" s="1571"/>
      <c r="AU79" s="1571"/>
      <c r="AV79" s="1571"/>
      <c r="AW79" s="1571"/>
      <c r="AX79" s="1571"/>
      <c r="AY79" s="1571"/>
      <c r="AZ79" s="1571"/>
      <c r="BA79" s="1571"/>
      <c r="BB79" s="1571"/>
      <c r="BC79" s="1571"/>
      <c r="BD79" s="1571"/>
      <c r="BE79" s="1571"/>
      <c r="BF79" s="1571"/>
      <c r="BG79" s="1571"/>
      <c r="BH79" s="1571"/>
      <c r="BI79" s="1571"/>
      <c r="BJ79" s="1571"/>
      <c r="BK79" s="1571"/>
      <c r="BL79" s="1571"/>
      <c r="BM79" s="1571"/>
      <c r="BN79" s="1571"/>
      <c r="BO79" s="1571"/>
      <c r="BP79" s="1571"/>
      <c r="BQ79" s="1571"/>
      <c r="BR79" s="1571"/>
      <c r="BS79" s="1571"/>
    </row>
    <row r="80" spans="1:86" ht="15" customHeight="1" x14ac:dyDescent="0.25">
      <c r="A80" s="16">
        <v>6</v>
      </c>
      <c r="B80" s="16"/>
      <c r="C80" s="424" t="s">
        <v>63</v>
      </c>
      <c r="D80" s="675">
        <v>1982</v>
      </c>
      <c r="E80" s="675">
        <v>3</v>
      </c>
      <c r="F80" s="675">
        <v>24</v>
      </c>
      <c r="G80" s="675">
        <v>84</v>
      </c>
      <c r="H80" s="676">
        <v>1454.2</v>
      </c>
      <c r="I80" s="1732"/>
      <c r="J80" s="1732"/>
      <c r="K80" s="1732"/>
      <c r="L80" s="1732"/>
      <c r="M80" s="676">
        <v>623</v>
      </c>
      <c r="N80" s="676">
        <v>623</v>
      </c>
      <c r="O80" s="676">
        <v>16827.400000000001</v>
      </c>
      <c r="P80" s="1658">
        <v>14652.81</v>
      </c>
      <c r="Q80" s="1887">
        <f t="shared" si="44"/>
        <v>17450.400000000001</v>
      </c>
      <c r="R80" s="1887">
        <f t="shared" si="45"/>
        <v>15275.81</v>
      </c>
      <c r="S80" s="1892"/>
      <c r="T80" s="1892"/>
      <c r="U80" s="1787">
        <f t="shared" si="46"/>
        <v>1772.5838132928818</v>
      </c>
      <c r="V80" s="1787">
        <f t="shared" si="47"/>
        <v>254.56560472738778</v>
      </c>
      <c r="W80" s="1787">
        <f t="shared" si="48"/>
        <v>1518.018208565494</v>
      </c>
      <c r="X80" s="1787">
        <f t="shared" si="49"/>
        <v>15677.816186707119</v>
      </c>
      <c r="Y80" s="1787">
        <f t="shared" si="50"/>
        <v>87.538451840645479</v>
      </c>
      <c r="Z80" s="1787">
        <f t="shared" si="51"/>
        <v>2174.590000000002</v>
      </c>
      <c r="AA80" s="1787">
        <v>1</v>
      </c>
      <c r="AB80" s="1787"/>
      <c r="AC80" s="1571"/>
      <c r="AD80" s="1571"/>
      <c r="AE80" s="1571"/>
      <c r="AF80" s="1571"/>
      <c r="AG80" s="1571"/>
      <c r="AH80" s="1571"/>
      <c r="AI80" s="1571"/>
      <c r="AJ80" s="1571"/>
      <c r="AK80" s="1571"/>
      <c r="AL80" s="1571"/>
      <c r="AM80" s="1571"/>
      <c r="AN80" s="1571"/>
      <c r="AO80" s="1571"/>
      <c r="AP80" s="1571"/>
      <c r="AQ80" s="1571"/>
      <c r="AR80" s="1571"/>
      <c r="AS80" s="1571"/>
      <c r="AT80" s="1571"/>
      <c r="AU80" s="1571"/>
      <c r="AV80" s="1571"/>
      <c r="AW80" s="1571"/>
      <c r="AX80" s="1571"/>
      <c r="AY80" s="1571"/>
      <c r="AZ80" s="1571"/>
      <c r="BA80" s="1571"/>
      <c r="BB80" s="1571"/>
      <c r="BC80" s="1571"/>
      <c r="BD80" s="1571"/>
      <c r="BE80" s="1571"/>
      <c r="BF80" s="1571"/>
      <c r="BG80" s="1571"/>
      <c r="BH80" s="1571"/>
      <c r="BI80" s="1571"/>
      <c r="BJ80" s="1571"/>
      <c r="BK80" s="1571"/>
      <c r="BL80" s="1571"/>
      <c r="BM80" s="1571"/>
      <c r="BN80" s="1571"/>
      <c r="BO80" s="1571"/>
      <c r="BP80" s="1571"/>
      <c r="BQ80" s="1571"/>
      <c r="BR80" s="1571"/>
      <c r="BS80" s="1571"/>
    </row>
    <row r="81" spans="1:71" ht="15" customHeight="1" x14ac:dyDescent="0.25">
      <c r="A81" s="16">
        <v>7</v>
      </c>
      <c r="B81" s="16"/>
      <c r="C81" s="424" t="s">
        <v>64</v>
      </c>
      <c r="D81" s="675">
        <v>1982</v>
      </c>
      <c r="E81" s="675">
        <v>3</v>
      </c>
      <c r="F81" s="675">
        <v>24</v>
      </c>
      <c r="G81" s="675">
        <v>95</v>
      </c>
      <c r="H81" s="676">
        <v>1458.3</v>
      </c>
      <c r="I81" s="1732"/>
      <c r="J81" s="1732"/>
      <c r="K81" s="1732"/>
      <c r="L81" s="1732"/>
      <c r="M81" s="676">
        <v>356.5</v>
      </c>
      <c r="N81" s="676">
        <v>356.5</v>
      </c>
      <c r="O81" s="676">
        <v>17135.900000000001</v>
      </c>
      <c r="P81" s="1658">
        <v>16787.18</v>
      </c>
      <c r="Q81" s="1887">
        <f t="shared" si="44"/>
        <v>17492.400000000001</v>
      </c>
      <c r="R81" s="1887">
        <f t="shared" si="45"/>
        <v>17143.68</v>
      </c>
      <c r="S81" s="1892"/>
      <c r="T81" s="1892"/>
      <c r="U81" s="1787">
        <f t="shared" si="46"/>
        <v>1777.5814708602732</v>
      </c>
      <c r="V81" s="1787">
        <f t="shared" si="47"/>
        <v>255.283331985937</v>
      </c>
      <c r="W81" s="1787">
        <f t="shared" si="48"/>
        <v>1522.2981388743362</v>
      </c>
      <c r="X81" s="1787">
        <f t="shared" si="49"/>
        <v>15714.818529139728</v>
      </c>
      <c r="Y81" s="1787">
        <f t="shared" si="50"/>
        <v>98.006448514783557</v>
      </c>
      <c r="Z81" s="1787">
        <f t="shared" si="51"/>
        <v>348.72000000000116</v>
      </c>
      <c r="AA81" s="1787">
        <v>1</v>
      </c>
      <c r="AB81" s="1787"/>
      <c r="AC81" s="1571"/>
      <c r="AD81" s="1571"/>
      <c r="AE81" s="1571"/>
      <c r="AF81" s="1571"/>
      <c r="AG81" s="1571"/>
      <c r="AH81" s="1571"/>
      <c r="AI81" s="1571"/>
      <c r="AJ81" s="1571"/>
      <c r="AK81" s="1571"/>
      <c r="AL81" s="1571"/>
      <c r="AM81" s="1571"/>
      <c r="AN81" s="1571"/>
      <c r="AO81" s="1571"/>
      <c r="AP81" s="1571"/>
      <c r="AQ81" s="1571"/>
      <c r="AR81" s="1571"/>
      <c r="AS81" s="1571"/>
      <c r="AT81" s="1571"/>
      <c r="AU81" s="1571"/>
      <c r="AV81" s="1571"/>
      <c r="AW81" s="1571"/>
      <c r="AX81" s="1571"/>
      <c r="AY81" s="1571"/>
      <c r="AZ81" s="1571"/>
      <c r="BA81" s="1571"/>
      <c r="BB81" s="1571"/>
      <c r="BC81" s="1571"/>
      <c r="BD81" s="1571"/>
      <c r="BE81" s="1571"/>
      <c r="BF81" s="1571"/>
      <c r="BG81" s="1571"/>
      <c r="BH81" s="1571"/>
      <c r="BI81" s="1571"/>
      <c r="BJ81" s="1571"/>
      <c r="BK81" s="1571"/>
      <c r="BL81" s="1571"/>
      <c r="BM81" s="1571"/>
      <c r="BN81" s="1571"/>
      <c r="BO81" s="1571"/>
      <c r="BP81" s="1571"/>
      <c r="BQ81" s="1571"/>
      <c r="BR81" s="1571"/>
      <c r="BS81" s="1571"/>
    </row>
    <row r="82" spans="1:71" ht="15" customHeight="1" x14ac:dyDescent="0.25">
      <c r="A82" s="16">
        <v>8</v>
      </c>
      <c r="B82" s="16"/>
      <c r="C82" s="424" t="s">
        <v>65</v>
      </c>
      <c r="D82" s="675">
        <v>1983</v>
      </c>
      <c r="E82" s="675">
        <v>3</v>
      </c>
      <c r="F82" s="675">
        <v>24</v>
      </c>
      <c r="G82" s="675">
        <v>83</v>
      </c>
      <c r="H82" s="676">
        <v>1446.6</v>
      </c>
      <c r="I82" s="1732"/>
      <c r="J82" s="1732"/>
      <c r="K82" s="1732"/>
      <c r="L82" s="1732"/>
      <c r="M82" s="676">
        <v>614.26</v>
      </c>
      <c r="N82" s="676">
        <v>614.26</v>
      </c>
      <c r="O82" s="676">
        <v>16743.740000000002</v>
      </c>
      <c r="P82" s="1658">
        <v>16898.939999999999</v>
      </c>
      <c r="Q82" s="1887">
        <f t="shared" si="44"/>
        <v>17358</v>
      </c>
      <c r="R82" s="1887">
        <f t="shared" si="45"/>
        <v>17513.199999999997</v>
      </c>
      <c r="S82" s="1892"/>
      <c r="T82" s="1892"/>
      <c r="U82" s="1787">
        <f t="shared" si="46"/>
        <v>1763.3198626801559</v>
      </c>
      <c r="V82" s="1787">
        <f t="shared" si="47"/>
        <v>253.23518346763797</v>
      </c>
      <c r="W82" s="1787">
        <f t="shared" si="48"/>
        <v>1510.0846792125178</v>
      </c>
      <c r="X82" s="1787">
        <f t="shared" si="49"/>
        <v>15594.680137319843</v>
      </c>
      <c r="Y82" s="1787">
        <f t="shared" si="50"/>
        <v>100.89411222491069</v>
      </c>
      <c r="Z82" s="1787">
        <f t="shared" si="51"/>
        <v>-155.19999999999709</v>
      </c>
      <c r="AA82" s="1787">
        <v>1</v>
      </c>
      <c r="AB82" s="1787"/>
      <c r="AC82" s="1571"/>
      <c r="AD82" s="1571"/>
      <c r="AE82" s="1571"/>
      <c r="AF82" s="1571"/>
      <c r="AG82" s="1571"/>
      <c r="AH82" s="1571"/>
      <c r="AI82" s="1571"/>
      <c r="AJ82" s="1571"/>
      <c r="AK82" s="1571"/>
      <c r="AL82" s="1571"/>
      <c r="AM82" s="1571"/>
      <c r="AN82" s="1571"/>
      <c r="AO82" s="1571"/>
      <c r="AP82" s="1571"/>
      <c r="AQ82" s="1571"/>
      <c r="AR82" s="1571"/>
      <c r="AS82" s="1571"/>
      <c r="AT82" s="1571"/>
      <c r="AU82" s="1571"/>
      <c r="AV82" s="1571"/>
      <c r="AW82" s="1571"/>
      <c r="AX82" s="1571"/>
      <c r="AY82" s="1571"/>
      <c r="AZ82" s="1571"/>
      <c r="BA82" s="1571"/>
      <c r="BB82" s="1571"/>
      <c r="BC82" s="1571"/>
      <c r="BD82" s="1571"/>
      <c r="BE82" s="1571"/>
      <c r="BF82" s="1571"/>
      <c r="BG82" s="1571"/>
      <c r="BH82" s="1571"/>
      <c r="BI82" s="1571"/>
      <c r="BJ82" s="1571"/>
      <c r="BK82" s="1571"/>
      <c r="BL82" s="1571"/>
      <c r="BM82" s="1571"/>
      <c r="BN82" s="1571"/>
      <c r="BO82" s="1571"/>
      <c r="BP82" s="1571"/>
      <c r="BQ82" s="1571"/>
      <c r="BR82" s="1571"/>
      <c r="BS82" s="1571"/>
    </row>
    <row r="83" spans="1:71" ht="15" customHeight="1" x14ac:dyDescent="0.25">
      <c r="A83" s="16">
        <v>9</v>
      </c>
      <c r="B83" s="16"/>
      <c r="C83" s="424" t="s">
        <v>66</v>
      </c>
      <c r="D83" s="675">
        <v>1984</v>
      </c>
      <c r="E83" s="675">
        <v>3</v>
      </c>
      <c r="F83" s="675">
        <v>24</v>
      </c>
      <c r="G83" s="675">
        <v>68</v>
      </c>
      <c r="H83" s="676">
        <v>1448</v>
      </c>
      <c r="I83" s="1732"/>
      <c r="J83" s="1732"/>
      <c r="K83" s="1732"/>
      <c r="L83" s="1732"/>
      <c r="M83" s="676"/>
      <c r="N83" s="676"/>
      <c r="O83" s="676">
        <v>17376</v>
      </c>
      <c r="P83" s="1658">
        <v>17075.82</v>
      </c>
      <c r="Q83" s="1887">
        <f t="shared" si="44"/>
        <v>17376</v>
      </c>
      <c r="R83" s="1887">
        <f t="shared" si="45"/>
        <v>17075.82</v>
      </c>
      <c r="S83" s="1892"/>
      <c r="T83" s="1892"/>
      <c r="U83" s="1787">
        <f t="shared" si="46"/>
        <v>1765.0263798982896</v>
      </c>
      <c r="V83" s="1787">
        <f t="shared" si="47"/>
        <v>253.48026106811821</v>
      </c>
      <c r="W83" s="1787">
        <f t="shared" si="48"/>
        <v>1511.5461188301715</v>
      </c>
      <c r="X83" s="1787">
        <f t="shared" si="49"/>
        <v>15610.973620101711</v>
      </c>
      <c r="Y83" s="1787">
        <f t="shared" si="50"/>
        <v>98.272444751381215</v>
      </c>
      <c r="Z83" s="1787">
        <f t="shared" si="51"/>
        <v>300.18000000000029</v>
      </c>
      <c r="AA83" s="1787">
        <v>1</v>
      </c>
      <c r="AB83" s="1787"/>
      <c r="AC83" s="1571"/>
      <c r="AD83" s="1571"/>
      <c r="AE83" s="1571"/>
      <c r="AF83" s="1571"/>
      <c r="AG83" s="1571"/>
      <c r="AH83" s="1571"/>
      <c r="AI83" s="1571"/>
      <c r="AJ83" s="1571"/>
      <c r="AK83" s="1571"/>
      <c r="AL83" s="1571"/>
      <c r="AM83" s="1571"/>
      <c r="AN83" s="1571"/>
      <c r="AO83" s="1571"/>
      <c r="AP83" s="1571"/>
      <c r="AQ83" s="1571"/>
      <c r="AR83" s="1571"/>
      <c r="AS83" s="1571"/>
      <c r="AT83" s="1571"/>
      <c r="AU83" s="1571"/>
      <c r="AV83" s="1571"/>
      <c r="AW83" s="1571"/>
      <c r="AX83" s="1571"/>
      <c r="AY83" s="1571"/>
      <c r="AZ83" s="1571"/>
      <c r="BA83" s="1571"/>
      <c r="BB83" s="1571"/>
      <c r="BC83" s="1571"/>
      <c r="BD83" s="1571"/>
      <c r="BE83" s="1571"/>
      <c r="BF83" s="1571"/>
      <c r="BG83" s="1571"/>
      <c r="BH83" s="1571"/>
      <c r="BI83" s="1571"/>
      <c r="BJ83" s="1571"/>
      <c r="BK83" s="1571"/>
      <c r="BL83" s="1571"/>
      <c r="BM83" s="1571"/>
      <c r="BN83" s="1571"/>
      <c r="BO83" s="1571"/>
      <c r="BP83" s="1571"/>
      <c r="BQ83" s="1571"/>
      <c r="BR83" s="1571"/>
      <c r="BS83" s="1571"/>
    </row>
    <row r="84" spans="1:71" ht="15" customHeight="1" x14ac:dyDescent="0.25">
      <c r="A84" s="16">
        <v>10</v>
      </c>
      <c r="B84" s="16"/>
      <c r="C84" s="424" t="s">
        <v>67</v>
      </c>
      <c r="D84" s="675">
        <v>1987</v>
      </c>
      <c r="E84" s="675">
        <v>3</v>
      </c>
      <c r="F84" s="675">
        <v>27</v>
      </c>
      <c r="G84" s="675">
        <v>82</v>
      </c>
      <c r="H84" s="676">
        <v>1459.2</v>
      </c>
      <c r="I84" s="1732"/>
      <c r="J84" s="1732"/>
      <c r="K84" s="1732"/>
      <c r="L84" s="1732"/>
      <c r="M84" s="676"/>
      <c r="N84" s="676"/>
      <c r="O84" s="676">
        <v>17521</v>
      </c>
      <c r="P84" s="1658">
        <v>17065.54</v>
      </c>
      <c r="Q84" s="1887">
        <f t="shared" si="44"/>
        <v>17521</v>
      </c>
      <c r="R84" s="1887">
        <f t="shared" si="45"/>
        <v>17065.54</v>
      </c>
      <c r="S84" s="1892"/>
      <c r="T84" s="1892"/>
      <c r="U84" s="1787">
        <f t="shared" si="46"/>
        <v>1778.6785176433593</v>
      </c>
      <c r="V84" s="1787">
        <f t="shared" si="47"/>
        <v>255.44088187196002</v>
      </c>
      <c r="W84" s="1787">
        <f t="shared" si="48"/>
        <v>1523.2376357713993</v>
      </c>
      <c r="X84" s="1787">
        <f t="shared" si="49"/>
        <v>15742.321482356641</v>
      </c>
      <c r="Y84" s="1787">
        <f t="shared" si="50"/>
        <v>97.400490839563957</v>
      </c>
      <c r="Z84" s="1787">
        <f t="shared" si="51"/>
        <v>455.45999999999913</v>
      </c>
      <c r="AA84" s="1787">
        <v>1</v>
      </c>
      <c r="AB84" s="1787"/>
      <c r="AC84" s="1571"/>
      <c r="AD84" s="1571"/>
      <c r="AE84" s="1571"/>
      <c r="AF84" s="1571"/>
      <c r="AG84" s="1571"/>
      <c r="AH84" s="1571"/>
      <c r="AI84" s="1571"/>
      <c r="AJ84" s="1571"/>
      <c r="AK84" s="1571"/>
      <c r="AL84" s="1571"/>
      <c r="AM84" s="1571"/>
      <c r="AN84" s="1571"/>
      <c r="AO84" s="1571"/>
      <c r="AP84" s="1571"/>
      <c r="AQ84" s="1571"/>
      <c r="AR84" s="1571"/>
      <c r="AS84" s="1571"/>
      <c r="AT84" s="1571"/>
      <c r="AU84" s="1571"/>
      <c r="AV84" s="1571"/>
      <c r="AW84" s="1571"/>
      <c r="AX84" s="1571"/>
      <c r="AY84" s="1571"/>
      <c r="AZ84" s="1571"/>
      <c r="BA84" s="1571"/>
      <c r="BB84" s="1571"/>
      <c r="BC84" s="1571"/>
      <c r="BD84" s="1571"/>
      <c r="BE84" s="1571"/>
      <c r="BF84" s="1571"/>
      <c r="BG84" s="1571"/>
      <c r="BH84" s="1571"/>
      <c r="BI84" s="1571"/>
      <c r="BJ84" s="1571"/>
      <c r="BK84" s="1571"/>
      <c r="BL84" s="1571"/>
      <c r="BM84" s="1571"/>
      <c r="BN84" s="1571"/>
      <c r="BO84" s="1571"/>
      <c r="BP84" s="1571"/>
      <c r="BQ84" s="1571"/>
      <c r="BR84" s="1571"/>
      <c r="BS84" s="1571"/>
    </row>
    <row r="85" spans="1:71" ht="15" customHeight="1" x14ac:dyDescent="0.25">
      <c r="A85" s="16">
        <v>11</v>
      </c>
      <c r="B85" s="16"/>
      <c r="C85" s="424" t="s">
        <v>72</v>
      </c>
      <c r="D85" s="675">
        <v>1968</v>
      </c>
      <c r="E85" s="675">
        <v>2</v>
      </c>
      <c r="F85" s="675">
        <v>16</v>
      </c>
      <c r="G85" s="675">
        <v>36</v>
      </c>
      <c r="H85" s="676">
        <v>722.8</v>
      </c>
      <c r="I85" s="1732"/>
      <c r="J85" s="1732"/>
      <c r="K85" s="1732"/>
      <c r="L85" s="1732"/>
      <c r="M85" s="676">
        <v>497.5</v>
      </c>
      <c r="N85" s="676">
        <v>497.5</v>
      </c>
      <c r="O85" s="676">
        <v>8142.5</v>
      </c>
      <c r="P85" s="1658">
        <v>7311.04</v>
      </c>
      <c r="Q85" s="1887">
        <f t="shared" si="44"/>
        <v>8640</v>
      </c>
      <c r="R85" s="1887">
        <f t="shared" si="45"/>
        <v>7808.54</v>
      </c>
      <c r="S85" s="1892"/>
      <c r="T85" s="1892"/>
      <c r="U85" s="1787">
        <f t="shared" si="46"/>
        <v>881.05046090503015</v>
      </c>
      <c r="V85" s="1787">
        <f t="shared" si="47"/>
        <v>126.53006401936176</v>
      </c>
      <c r="W85" s="1787">
        <f t="shared" si="48"/>
        <v>754.52039688566845</v>
      </c>
      <c r="X85" s="1787">
        <f t="shared" si="49"/>
        <v>7758.9495390949696</v>
      </c>
      <c r="Y85" s="1787">
        <f t="shared" si="50"/>
        <v>90.376620370370375</v>
      </c>
      <c r="Z85" s="1787">
        <f t="shared" si="51"/>
        <v>831.46</v>
      </c>
      <c r="AA85" s="1787">
        <v>1</v>
      </c>
      <c r="AB85" s="1787"/>
      <c r="AC85" s="1571"/>
      <c r="AD85" s="1571"/>
      <c r="AE85" s="1571"/>
      <c r="AF85" s="1571"/>
      <c r="AG85" s="1571"/>
      <c r="AH85" s="1571"/>
      <c r="AI85" s="1571"/>
      <c r="AJ85" s="1571"/>
      <c r="AK85" s="1571"/>
      <c r="AL85" s="1571"/>
      <c r="AM85" s="1571"/>
      <c r="AN85" s="1571"/>
      <c r="AO85" s="1571"/>
      <c r="AP85" s="1571"/>
      <c r="AQ85" s="1571"/>
      <c r="AR85" s="1571"/>
      <c r="AS85" s="1571"/>
      <c r="AT85" s="1571"/>
      <c r="AU85" s="1571"/>
      <c r="AV85" s="1571"/>
      <c r="AW85" s="1571"/>
      <c r="AX85" s="1571"/>
      <c r="AY85" s="1571"/>
      <c r="AZ85" s="1571"/>
      <c r="BA85" s="1571"/>
      <c r="BB85" s="1571"/>
      <c r="BC85" s="1571"/>
      <c r="BD85" s="1571"/>
      <c r="BE85" s="1571"/>
      <c r="BF85" s="1571"/>
      <c r="BG85" s="1571"/>
      <c r="BH85" s="1571"/>
      <c r="BI85" s="1571"/>
      <c r="BJ85" s="1571"/>
      <c r="BK85" s="1571"/>
      <c r="BL85" s="1571"/>
      <c r="BM85" s="1571"/>
      <c r="BN85" s="1571"/>
      <c r="BO85" s="1571"/>
      <c r="BP85" s="1571"/>
      <c r="BQ85" s="1571"/>
      <c r="BR85" s="1571"/>
      <c r="BS85" s="1571"/>
    </row>
    <row r="86" spans="1:71" ht="15" customHeight="1" x14ac:dyDescent="0.25">
      <c r="A86" s="16">
        <v>12</v>
      </c>
      <c r="B86" s="16"/>
      <c r="C86" s="424" t="s">
        <v>73</v>
      </c>
      <c r="D86" s="675">
        <v>1971</v>
      </c>
      <c r="E86" s="675">
        <v>2</v>
      </c>
      <c r="F86" s="675">
        <v>16</v>
      </c>
      <c r="G86" s="675">
        <v>47</v>
      </c>
      <c r="H86" s="676">
        <v>727.4</v>
      </c>
      <c r="I86" s="1732"/>
      <c r="J86" s="1732"/>
      <c r="K86" s="1732"/>
      <c r="L86" s="1732"/>
      <c r="M86" s="676">
        <v>622</v>
      </c>
      <c r="N86" s="676">
        <v>622</v>
      </c>
      <c r="O86" s="676">
        <v>8105.6</v>
      </c>
      <c r="P86" s="1658">
        <v>7653.94</v>
      </c>
      <c r="Q86" s="1887">
        <f t="shared" si="44"/>
        <v>8727.6</v>
      </c>
      <c r="R86" s="1887">
        <f t="shared" si="45"/>
        <v>8275.9399999999987</v>
      </c>
      <c r="S86" s="1892"/>
      <c r="T86" s="1892"/>
      <c r="U86" s="1787">
        <f t="shared" si="46"/>
        <v>886.65758890746952</v>
      </c>
      <c r="V86" s="1787">
        <f t="shared" si="47"/>
        <v>127.33531899236822</v>
      </c>
      <c r="W86" s="1787">
        <f t="shared" si="48"/>
        <v>759.32226991510129</v>
      </c>
      <c r="X86" s="1787">
        <f t="shared" si="49"/>
        <v>7840.9424110925311</v>
      </c>
      <c r="Y86" s="1787">
        <f t="shared" si="50"/>
        <v>94.82492323204545</v>
      </c>
      <c r="Z86" s="1787">
        <f t="shared" si="51"/>
        <v>451.66000000000167</v>
      </c>
      <c r="AA86" s="1787">
        <v>1</v>
      </c>
      <c r="AB86" s="1787"/>
      <c r="AC86" s="1571"/>
      <c r="AD86" s="1571"/>
      <c r="AE86" s="1571"/>
      <c r="AF86" s="1571"/>
      <c r="AG86" s="1571"/>
      <c r="AH86" s="1571"/>
      <c r="AI86" s="1571"/>
      <c r="AJ86" s="1571"/>
      <c r="AK86" s="1571"/>
      <c r="AL86" s="1571"/>
      <c r="AM86" s="1571"/>
      <c r="AN86" s="1571"/>
      <c r="AO86" s="1571"/>
      <c r="AP86" s="1571"/>
      <c r="AQ86" s="1571"/>
      <c r="AR86" s="1571"/>
      <c r="AS86" s="1571"/>
      <c r="AT86" s="1571"/>
      <c r="AU86" s="1571"/>
      <c r="AV86" s="1571"/>
      <c r="AW86" s="1571"/>
      <c r="AX86" s="1571"/>
      <c r="AY86" s="1571"/>
      <c r="AZ86" s="1571"/>
      <c r="BA86" s="1571"/>
      <c r="BB86" s="1571"/>
      <c r="BC86" s="1571"/>
      <c r="BD86" s="1571"/>
      <c r="BE86" s="1571"/>
      <c r="BF86" s="1571"/>
      <c r="BG86" s="1571"/>
      <c r="BH86" s="1571"/>
      <c r="BI86" s="1571"/>
      <c r="BJ86" s="1571"/>
      <c r="BK86" s="1571"/>
      <c r="BL86" s="1571"/>
      <c r="BM86" s="1571"/>
      <c r="BN86" s="1571"/>
      <c r="BO86" s="1571"/>
      <c r="BP86" s="1571"/>
      <c r="BQ86" s="1571"/>
      <c r="BR86" s="1571"/>
      <c r="BS86" s="1571"/>
    </row>
    <row r="87" spans="1:71" ht="15" customHeight="1" x14ac:dyDescent="0.25">
      <c r="A87" s="257">
        <v>13</v>
      </c>
      <c r="B87" s="257"/>
      <c r="C87" s="526" t="s">
        <v>74</v>
      </c>
      <c r="D87" s="813">
        <v>1960</v>
      </c>
      <c r="E87" s="813">
        <v>2</v>
      </c>
      <c r="F87" s="813">
        <v>16</v>
      </c>
      <c r="G87" s="813">
        <v>44</v>
      </c>
      <c r="H87" s="689">
        <v>724.7</v>
      </c>
      <c r="I87" s="1733"/>
      <c r="J87" s="1733"/>
      <c r="K87" s="1733"/>
      <c r="L87" s="1733"/>
      <c r="M87" s="689">
        <v>368</v>
      </c>
      <c r="N87" s="689">
        <v>368</v>
      </c>
      <c r="O87" s="689">
        <v>8328.4</v>
      </c>
      <c r="P87" s="1658">
        <v>8392.65</v>
      </c>
      <c r="Q87" s="1887">
        <f t="shared" si="44"/>
        <v>8696.4</v>
      </c>
      <c r="R87" s="1887">
        <f t="shared" si="45"/>
        <v>8760.65</v>
      </c>
      <c r="S87" s="1892"/>
      <c r="T87" s="1892"/>
      <c r="U87" s="1787">
        <f t="shared" si="46"/>
        <v>883.36644855821169</v>
      </c>
      <c r="V87" s="1787">
        <f t="shared" si="47"/>
        <v>126.86266933429923</v>
      </c>
      <c r="W87" s="1787">
        <f t="shared" si="48"/>
        <v>756.50377922391249</v>
      </c>
      <c r="X87" s="1787">
        <f t="shared" si="49"/>
        <v>7813.0335514417875</v>
      </c>
      <c r="Y87" s="1787">
        <f t="shared" si="50"/>
        <v>100.73881146221424</v>
      </c>
      <c r="Z87" s="1787">
        <f t="shared" si="51"/>
        <v>-64.25</v>
      </c>
      <c r="AA87" s="1787">
        <v>1</v>
      </c>
      <c r="AB87" s="1787"/>
      <c r="AC87" s="1571"/>
      <c r="AD87" s="1571"/>
      <c r="AE87" s="1571"/>
      <c r="AF87" s="1571"/>
      <c r="AG87" s="1571"/>
      <c r="AH87" s="1571"/>
      <c r="AI87" s="1571"/>
      <c r="AJ87" s="1571"/>
      <c r="AK87" s="1571"/>
      <c r="AL87" s="1571"/>
      <c r="AM87" s="1571"/>
      <c r="AN87" s="1571"/>
      <c r="AO87" s="1571"/>
      <c r="AP87" s="1571"/>
      <c r="AQ87" s="1571"/>
      <c r="AR87" s="1571"/>
      <c r="AS87" s="1571"/>
      <c r="AT87" s="1571"/>
      <c r="AU87" s="1571"/>
      <c r="AV87" s="1571"/>
      <c r="AW87" s="1571"/>
      <c r="AX87" s="1571"/>
      <c r="AY87" s="1571"/>
      <c r="AZ87" s="1571"/>
      <c r="BA87" s="1571"/>
      <c r="BB87" s="1571"/>
      <c r="BC87" s="1571"/>
      <c r="BD87" s="1571"/>
      <c r="BE87" s="1571"/>
      <c r="BF87" s="1571"/>
      <c r="BG87" s="1571"/>
      <c r="BH87" s="1571"/>
      <c r="BI87" s="1571"/>
      <c r="BJ87" s="1571"/>
      <c r="BK87" s="1571"/>
      <c r="BL87" s="1571"/>
      <c r="BM87" s="1571"/>
      <c r="BN87" s="1571"/>
      <c r="BO87" s="1571"/>
      <c r="BP87" s="1571"/>
      <c r="BQ87" s="1571"/>
      <c r="BR87" s="1571"/>
      <c r="BS87" s="1571"/>
    </row>
    <row r="88" spans="1:71" ht="15" customHeight="1" x14ac:dyDescent="0.25">
      <c r="A88" s="386"/>
      <c r="B88" s="386"/>
      <c r="C88" s="531" t="s">
        <v>89</v>
      </c>
      <c r="D88" s="815"/>
      <c r="E88" s="1656">
        <f t="shared" ref="E88:H88" si="52">SUM(E75:E87)</f>
        <v>34</v>
      </c>
      <c r="F88" s="1656">
        <f t="shared" si="52"/>
        <v>291</v>
      </c>
      <c r="G88" s="1656">
        <f t="shared" si="52"/>
        <v>916</v>
      </c>
      <c r="H88" s="1656">
        <f t="shared" si="52"/>
        <v>15709.310000000001</v>
      </c>
      <c r="I88" s="1734"/>
      <c r="J88" s="1734"/>
      <c r="K88" s="1734"/>
      <c r="L88" s="1734"/>
      <c r="M88" s="1427">
        <f>SUM(M75:M87)</f>
        <v>5031.13</v>
      </c>
      <c r="N88" s="1427">
        <f>SUM(N75:N87)</f>
        <v>5031.13</v>
      </c>
      <c r="O88" s="1656">
        <f>SUM(O75:O87)</f>
        <v>183696.97999999998</v>
      </c>
      <c r="P88" s="1667">
        <f>SUM(P75:P87)</f>
        <v>178015.63</v>
      </c>
      <c r="Q88" s="1667">
        <f t="shared" ref="Q88:R88" si="53">SUM(Q75:Q87)</f>
        <v>188728.11</v>
      </c>
      <c r="R88" s="1667">
        <f t="shared" si="53"/>
        <v>183046.75999999998</v>
      </c>
      <c r="S88" s="1893"/>
      <c r="T88" s="1893"/>
      <c r="U88" s="1669">
        <f>SUM(U75:U87)</f>
        <v>19148.72</v>
      </c>
      <c r="V88" s="1669">
        <f>SUM(V75:V87)</f>
        <v>2750</v>
      </c>
      <c r="W88" s="1669">
        <f t="shared" ref="W88:X88" si="54">SUM(W75:W87)</f>
        <v>16398.719999999998</v>
      </c>
      <c r="X88" s="1669">
        <f t="shared" si="54"/>
        <v>169579.38999999996</v>
      </c>
      <c r="Y88" s="1788">
        <f t="shared" si="50"/>
        <v>96.989664125815693</v>
      </c>
      <c r="Z88" s="1788">
        <f>Q88-R88</f>
        <v>5681.3500000000058</v>
      </c>
      <c r="AA88" s="1669"/>
      <c r="AB88" s="1788"/>
      <c r="AC88" s="1571"/>
      <c r="AD88" s="1571"/>
      <c r="AE88" s="1571"/>
      <c r="AF88" s="1571"/>
      <c r="AG88" s="1571"/>
      <c r="AH88" s="1571"/>
      <c r="AI88" s="1571"/>
      <c r="AJ88" s="1571"/>
      <c r="AK88" s="1571"/>
      <c r="AL88" s="1571"/>
      <c r="AM88" s="1571"/>
      <c r="AN88" s="1571"/>
      <c r="AO88" s="1571"/>
      <c r="AP88" s="1571"/>
      <c r="AQ88" s="1571"/>
      <c r="AR88" s="1571"/>
      <c r="AS88" s="1571"/>
      <c r="AT88" s="1571"/>
      <c r="AU88" s="1571"/>
      <c r="AV88" s="1571"/>
      <c r="AW88" s="1571"/>
      <c r="AX88" s="1571"/>
      <c r="AY88" s="1571"/>
      <c r="AZ88" s="1571"/>
      <c r="BA88" s="1571"/>
      <c r="BB88" s="1571"/>
      <c r="BC88" s="1571"/>
      <c r="BD88" s="1571"/>
      <c r="BE88" s="1571"/>
      <c r="BF88" s="1571"/>
      <c r="BG88" s="1571"/>
      <c r="BH88" s="1571"/>
      <c r="BI88" s="1571"/>
      <c r="BJ88" s="1571"/>
      <c r="BK88" s="1571"/>
      <c r="BL88" s="1571"/>
      <c r="BM88" s="1571"/>
      <c r="BN88" s="1571"/>
      <c r="BO88" s="1571"/>
      <c r="BP88" s="1571"/>
      <c r="BQ88" s="1571"/>
      <c r="BR88" s="1571"/>
      <c r="BS88" s="1571"/>
    </row>
    <row r="89" spans="1:71" ht="15" customHeight="1" x14ac:dyDescent="0.25">
      <c r="C89" s="375"/>
      <c r="D89" s="375"/>
      <c r="E89" s="375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1571"/>
      <c r="Q89" s="1889"/>
      <c r="R89" s="1571"/>
      <c r="S89" s="1571"/>
      <c r="T89" s="1571"/>
      <c r="U89" s="1571"/>
      <c r="V89" s="1571"/>
      <c r="W89" s="1571"/>
      <c r="X89" s="1571"/>
      <c r="Y89" s="1571"/>
      <c r="Z89" s="1571"/>
      <c r="AA89" s="1571"/>
      <c r="AB89" s="1571"/>
      <c r="AC89" s="1571"/>
      <c r="AD89" s="1571"/>
      <c r="AE89" s="1571"/>
      <c r="AF89" s="1571"/>
      <c r="AG89" s="1571"/>
      <c r="AH89" s="1571"/>
      <c r="AI89" s="1571"/>
      <c r="AJ89" s="1571"/>
      <c r="AK89" s="1571"/>
      <c r="AL89" s="1571"/>
      <c r="AM89" s="1571"/>
      <c r="AN89" s="1571"/>
      <c r="AO89" s="1571"/>
      <c r="AP89" s="1571"/>
      <c r="AQ89" s="1571"/>
      <c r="AR89" s="1571"/>
      <c r="AS89" s="1571"/>
      <c r="AT89" s="1571"/>
      <c r="AU89" s="1571"/>
      <c r="AV89" s="1571"/>
      <c r="AW89" s="1571"/>
      <c r="AX89" s="1571"/>
      <c r="AY89" s="1571"/>
      <c r="AZ89" s="1571"/>
      <c r="BA89" s="1571"/>
      <c r="BB89" s="1571"/>
      <c r="BC89" s="1571"/>
      <c r="BD89" s="1571"/>
      <c r="BE89" s="1571"/>
      <c r="BF89" s="1571"/>
      <c r="BG89" s="1571"/>
      <c r="BH89" s="1571"/>
      <c r="BI89" s="1571"/>
      <c r="BJ89" s="1571"/>
      <c r="BK89" s="1571"/>
      <c r="BL89" s="1571"/>
      <c r="BM89" s="1571"/>
      <c r="BN89" s="1571"/>
      <c r="BO89" s="1571"/>
      <c r="BP89" s="1571"/>
      <c r="BQ89" s="1571"/>
      <c r="BR89" s="1571"/>
      <c r="BS89" s="1571"/>
    </row>
    <row r="90" spans="1:71" ht="15" customHeight="1" x14ac:dyDescent="0.25">
      <c r="Q90" s="1912" t="s">
        <v>911</v>
      </c>
      <c r="AC90" s="1571"/>
      <c r="AD90" s="1571"/>
      <c r="AE90" s="1571"/>
      <c r="AF90" s="1571"/>
      <c r="AG90" s="1571"/>
      <c r="AH90" s="1571"/>
      <c r="AI90" s="1571"/>
      <c r="AJ90" s="1571"/>
      <c r="AK90" s="1571"/>
      <c r="AL90" s="1571"/>
      <c r="AM90" s="1571"/>
      <c r="AN90" s="1571"/>
      <c r="AO90" s="1571"/>
      <c r="AP90" s="1571"/>
      <c r="AQ90" s="1571"/>
      <c r="AR90" s="1571"/>
      <c r="AS90" s="1571"/>
      <c r="AT90" s="1571"/>
      <c r="AU90" s="1571"/>
      <c r="AV90" s="1571"/>
      <c r="AW90" s="1571"/>
      <c r="AX90" s="1571"/>
      <c r="AY90" s="1571"/>
      <c r="AZ90" s="1571"/>
      <c r="BA90" s="1571"/>
      <c r="BB90" s="1571"/>
      <c r="BC90" s="1571"/>
      <c r="BD90" s="1571"/>
      <c r="BE90" s="1571"/>
      <c r="BF90" s="1571"/>
      <c r="BG90" s="1571"/>
      <c r="BH90" s="1571"/>
      <c r="BI90" s="1571"/>
      <c r="BJ90" s="1571"/>
      <c r="BK90" s="1571"/>
      <c r="BL90" s="1571"/>
      <c r="BM90" s="1571"/>
      <c r="BN90" s="1571"/>
      <c r="BO90" s="1571"/>
      <c r="BP90" s="1571"/>
      <c r="BQ90" s="1571"/>
      <c r="BR90" s="1571"/>
      <c r="BS90" s="1571"/>
    </row>
    <row r="91" spans="1:71" ht="15" customHeight="1" x14ac:dyDescent="0.25">
      <c r="AC91" s="1571"/>
      <c r="AD91" s="1571"/>
      <c r="AE91" s="1571"/>
      <c r="AF91" s="1571"/>
      <c r="AG91" s="1571"/>
      <c r="AH91" s="1571"/>
      <c r="AI91" s="1571"/>
      <c r="AJ91" s="1571"/>
      <c r="AK91" s="1571"/>
      <c r="AL91" s="1571"/>
      <c r="AM91" s="1571"/>
      <c r="AN91" s="1571"/>
      <c r="AO91" s="1571"/>
      <c r="AP91" s="1571"/>
      <c r="AQ91" s="1571"/>
      <c r="AR91" s="1571"/>
      <c r="AS91" s="1571"/>
      <c r="AT91" s="1571"/>
      <c r="AU91" s="1571"/>
      <c r="AV91" s="1571"/>
      <c r="AW91" s="1571"/>
      <c r="AX91" s="1571"/>
      <c r="AY91" s="1571"/>
      <c r="AZ91" s="1571"/>
      <c r="BA91" s="1571"/>
      <c r="BB91" s="1571"/>
      <c r="BC91" s="1571"/>
      <c r="BD91" s="1571"/>
      <c r="BE91" s="1571"/>
      <c r="BF91" s="1571"/>
      <c r="BG91" s="1571"/>
      <c r="BH91" s="1571"/>
      <c r="BI91" s="1571"/>
      <c r="BJ91" s="1571"/>
      <c r="BK91" s="1571"/>
      <c r="BL91" s="1571"/>
      <c r="BM91" s="1571"/>
      <c r="BN91" s="1571"/>
      <c r="BO91" s="1571"/>
      <c r="BP91" s="1571"/>
      <c r="BQ91" s="1571"/>
      <c r="BR91" s="1571"/>
      <c r="BS91" s="1571"/>
    </row>
    <row r="92" spans="1:71" ht="15" customHeight="1" x14ac:dyDescent="0.25">
      <c r="AC92" s="1571"/>
      <c r="AD92" s="1571"/>
      <c r="AE92" s="1571"/>
      <c r="AF92" s="1571"/>
      <c r="AG92" s="1571"/>
      <c r="AH92" s="1571"/>
      <c r="AI92" s="1571"/>
      <c r="AJ92" s="1571"/>
      <c r="AK92" s="1571"/>
      <c r="AL92" s="1571"/>
      <c r="AM92" s="1571"/>
      <c r="AN92" s="1571"/>
      <c r="AO92" s="1571"/>
      <c r="AP92" s="1571"/>
      <c r="AQ92" s="1571"/>
      <c r="AR92" s="1571"/>
      <c r="AS92" s="1571"/>
      <c r="AT92" s="1571"/>
      <c r="AU92" s="1571"/>
      <c r="AV92" s="1571"/>
      <c r="AW92" s="1571"/>
      <c r="AX92" s="1571"/>
      <c r="AY92" s="1571"/>
      <c r="AZ92" s="1571"/>
      <c r="BA92" s="1571"/>
      <c r="BB92" s="1571"/>
      <c r="BC92" s="1571"/>
      <c r="BD92" s="1571"/>
      <c r="BE92" s="1571"/>
      <c r="BF92" s="1571"/>
      <c r="BG92" s="1571"/>
      <c r="BH92" s="1571"/>
      <c r="BI92" s="1571"/>
      <c r="BJ92" s="1571"/>
      <c r="BK92" s="1571"/>
      <c r="BL92" s="1571"/>
      <c r="BM92" s="1571"/>
      <c r="BN92" s="1571"/>
      <c r="BO92" s="1571"/>
      <c r="BP92" s="1571"/>
      <c r="BQ92" s="1571"/>
      <c r="BR92" s="1571"/>
      <c r="BS92" s="1571"/>
    </row>
    <row r="93" spans="1:71" ht="15" customHeight="1" x14ac:dyDescent="0.25">
      <c r="AC93" s="1571"/>
      <c r="AD93" s="1571"/>
      <c r="AE93" s="1571"/>
      <c r="AF93" s="1571"/>
      <c r="AG93" s="1571"/>
      <c r="AH93" s="1571"/>
      <c r="AI93" s="1571"/>
      <c r="AJ93" s="1571"/>
      <c r="AK93" s="1571"/>
      <c r="AL93" s="1571"/>
      <c r="AM93" s="1571"/>
      <c r="AN93" s="1571"/>
      <c r="AO93" s="1571"/>
      <c r="AP93" s="1571"/>
      <c r="AQ93" s="1571"/>
      <c r="AR93" s="1571"/>
      <c r="AS93" s="1571"/>
      <c r="AT93" s="1571"/>
      <c r="AU93" s="1571"/>
      <c r="AV93" s="1571"/>
      <c r="AW93" s="1571"/>
      <c r="AX93" s="1571"/>
      <c r="AY93" s="1571"/>
      <c r="AZ93" s="1571"/>
      <c r="BA93" s="1571"/>
      <c r="BB93" s="1571"/>
      <c r="BC93" s="1571"/>
      <c r="BD93" s="1571"/>
      <c r="BE93" s="1571"/>
      <c r="BF93" s="1571"/>
      <c r="BG93" s="1571"/>
      <c r="BH93" s="1571"/>
      <c r="BI93" s="1571"/>
      <c r="BJ93" s="1571"/>
      <c r="BK93" s="1571"/>
      <c r="BL93" s="1571"/>
      <c r="BM93" s="1571"/>
      <c r="BN93" s="1571"/>
      <c r="BO93" s="1571"/>
      <c r="BP93" s="1571"/>
      <c r="BQ93" s="1571"/>
      <c r="BR93" s="1571"/>
      <c r="BS93" s="1571"/>
    </row>
    <row r="94" spans="1:71" ht="15" customHeight="1" x14ac:dyDescent="0.25">
      <c r="AC94" s="1571"/>
      <c r="AD94" s="1571"/>
      <c r="AE94" s="1571"/>
      <c r="AF94" s="1571"/>
      <c r="AG94" s="1571"/>
      <c r="AH94" s="1571"/>
      <c r="AI94" s="1571"/>
      <c r="AJ94" s="1571"/>
      <c r="AK94" s="1571"/>
      <c r="AL94" s="1571"/>
      <c r="AM94" s="1571"/>
      <c r="AN94" s="1571"/>
      <c r="AO94" s="1571"/>
      <c r="AP94" s="1571"/>
      <c r="AQ94" s="1571"/>
      <c r="AR94" s="1571"/>
      <c r="AS94" s="1571"/>
      <c r="AT94" s="1571"/>
      <c r="AU94" s="1571"/>
      <c r="AV94" s="1571"/>
      <c r="AW94" s="1571"/>
      <c r="AX94" s="1571"/>
      <c r="AY94" s="1571"/>
      <c r="AZ94" s="1571"/>
      <c r="BA94" s="1571"/>
      <c r="BB94" s="1571"/>
      <c r="BC94" s="1571"/>
      <c r="BD94" s="1571"/>
      <c r="BE94" s="1571"/>
      <c r="BF94" s="1571"/>
      <c r="BG94" s="1571"/>
      <c r="BH94" s="1571"/>
      <c r="BI94" s="1571"/>
      <c r="BJ94" s="1571"/>
      <c r="BK94" s="1571"/>
      <c r="BL94" s="1571"/>
      <c r="BM94" s="1571"/>
      <c r="BN94" s="1571"/>
      <c r="BO94" s="1571"/>
      <c r="BP94" s="1571"/>
      <c r="BQ94" s="1571"/>
      <c r="BR94" s="1571"/>
      <c r="BS94" s="1571"/>
    </row>
    <row r="95" spans="1:71" ht="15" customHeight="1" x14ac:dyDescent="0.25">
      <c r="AC95" s="1571"/>
      <c r="AD95" s="1571"/>
      <c r="AE95" s="1571"/>
      <c r="AF95" s="1571"/>
      <c r="AG95" s="1571"/>
      <c r="AH95" s="1571"/>
      <c r="AI95" s="1571"/>
      <c r="AJ95" s="1571"/>
      <c r="AK95" s="1571"/>
      <c r="AL95" s="1571"/>
      <c r="AM95" s="1571"/>
      <c r="AN95" s="1571"/>
      <c r="AO95" s="1571"/>
      <c r="AP95" s="1571"/>
      <c r="AQ95" s="1571"/>
      <c r="AR95" s="1571"/>
      <c r="AS95" s="1571"/>
      <c r="AT95" s="1571"/>
      <c r="AU95" s="1571"/>
      <c r="AV95" s="1571"/>
      <c r="AW95" s="1571"/>
      <c r="AX95" s="1571"/>
      <c r="AY95" s="1571"/>
      <c r="AZ95" s="1571"/>
      <c r="BA95" s="1571"/>
      <c r="BB95" s="1571"/>
      <c r="BC95" s="1571"/>
      <c r="BD95" s="1571"/>
      <c r="BE95" s="1571"/>
      <c r="BF95" s="1571"/>
      <c r="BG95" s="1571"/>
      <c r="BH95" s="1571"/>
      <c r="BI95" s="1571"/>
      <c r="BJ95" s="1571"/>
      <c r="BK95" s="1571"/>
      <c r="BL95" s="1571"/>
      <c r="BM95" s="1571"/>
      <c r="BN95" s="1571"/>
      <c r="BO95" s="1571"/>
      <c r="BP95" s="1571"/>
      <c r="BQ95" s="1571"/>
      <c r="BR95" s="1571"/>
      <c r="BS95" s="1571"/>
    </row>
    <row r="96" spans="1:71" ht="15" customHeight="1" x14ac:dyDescent="0.25">
      <c r="AC96" s="1571"/>
      <c r="AD96" s="1571"/>
      <c r="AE96" s="1571"/>
      <c r="AF96" s="1571"/>
      <c r="AG96" s="1571"/>
      <c r="AH96" s="1571"/>
      <c r="AI96" s="1571"/>
      <c r="AJ96" s="1571"/>
      <c r="AK96" s="1571"/>
      <c r="AL96" s="1571"/>
      <c r="AM96" s="1571"/>
      <c r="AN96" s="1571"/>
      <c r="AO96" s="1571"/>
      <c r="AP96" s="1571"/>
      <c r="AQ96" s="1571"/>
      <c r="AR96" s="1571"/>
      <c r="AS96" s="1571"/>
      <c r="AT96" s="1571"/>
      <c r="AU96" s="1571"/>
      <c r="AV96" s="1571"/>
      <c r="AW96" s="1571"/>
      <c r="AX96" s="1571"/>
      <c r="AY96" s="1571"/>
      <c r="AZ96" s="1571"/>
      <c r="BA96" s="1571"/>
      <c r="BB96" s="1571"/>
      <c r="BC96" s="1571"/>
      <c r="BD96" s="1571"/>
      <c r="BE96" s="1571"/>
      <c r="BF96" s="1571"/>
      <c r="BG96" s="1571"/>
      <c r="BH96" s="1571"/>
      <c r="BI96" s="1571"/>
      <c r="BJ96" s="1571"/>
      <c r="BK96" s="1571"/>
      <c r="BL96" s="1571"/>
      <c r="BM96" s="1571"/>
      <c r="BN96" s="1571"/>
      <c r="BO96" s="1571"/>
      <c r="BP96" s="1571"/>
      <c r="BQ96" s="1571"/>
      <c r="BR96" s="1571"/>
      <c r="BS96" s="1571"/>
    </row>
    <row r="97" spans="29:71" ht="15" customHeight="1" x14ac:dyDescent="0.25">
      <c r="AC97" s="1571"/>
      <c r="AD97" s="1571"/>
      <c r="AE97" s="1571"/>
      <c r="AF97" s="1571"/>
      <c r="AG97" s="1571"/>
      <c r="AH97" s="1571"/>
      <c r="AI97" s="1571"/>
      <c r="AJ97" s="1571"/>
      <c r="AK97" s="1571"/>
      <c r="AL97" s="1571"/>
      <c r="AM97" s="1571"/>
      <c r="AN97" s="1571"/>
      <c r="AO97" s="1571"/>
      <c r="AP97" s="1571"/>
      <c r="AQ97" s="1571"/>
      <c r="AR97" s="1571"/>
      <c r="AS97" s="1571"/>
      <c r="AT97" s="1571"/>
      <c r="AU97" s="1571"/>
      <c r="AV97" s="1571"/>
      <c r="AW97" s="1571"/>
      <c r="AX97" s="1571"/>
      <c r="AY97" s="1571"/>
      <c r="AZ97" s="1571"/>
      <c r="BA97" s="1571"/>
      <c r="BB97" s="1571"/>
      <c r="BC97" s="1571"/>
      <c r="BD97" s="1571"/>
      <c r="BE97" s="1571"/>
      <c r="BF97" s="1571"/>
      <c r="BG97" s="1571"/>
      <c r="BH97" s="1571"/>
      <c r="BI97" s="1571"/>
      <c r="BJ97" s="1571"/>
      <c r="BK97" s="1571"/>
      <c r="BL97" s="1571"/>
      <c r="BM97" s="1571"/>
      <c r="BN97" s="1571"/>
      <c r="BO97" s="1571"/>
      <c r="BP97" s="1571"/>
      <c r="BQ97" s="1571"/>
      <c r="BR97" s="1571"/>
      <c r="BS97" s="1571"/>
    </row>
    <row r="98" spans="29:71" ht="15" customHeight="1" x14ac:dyDescent="0.25">
      <c r="AC98" s="1571"/>
      <c r="AD98" s="1571"/>
      <c r="AE98" s="1571"/>
      <c r="AF98" s="1571"/>
      <c r="AG98" s="1571"/>
      <c r="AH98" s="1571"/>
      <c r="AI98" s="1571"/>
      <c r="AJ98" s="1571"/>
      <c r="AK98" s="1571"/>
      <c r="AL98" s="1571"/>
      <c r="AM98" s="1571"/>
      <c r="AN98" s="1571"/>
      <c r="AO98" s="1571"/>
      <c r="AP98" s="1571"/>
      <c r="AQ98" s="1571"/>
      <c r="AR98" s="1571"/>
      <c r="AS98" s="1571"/>
      <c r="AT98" s="1571"/>
      <c r="AU98" s="1571"/>
      <c r="AV98" s="1571"/>
      <c r="AW98" s="1571"/>
      <c r="AX98" s="1571"/>
      <c r="AY98" s="1571"/>
      <c r="AZ98" s="1571"/>
      <c r="BA98" s="1571"/>
      <c r="BB98" s="1571"/>
      <c r="BC98" s="1571"/>
      <c r="BD98" s="1571"/>
      <c r="BE98" s="1571"/>
      <c r="BF98" s="1571"/>
      <c r="BG98" s="1571"/>
      <c r="BH98" s="1571"/>
      <c r="BI98" s="1571"/>
      <c r="BJ98" s="1571"/>
      <c r="BK98" s="1571"/>
      <c r="BL98" s="1571"/>
      <c r="BM98" s="1571"/>
      <c r="BN98" s="1571"/>
      <c r="BO98" s="1571"/>
      <c r="BP98" s="1571"/>
      <c r="BQ98" s="1571"/>
      <c r="BR98" s="1571"/>
      <c r="BS98" s="1571"/>
    </row>
    <row r="99" spans="29:71" ht="15" customHeight="1" x14ac:dyDescent="0.25">
      <c r="AC99" s="1571"/>
      <c r="AD99" s="1571"/>
      <c r="AE99" s="1571"/>
      <c r="AF99" s="1571"/>
      <c r="AG99" s="1571"/>
      <c r="AH99" s="1571"/>
      <c r="AI99" s="1571"/>
      <c r="AJ99" s="1571"/>
      <c r="AK99" s="1571"/>
      <c r="AL99" s="1571"/>
      <c r="AM99" s="1571"/>
      <c r="AN99" s="1571"/>
      <c r="AO99" s="1571"/>
      <c r="AP99" s="1571"/>
      <c r="AQ99" s="1571"/>
      <c r="AR99" s="1571"/>
      <c r="AS99" s="1571"/>
      <c r="AT99" s="1571"/>
      <c r="AU99" s="1571"/>
      <c r="AV99" s="1571"/>
      <c r="AW99" s="1571"/>
      <c r="AX99" s="1571"/>
      <c r="AY99" s="1571"/>
      <c r="AZ99" s="1571"/>
      <c r="BA99" s="1571"/>
      <c r="BB99" s="1571"/>
      <c r="BC99" s="1571"/>
      <c r="BD99" s="1571"/>
      <c r="BE99" s="1571"/>
      <c r="BF99" s="1571"/>
      <c r="BG99" s="1571"/>
      <c r="BH99" s="1571"/>
      <c r="BI99" s="1571"/>
      <c r="BJ99" s="1571"/>
      <c r="BK99" s="1571"/>
      <c r="BL99" s="1571"/>
      <c r="BM99" s="1571"/>
      <c r="BN99" s="1571"/>
      <c r="BO99" s="1571"/>
      <c r="BP99" s="1571"/>
      <c r="BQ99" s="1571"/>
      <c r="BR99" s="1571"/>
      <c r="BS99" s="1571"/>
    </row>
    <row r="100" spans="29:71" ht="15" customHeight="1" x14ac:dyDescent="0.25">
      <c r="AC100" s="1571"/>
      <c r="AD100" s="1571"/>
      <c r="AE100" s="1571"/>
      <c r="AF100" s="1571"/>
      <c r="AG100" s="1571"/>
      <c r="AH100" s="1571"/>
      <c r="AI100" s="1571"/>
      <c r="AJ100" s="1571"/>
      <c r="AK100" s="1571"/>
      <c r="AL100" s="1571"/>
      <c r="AM100" s="1571"/>
      <c r="AN100" s="1571"/>
      <c r="AO100" s="1571"/>
      <c r="AP100" s="1571"/>
      <c r="AQ100" s="1571"/>
      <c r="AR100" s="1571"/>
      <c r="AS100" s="1571"/>
      <c r="AT100" s="1571"/>
      <c r="AU100" s="1571"/>
      <c r="AV100" s="1571"/>
      <c r="AW100" s="1571"/>
      <c r="AX100" s="1571"/>
      <c r="AY100" s="1571"/>
      <c r="AZ100" s="1571"/>
      <c r="BA100" s="1571"/>
      <c r="BB100" s="1571"/>
      <c r="BC100" s="1571"/>
      <c r="BD100" s="1571"/>
      <c r="BE100" s="1571"/>
      <c r="BF100" s="1571"/>
      <c r="BG100" s="1571"/>
      <c r="BH100" s="1571"/>
      <c r="BI100" s="1571"/>
      <c r="BJ100" s="1571"/>
      <c r="BK100" s="1571"/>
      <c r="BL100" s="1571"/>
      <c r="BM100" s="1571"/>
      <c r="BN100" s="1571"/>
      <c r="BO100" s="1571"/>
      <c r="BP100" s="1571"/>
      <c r="BQ100" s="1571"/>
      <c r="BR100" s="1571"/>
      <c r="BS100" s="1571"/>
    </row>
    <row r="101" spans="29:71" ht="15" customHeight="1" x14ac:dyDescent="0.25">
      <c r="AC101" s="1571"/>
      <c r="AD101" s="1571"/>
      <c r="AE101" s="1571"/>
      <c r="AF101" s="1571"/>
      <c r="AG101" s="1571"/>
      <c r="AH101" s="1571"/>
      <c r="AI101" s="1571"/>
      <c r="AJ101" s="1571"/>
      <c r="AK101" s="1571"/>
      <c r="AL101" s="1571"/>
      <c r="AM101" s="1571"/>
      <c r="AN101" s="1571"/>
      <c r="AO101" s="1571"/>
      <c r="AP101" s="1571"/>
      <c r="AQ101" s="1571"/>
      <c r="AR101" s="1571"/>
      <c r="AS101" s="1571"/>
      <c r="AT101" s="1571"/>
      <c r="AU101" s="1571"/>
      <c r="AV101" s="1571"/>
      <c r="AW101" s="1571"/>
      <c r="AX101" s="1571"/>
      <c r="AY101" s="1571"/>
      <c r="AZ101" s="1571"/>
      <c r="BA101" s="1571"/>
      <c r="BB101" s="1571"/>
      <c r="BC101" s="1571"/>
      <c r="BD101" s="1571"/>
      <c r="BE101" s="1571"/>
      <c r="BF101" s="1571"/>
      <c r="BG101" s="1571"/>
      <c r="BH101" s="1571"/>
      <c r="BI101" s="1571"/>
      <c r="BJ101" s="1571"/>
      <c r="BK101" s="1571"/>
      <c r="BL101" s="1571"/>
      <c r="BM101" s="1571"/>
      <c r="BN101" s="1571"/>
      <c r="BO101" s="1571"/>
      <c r="BP101" s="1571"/>
      <c r="BQ101" s="1571"/>
      <c r="BR101" s="1571"/>
      <c r="BS101" s="1571"/>
    </row>
    <row r="102" spans="29:71" ht="15" customHeight="1" x14ac:dyDescent="0.25">
      <c r="AC102" s="1571"/>
      <c r="AD102" s="1571"/>
      <c r="AE102" s="1571"/>
      <c r="AF102" s="1571"/>
      <c r="AG102" s="1571"/>
      <c r="AH102" s="1571"/>
      <c r="AI102" s="1571"/>
      <c r="AJ102" s="1571"/>
      <c r="AK102" s="1571"/>
      <c r="AL102" s="1571"/>
      <c r="AM102" s="1571"/>
      <c r="AN102" s="1571"/>
      <c r="AO102" s="1571"/>
      <c r="AP102" s="1571"/>
      <c r="AQ102" s="1571"/>
      <c r="AR102" s="1571"/>
      <c r="AS102" s="1571"/>
      <c r="AT102" s="1571"/>
      <c r="AU102" s="1571"/>
      <c r="AV102" s="1571"/>
      <c r="AW102" s="1571"/>
      <c r="AX102" s="1571"/>
      <c r="AY102" s="1571"/>
      <c r="AZ102" s="1571"/>
      <c r="BA102" s="1571"/>
      <c r="BB102" s="1571"/>
      <c r="BC102" s="1571"/>
      <c r="BD102" s="1571"/>
      <c r="BE102" s="1571"/>
      <c r="BF102" s="1571"/>
      <c r="BG102" s="1571"/>
      <c r="BH102" s="1571"/>
      <c r="BI102" s="1571"/>
      <c r="BJ102" s="1571"/>
      <c r="BK102" s="1571"/>
      <c r="BL102" s="1571"/>
      <c r="BM102" s="1571"/>
      <c r="BN102" s="1571"/>
      <c r="BO102" s="1571"/>
      <c r="BP102" s="1571"/>
      <c r="BQ102" s="1571"/>
      <c r="BR102" s="1571"/>
      <c r="BS102" s="1571"/>
    </row>
    <row r="103" spans="29:71" ht="15" customHeight="1" x14ac:dyDescent="0.25">
      <c r="AC103" s="1571"/>
      <c r="AD103" s="1571"/>
      <c r="AE103" s="1571"/>
      <c r="AF103" s="1571"/>
      <c r="AG103" s="1571"/>
      <c r="AH103" s="1571"/>
      <c r="AI103" s="1571"/>
      <c r="AJ103" s="1571"/>
      <c r="AK103" s="1571"/>
      <c r="AL103" s="1571"/>
      <c r="AM103" s="1571"/>
      <c r="AN103" s="1571"/>
      <c r="AO103" s="1571"/>
      <c r="AP103" s="1571"/>
      <c r="AQ103" s="1571"/>
      <c r="AR103" s="1571"/>
      <c r="AS103" s="1571"/>
      <c r="AT103" s="1571"/>
      <c r="AU103" s="1571"/>
      <c r="AV103" s="1571"/>
      <c r="AW103" s="1571"/>
      <c r="AX103" s="1571"/>
      <c r="AY103" s="1571"/>
      <c r="AZ103" s="1571"/>
      <c r="BA103" s="1571"/>
      <c r="BB103" s="1571"/>
      <c r="BC103" s="1571"/>
      <c r="BD103" s="1571"/>
      <c r="BE103" s="1571"/>
      <c r="BF103" s="1571"/>
      <c r="BG103" s="1571"/>
      <c r="BH103" s="1571"/>
      <c r="BI103" s="1571"/>
      <c r="BJ103" s="1571"/>
      <c r="BK103" s="1571"/>
      <c r="BL103" s="1571"/>
      <c r="BM103" s="1571"/>
      <c r="BN103" s="1571"/>
      <c r="BO103" s="1571"/>
      <c r="BP103" s="1571"/>
      <c r="BQ103" s="1571"/>
      <c r="BR103" s="1571"/>
      <c r="BS103" s="1571"/>
    </row>
    <row r="104" spans="29:71" ht="15" customHeight="1" x14ac:dyDescent="0.25">
      <c r="AC104" s="1571"/>
      <c r="AD104" s="1571"/>
      <c r="AE104" s="1571"/>
      <c r="AF104" s="1571"/>
      <c r="AG104" s="1571"/>
      <c r="AH104" s="1571"/>
      <c r="AI104" s="1571"/>
      <c r="AJ104" s="1571"/>
      <c r="AK104" s="1571"/>
      <c r="AL104" s="1571"/>
      <c r="AM104" s="1571"/>
      <c r="AN104" s="1571"/>
      <c r="AO104" s="1571"/>
      <c r="AP104" s="1571"/>
      <c r="AQ104" s="1571"/>
      <c r="AR104" s="1571"/>
      <c r="AS104" s="1571"/>
      <c r="AT104" s="1571"/>
      <c r="AU104" s="1571"/>
      <c r="AV104" s="1571"/>
      <c r="AW104" s="1571"/>
      <c r="AX104" s="1571"/>
      <c r="AY104" s="1571"/>
      <c r="AZ104" s="1571"/>
      <c r="BA104" s="1571"/>
      <c r="BB104" s="1571"/>
      <c r="BC104" s="1571"/>
      <c r="BD104" s="1571"/>
      <c r="BE104" s="1571"/>
      <c r="BF104" s="1571"/>
      <c r="BG104" s="1571"/>
      <c r="BH104" s="1571"/>
      <c r="BI104" s="1571"/>
      <c r="BJ104" s="1571"/>
      <c r="BK104" s="1571"/>
      <c r="BL104" s="1571"/>
      <c r="BM104" s="1571"/>
      <c r="BN104" s="1571"/>
      <c r="BO104" s="1571"/>
      <c r="BP104" s="1571"/>
      <c r="BQ104" s="1571"/>
      <c r="BR104" s="1571"/>
      <c r="BS104" s="1571"/>
    </row>
    <row r="105" spans="29:71" ht="15" customHeight="1" x14ac:dyDescent="0.25">
      <c r="AC105" s="1571"/>
      <c r="AD105" s="1571"/>
      <c r="AE105" s="1571"/>
      <c r="AF105" s="1571"/>
      <c r="AG105" s="1571"/>
      <c r="AH105" s="1571"/>
      <c r="AI105" s="1571"/>
      <c r="AJ105" s="1571"/>
      <c r="AK105" s="1571"/>
      <c r="AL105" s="1571"/>
      <c r="AM105" s="1571"/>
      <c r="AN105" s="1571"/>
      <c r="AO105" s="1571"/>
      <c r="AP105" s="1571"/>
      <c r="AQ105" s="1571"/>
      <c r="AR105" s="1571"/>
      <c r="AS105" s="1571"/>
      <c r="AT105" s="1571"/>
      <c r="AU105" s="1571"/>
      <c r="AV105" s="1571"/>
      <c r="AW105" s="1571"/>
      <c r="AX105" s="1571"/>
      <c r="AY105" s="1571"/>
      <c r="AZ105" s="1571"/>
      <c r="BA105" s="1571"/>
      <c r="BB105" s="1571"/>
      <c r="BC105" s="1571"/>
      <c r="BD105" s="1571"/>
      <c r="BE105" s="1571"/>
      <c r="BF105" s="1571"/>
      <c r="BG105" s="1571"/>
      <c r="BH105" s="1571"/>
      <c r="BI105" s="1571"/>
      <c r="BJ105" s="1571"/>
      <c r="BK105" s="1571"/>
      <c r="BL105" s="1571"/>
      <c r="BM105" s="1571"/>
      <c r="BN105" s="1571"/>
      <c r="BO105" s="1571"/>
      <c r="BP105" s="1571"/>
      <c r="BQ105" s="1571"/>
      <c r="BR105" s="1571"/>
      <c r="BS105" s="1571"/>
    </row>
    <row r="106" spans="29:71" ht="15" customHeight="1" x14ac:dyDescent="0.25">
      <c r="AC106" s="1571"/>
      <c r="AD106" s="1571"/>
      <c r="AE106" s="1571"/>
      <c r="AF106" s="1571"/>
      <c r="AG106" s="1571"/>
      <c r="AH106" s="1571"/>
      <c r="AI106" s="1571"/>
      <c r="AJ106" s="1571"/>
      <c r="AK106" s="1571"/>
      <c r="AL106" s="1571"/>
      <c r="AM106" s="1571"/>
      <c r="AN106" s="1571"/>
      <c r="AO106" s="1571"/>
      <c r="AP106" s="1571"/>
      <c r="AQ106" s="1571"/>
      <c r="AR106" s="1571"/>
      <c r="AS106" s="1571"/>
      <c r="AT106" s="1571"/>
      <c r="AU106" s="1571"/>
      <c r="AV106" s="1571"/>
      <c r="AW106" s="1571"/>
      <c r="AX106" s="1571"/>
      <c r="AY106" s="1571"/>
      <c r="AZ106" s="1571"/>
      <c r="BA106" s="1571"/>
      <c r="BB106" s="1571"/>
      <c r="BC106" s="1571"/>
      <c r="BD106" s="1571"/>
      <c r="BE106" s="1571"/>
      <c r="BF106" s="1571"/>
      <c r="BG106" s="1571"/>
      <c r="BH106" s="1571"/>
      <c r="BI106" s="1571"/>
      <c r="BJ106" s="1571"/>
      <c r="BK106" s="1571"/>
      <c r="BL106" s="1571"/>
      <c r="BM106" s="1571"/>
      <c r="BN106" s="1571"/>
      <c r="BO106" s="1571"/>
      <c r="BP106" s="1571"/>
      <c r="BQ106" s="1571"/>
      <c r="BR106" s="1571"/>
      <c r="BS106" s="1571"/>
    </row>
    <row r="107" spans="29:71" ht="15" customHeight="1" x14ac:dyDescent="0.25">
      <c r="AC107" s="1571"/>
      <c r="AD107" s="1571"/>
      <c r="AE107" s="1571"/>
      <c r="AF107" s="1571"/>
      <c r="AG107" s="1571"/>
      <c r="AH107" s="1571"/>
      <c r="AI107" s="1571"/>
      <c r="AJ107" s="1571"/>
      <c r="AK107" s="1571"/>
      <c r="AL107" s="1571"/>
      <c r="AM107" s="1571"/>
      <c r="AN107" s="1571"/>
      <c r="AO107" s="1571"/>
      <c r="AP107" s="1571"/>
      <c r="AQ107" s="1571"/>
      <c r="AR107" s="1571"/>
      <c r="AS107" s="1571"/>
      <c r="AT107" s="1571"/>
      <c r="AU107" s="1571"/>
      <c r="AV107" s="1571"/>
      <c r="AW107" s="1571"/>
      <c r="AX107" s="1571"/>
      <c r="AY107" s="1571"/>
      <c r="AZ107" s="1571"/>
      <c r="BA107" s="1571"/>
      <c r="BB107" s="1571"/>
      <c r="BC107" s="1571"/>
      <c r="BD107" s="1571"/>
      <c r="BE107" s="1571"/>
      <c r="BF107" s="1571"/>
      <c r="BG107" s="1571"/>
      <c r="BH107" s="1571"/>
      <c r="BI107" s="1571"/>
      <c r="BJ107" s="1571"/>
      <c r="BK107" s="1571"/>
      <c r="BL107" s="1571"/>
      <c r="BM107" s="1571"/>
      <c r="BN107" s="1571"/>
      <c r="BO107" s="1571"/>
      <c r="BP107" s="1571"/>
      <c r="BQ107" s="1571"/>
      <c r="BR107" s="1571"/>
      <c r="BS107" s="1571"/>
    </row>
    <row r="108" spans="29:71" ht="15" customHeight="1" x14ac:dyDescent="0.25">
      <c r="AC108" s="1571"/>
      <c r="AD108" s="1571"/>
      <c r="AE108" s="1571"/>
      <c r="AF108" s="1571"/>
      <c r="AG108" s="1571"/>
      <c r="AH108" s="1571"/>
      <c r="AI108" s="1571"/>
      <c r="AJ108" s="1571"/>
      <c r="AK108" s="1571"/>
      <c r="AL108" s="1571"/>
      <c r="AM108" s="1571"/>
      <c r="AN108" s="1571"/>
      <c r="AO108" s="1571"/>
      <c r="AP108" s="1571"/>
      <c r="AQ108" s="1571"/>
      <c r="AR108" s="1571"/>
      <c r="AS108" s="1571"/>
      <c r="AT108" s="1571"/>
      <c r="AU108" s="1571"/>
      <c r="AV108" s="1571"/>
      <c r="AW108" s="1571"/>
      <c r="AX108" s="1571"/>
      <c r="AY108" s="1571"/>
      <c r="AZ108" s="1571"/>
      <c r="BA108" s="1571"/>
      <c r="BB108" s="1571"/>
      <c r="BC108" s="1571"/>
      <c r="BD108" s="1571"/>
      <c r="BE108" s="1571"/>
      <c r="BF108" s="1571"/>
      <c r="BG108" s="1571"/>
      <c r="BH108" s="1571"/>
      <c r="BI108" s="1571"/>
      <c r="BJ108" s="1571"/>
      <c r="BK108" s="1571"/>
      <c r="BL108" s="1571"/>
      <c r="BM108" s="1571"/>
      <c r="BN108" s="1571"/>
      <c r="BO108" s="1571"/>
      <c r="BP108" s="1571"/>
      <c r="BQ108" s="1571"/>
      <c r="BR108" s="1571"/>
      <c r="BS108" s="1571"/>
    </row>
    <row r="109" spans="29:71" ht="15" customHeight="1" x14ac:dyDescent="0.25">
      <c r="AC109" s="1571"/>
      <c r="AD109" s="1571"/>
      <c r="AE109" s="1571"/>
      <c r="AF109" s="1571"/>
      <c r="AG109" s="1571"/>
      <c r="AH109" s="1571"/>
      <c r="AI109" s="1571"/>
      <c r="AJ109" s="1571"/>
      <c r="AK109" s="1571"/>
      <c r="AL109" s="1571"/>
      <c r="AM109" s="1571"/>
      <c r="AN109" s="1571"/>
      <c r="AO109" s="1571"/>
      <c r="AP109" s="1571"/>
      <c r="AQ109" s="1571"/>
      <c r="AR109" s="1571"/>
      <c r="AS109" s="1571"/>
      <c r="AT109" s="1571"/>
      <c r="AU109" s="1571"/>
      <c r="AV109" s="1571"/>
      <c r="AW109" s="1571"/>
      <c r="AX109" s="1571"/>
      <c r="AY109" s="1571"/>
      <c r="AZ109" s="1571"/>
      <c r="BA109" s="1571"/>
      <c r="BB109" s="1571"/>
      <c r="BC109" s="1571"/>
      <c r="BD109" s="1571"/>
      <c r="BE109" s="1571"/>
      <c r="BF109" s="1571"/>
      <c r="BG109" s="1571"/>
      <c r="BH109" s="1571"/>
      <c r="BI109" s="1571"/>
      <c r="BJ109" s="1571"/>
      <c r="BK109" s="1571"/>
      <c r="BL109" s="1571"/>
      <c r="BM109" s="1571"/>
      <c r="BN109" s="1571"/>
      <c r="BO109" s="1571"/>
      <c r="BP109" s="1571"/>
      <c r="BQ109" s="1571"/>
      <c r="BR109" s="1571"/>
      <c r="BS109" s="1571"/>
    </row>
    <row r="110" spans="29:71" ht="15" customHeight="1" x14ac:dyDescent="0.25">
      <c r="AC110" s="1571"/>
      <c r="AD110" s="1571"/>
      <c r="AE110" s="1571"/>
      <c r="AF110" s="1571"/>
      <c r="AG110" s="1571"/>
      <c r="AH110" s="1571"/>
      <c r="AI110" s="1571"/>
      <c r="AJ110" s="1571"/>
      <c r="AK110" s="1571"/>
      <c r="AL110" s="1571"/>
      <c r="AM110" s="1571"/>
      <c r="AN110" s="1571"/>
      <c r="AO110" s="1571"/>
      <c r="AP110" s="1571"/>
      <c r="AQ110" s="1571"/>
      <c r="AR110" s="1571"/>
      <c r="AS110" s="1571"/>
      <c r="AT110" s="1571"/>
      <c r="AU110" s="1571"/>
      <c r="AV110" s="1571"/>
      <c r="AW110" s="1571"/>
      <c r="AX110" s="1571"/>
      <c r="AY110" s="1571"/>
      <c r="AZ110" s="1571"/>
      <c r="BA110" s="1571"/>
      <c r="BB110" s="1571"/>
      <c r="BC110" s="1571"/>
      <c r="BD110" s="1571"/>
      <c r="BE110" s="1571"/>
      <c r="BF110" s="1571"/>
      <c r="BG110" s="1571"/>
      <c r="BH110" s="1571"/>
      <c r="BI110" s="1571"/>
      <c r="BJ110" s="1571"/>
      <c r="BK110" s="1571"/>
      <c r="BL110" s="1571"/>
      <c r="BM110" s="1571"/>
      <c r="BN110" s="1571"/>
      <c r="BO110" s="1571"/>
      <c r="BP110" s="1571"/>
      <c r="BQ110" s="1571"/>
      <c r="BR110" s="1571"/>
      <c r="BS110" s="1571"/>
    </row>
    <row r="111" spans="29:71" ht="15" customHeight="1" x14ac:dyDescent="0.25">
      <c r="AC111" s="1571"/>
      <c r="AD111" s="1571"/>
      <c r="AE111" s="1571"/>
      <c r="AF111" s="1571"/>
      <c r="AG111" s="1571"/>
      <c r="AH111" s="1571"/>
      <c r="AI111" s="1571"/>
      <c r="AJ111" s="1571"/>
      <c r="AK111" s="1571"/>
      <c r="AL111" s="1571"/>
      <c r="AM111" s="1571"/>
      <c r="AN111" s="1571"/>
      <c r="AO111" s="1571"/>
      <c r="AP111" s="1571"/>
      <c r="AQ111" s="1571"/>
      <c r="AR111" s="1571"/>
      <c r="AS111" s="1571"/>
      <c r="AT111" s="1571"/>
      <c r="AU111" s="1571"/>
      <c r="AV111" s="1571"/>
      <c r="AW111" s="1571"/>
      <c r="AX111" s="1571"/>
      <c r="AY111" s="1571"/>
      <c r="AZ111" s="1571"/>
      <c r="BA111" s="1571"/>
      <c r="BB111" s="1571"/>
      <c r="BC111" s="1571"/>
      <c r="BD111" s="1571"/>
      <c r="BE111" s="1571"/>
      <c r="BF111" s="1571"/>
      <c r="BG111" s="1571"/>
      <c r="BH111" s="1571"/>
      <c r="BI111" s="1571"/>
      <c r="BJ111" s="1571"/>
      <c r="BK111" s="1571"/>
      <c r="BL111" s="1571"/>
      <c r="BM111" s="1571"/>
      <c r="BN111" s="1571"/>
      <c r="BO111" s="1571"/>
      <c r="BP111" s="1571"/>
      <c r="BQ111" s="1571"/>
      <c r="BR111" s="1571"/>
      <c r="BS111" s="1571"/>
    </row>
    <row r="112" spans="29:71" ht="15" customHeight="1" x14ac:dyDescent="0.25">
      <c r="AC112" s="1571"/>
      <c r="AD112" s="1571"/>
      <c r="AE112" s="1571"/>
      <c r="AF112" s="1571"/>
      <c r="AG112" s="1571"/>
      <c r="AH112" s="1571"/>
      <c r="AI112" s="1571"/>
      <c r="AJ112" s="1571"/>
      <c r="AK112" s="1571"/>
      <c r="AL112" s="1571"/>
      <c r="AM112" s="1571"/>
      <c r="AN112" s="1571"/>
      <c r="AO112" s="1571"/>
      <c r="AP112" s="1571"/>
      <c r="AQ112" s="1571"/>
      <c r="AR112" s="1571"/>
      <c r="AS112" s="1571"/>
      <c r="AT112" s="1571"/>
      <c r="AU112" s="1571"/>
      <c r="AV112" s="1571"/>
      <c r="AW112" s="1571"/>
      <c r="AX112" s="1571"/>
      <c r="AY112" s="1571"/>
      <c r="AZ112" s="1571"/>
      <c r="BA112" s="1571"/>
      <c r="BB112" s="1571"/>
      <c r="BC112" s="1571"/>
      <c r="BD112" s="1571"/>
      <c r="BE112" s="1571"/>
      <c r="BF112" s="1571"/>
      <c r="BG112" s="1571"/>
      <c r="BH112" s="1571"/>
      <c r="BI112" s="1571"/>
      <c r="BJ112" s="1571"/>
      <c r="BK112" s="1571"/>
      <c r="BL112" s="1571"/>
      <c r="BM112" s="1571"/>
      <c r="BN112" s="1571"/>
      <c r="BO112" s="1571"/>
      <c r="BP112" s="1571"/>
      <c r="BQ112" s="1571"/>
      <c r="BR112" s="1571"/>
      <c r="BS112" s="1571"/>
    </row>
    <row r="113" spans="29:71" ht="15" customHeight="1" x14ac:dyDescent="0.25">
      <c r="AC113" s="1571"/>
      <c r="AD113" s="1571"/>
      <c r="AE113" s="1571"/>
      <c r="AF113" s="1571"/>
      <c r="AG113" s="1571"/>
      <c r="AH113" s="1571"/>
      <c r="AI113" s="1571"/>
      <c r="AJ113" s="1571"/>
      <c r="AK113" s="1571"/>
      <c r="AL113" s="1571"/>
      <c r="AM113" s="1571"/>
      <c r="AN113" s="1571"/>
      <c r="AO113" s="1571"/>
      <c r="AP113" s="1571"/>
      <c r="AQ113" s="1571"/>
      <c r="AR113" s="1571"/>
      <c r="AS113" s="1571"/>
      <c r="AT113" s="1571"/>
      <c r="AU113" s="1571"/>
      <c r="AV113" s="1571"/>
      <c r="AW113" s="1571"/>
      <c r="AX113" s="1571"/>
      <c r="AY113" s="1571"/>
      <c r="AZ113" s="1571"/>
      <c r="BA113" s="1571"/>
      <c r="BB113" s="1571"/>
      <c r="BC113" s="1571"/>
      <c r="BD113" s="1571"/>
      <c r="BE113" s="1571"/>
      <c r="BF113" s="1571"/>
      <c r="BG113" s="1571"/>
      <c r="BH113" s="1571"/>
      <c r="BI113" s="1571"/>
      <c r="BJ113" s="1571"/>
      <c r="BK113" s="1571"/>
      <c r="BL113" s="1571"/>
      <c r="BM113" s="1571"/>
      <c r="BN113" s="1571"/>
      <c r="BO113" s="1571"/>
      <c r="BP113" s="1571"/>
      <c r="BQ113" s="1571"/>
      <c r="BR113" s="1571"/>
      <c r="BS113" s="1571"/>
    </row>
    <row r="114" spans="29:71" ht="15" customHeight="1" x14ac:dyDescent="0.25">
      <c r="AC114" s="1571"/>
      <c r="AD114" s="1571"/>
      <c r="AE114" s="1571"/>
      <c r="AF114" s="1571"/>
      <c r="AG114" s="1571"/>
      <c r="AH114" s="1571"/>
      <c r="AI114" s="1571"/>
      <c r="AJ114" s="1571"/>
      <c r="AK114" s="1571"/>
      <c r="AL114" s="1571"/>
      <c r="AM114" s="1571"/>
      <c r="AN114" s="1571"/>
      <c r="AO114" s="1571"/>
      <c r="AP114" s="1571"/>
      <c r="AQ114" s="1571"/>
      <c r="AR114" s="1571"/>
      <c r="AS114" s="1571"/>
      <c r="AT114" s="1571"/>
      <c r="AU114" s="1571"/>
      <c r="AV114" s="1571"/>
      <c r="AW114" s="1571"/>
      <c r="AX114" s="1571"/>
      <c r="AY114" s="1571"/>
      <c r="AZ114" s="1571"/>
      <c r="BA114" s="1571"/>
      <c r="BB114" s="1571"/>
      <c r="BC114" s="1571"/>
      <c r="BD114" s="1571"/>
      <c r="BE114" s="1571"/>
      <c r="BF114" s="1571"/>
      <c r="BG114" s="1571"/>
      <c r="BH114" s="1571"/>
      <c r="BI114" s="1571"/>
      <c r="BJ114" s="1571"/>
      <c r="BK114" s="1571"/>
      <c r="BL114" s="1571"/>
      <c r="BM114" s="1571"/>
      <c r="BN114" s="1571"/>
      <c r="BO114" s="1571"/>
      <c r="BP114" s="1571"/>
      <c r="BQ114" s="1571"/>
      <c r="BR114" s="1571"/>
      <c r="BS114" s="1571"/>
    </row>
    <row r="115" spans="29:71" ht="15" customHeight="1" x14ac:dyDescent="0.25">
      <c r="AC115" s="1571"/>
      <c r="AD115" s="1571"/>
      <c r="AE115" s="1571"/>
      <c r="AF115" s="1571"/>
      <c r="AG115" s="1571"/>
      <c r="AH115" s="1571"/>
      <c r="AI115" s="1571"/>
      <c r="AJ115" s="1571"/>
      <c r="AK115" s="1571"/>
      <c r="AL115" s="1571"/>
      <c r="AM115" s="1571"/>
      <c r="AN115" s="1571"/>
      <c r="AO115" s="1571"/>
      <c r="AP115" s="1571"/>
      <c r="AQ115" s="1571"/>
      <c r="AR115" s="1571"/>
      <c r="AS115" s="1571"/>
      <c r="AT115" s="1571"/>
      <c r="AU115" s="1571"/>
      <c r="AV115" s="1571"/>
      <c r="AW115" s="1571"/>
      <c r="AX115" s="1571"/>
      <c r="AY115" s="1571"/>
      <c r="AZ115" s="1571"/>
      <c r="BA115" s="1571"/>
      <c r="BB115" s="1571"/>
      <c r="BC115" s="1571"/>
      <c r="BD115" s="1571"/>
      <c r="BE115" s="1571"/>
      <c r="BF115" s="1571"/>
      <c r="BG115" s="1571"/>
      <c r="BH115" s="1571"/>
      <c r="BI115" s="1571"/>
      <c r="BJ115" s="1571"/>
      <c r="BK115" s="1571"/>
      <c r="BL115" s="1571"/>
      <c r="BM115" s="1571"/>
      <c r="BN115" s="1571"/>
      <c r="BO115" s="1571"/>
      <c r="BP115" s="1571"/>
      <c r="BQ115" s="1571"/>
      <c r="BR115" s="1571"/>
      <c r="BS115" s="1571"/>
    </row>
    <row r="116" spans="29:71" ht="15" customHeight="1" x14ac:dyDescent="0.25">
      <c r="AC116" s="1571"/>
      <c r="AD116" s="1571"/>
      <c r="AE116" s="1571"/>
      <c r="AF116" s="1571"/>
      <c r="AG116" s="1571"/>
      <c r="AH116" s="1571"/>
      <c r="AI116" s="1571"/>
      <c r="AJ116" s="1571"/>
      <c r="AK116" s="1571"/>
      <c r="AL116" s="1571"/>
      <c r="AM116" s="1571"/>
      <c r="AN116" s="1571"/>
      <c r="AO116" s="1571"/>
      <c r="AP116" s="1571"/>
      <c r="AQ116" s="1571"/>
      <c r="AR116" s="1571"/>
      <c r="AS116" s="1571"/>
      <c r="AT116" s="1571"/>
      <c r="AU116" s="1571"/>
      <c r="AV116" s="1571"/>
      <c r="AW116" s="1571"/>
      <c r="AX116" s="1571"/>
      <c r="AY116" s="1571"/>
      <c r="AZ116" s="1571"/>
      <c r="BA116" s="1571"/>
      <c r="BB116" s="1571"/>
      <c r="BC116" s="1571"/>
      <c r="BD116" s="1571"/>
      <c r="BE116" s="1571"/>
      <c r="BF116" s="1571"/>
      <c r="BG116" s="1571"/>
      <c r="BH116" s="1571"/>
      <c r="BI116" s="1571"/>
      <c r="BJ116" s="1571"/>
      <c r="BK116" s="1571"/>
      <c r="BL116" s="1571"/>
      <c r="BM116" s="1571"/>
      <c r="BN116" s="1571"/>
      <c r="BO116" s="1571"/>
      <c r="BP116" s="1571"/>
      <c r="BQ116" s="1571"/>
      <c r="BR116" s="1571"/>
      <c r="BS116" s="1571"/>
    </row>
  </sheetData>
  <mergeCells count="94">
    <mergeCell ref="AG6:AH6"/>
    <mergeCell ref="AI6:AJ6"/>
    <mergeCell ref="C3:AM3"/>
    <mergeCell ref="A6:A7"/>
    <mergeCell ref="B6:B7"/>
    <mergeCell ref="C6:C7"/>
    <mergeCell ref="D6:D7"/>
    <mergeCell ref="E6:E7"/>
    <mergeCell ref="F6:F7"/>
    <mergeCell ref="G6:G7"/>
    <mergeCell ref="H6:H7"/>
    <mergeCell ref="O6:P6"/>
    <mergeCell ref="I6:J6"/>
    <mergeCell ref="K6:L6"/>
    <mergeCell ref="Q6:R6"/>
    <mergeCell ref="W6:X6"/>
    <mergeCell ref="AW6:AW7"/>
    <mergeCell ref="AK6:AK7"/>
    <mergeCell ref="AL6:AL7"/>
    <mergeCell ref="AM6:AM7"/>
    <mergeCell ref="AO6:AO7"/>
    <mergeCell ref="AP6:AP7"/>
    <mergeCell ref="AQ6:AQ7"/>
    <mergeCell ref="AN6:AN7"/>
    <mergeCell ref="AR6:AR7"/>
    <mergeCell ref="AS6:AS7"/>
    <mergeCell ref="AT6:AT7"/>
    <mergeCell ref="AU6:AU7"/>
    <mergeCell ref="AV6:AV7"/>
    <mergeCell ref="AZ6:AZ7"/>
    <mergeCell ref="BA6:BA7"/>
    <mergeCell ref="BB6:BB7"/>
    <mergeCell ref="AX6:AX7"/>
    <mergeCell ref="AY6:AY7"/>
    <mergeCell ref="BM6:BM7"/>
    <mergeCell ref="BC6:BC7"/>
    <mergeCell ref="BD6:BD7"/>
    <mergeCell ref="BE6:BE7"/>
    <mergeCell ref="BF6:BF7"/>
    <mergeCell ref="BG6:BG7"/>
    <mergeCell ref="BH6:BH7"/>
    <mergeCell ref="BI6:BI7"/>
    <mergeCell ref="BJ6:BJ7"/>
    <mergeCell ref="BK6:BK7"/>
    <mergeCell ref="BL6:BL7"/>
    <mergeCell ref="CE45:CF45"/>
    <mergeCell ref="A47:A48"/>
    <mergeCell ref="B47:B48"/>
    <mergeCell ref="C47:C48"/>
    <mergeCell ref="D47:D48"/>
    <mergeCell ref="E47:E48"/>
    <mergeCell ref="F47:F48"/>
    <mergeCell ref="U47:U48"/>
    <mergeCell ref="V47:V48"/>
    <mergeCell ref="AA47:AA48"/>
    <mergeCell ref="AB47:AB48"/>
    <mergeCell ref="CC45:CD45"/>
    <mergeCell ref="F73:F74"/>
    <mergeCell ref="G73:G74"/>
    <mergeCell ref="H73:H74"/>
    <mergeCell ref="G47:G48"/>
    <mergeCell ref="H47:H48"/>
    <mergeCell ref="A73:A74"/>
    <mergeCell ref="B73:B74"/>
    <mergeCell ref="C73:C74"/>
    <mergeCell ref="D73:D74"/>
    <mergeCell ref="E73:E74"/>
    <mergeCell ref="U73:U74"/>
    <mergeCell ref="V73:V74"/>
    <mergeCell ref="AA73:AA74"/>
    <mergeCell ref="AB73:AB74"/>
    <mergeCell ref="W47:W48"/>
    <mergeCell ref="X47:X48"/>
    <mergeCell ref="Y47:Y48"/>
    <mergeCell ref="X73:X74"/>
    <mergeCell ref="Y73:Y74"/>
    <mergeCell ref="W73:W74"/>
    <mergeCell ref="Z73:Z74"/>
    <mergeCell ref="M6:N6"/>
    <mergeCell ref="S6:T6"/>
    <mergeCell ref="Y6:Z6"/>
    <mergeCell ref="AE6:AF6"/>
    <mergeCell ref="M47:N47"/>
    <mergeCell ref="O47:P47"/>
    <mergeCell ref="AA6:AB6"/>
    <mergeCell ref="Z47:Z48"/>
    <mergeCell ref="AC6:AD6"/>
    <mergeCell ref="U6:V6"/>
    <mergeCell ref="M73:N73"/>
    <mergeCell ref="K47:L47"/>
    <mergeCell ref="K73:L73"/>
    <mergeCell ref="Q47:R47"/>
    <mergeCell ref="Q73:R73"/>
    <mergeCell ref="O73:P73"/>
  </mergeCells>
  <pageMargins left="0.19685039370078741" right="2.92" top="0.19685039370078741" bottom="0.74803149606299213" header="0.31496062992125984" footer="0.31496062992125984"/>
  <pageSetup paperSize="9" scale="80" orientation="landscape" horizontalDpi="180" verticalDpi="180" r:id="rId1"/>
  <rowBreaks count="1" manualBreakCount="1">
    <brk id="40" max="16383" man="1"/>
  </rowBreaks>
  <colBreaks count="1" manualBreakCount="1">
    <brk id="49" max="1048575" man="1"/>
  </colBreaks>
  <ignoredErrors>
    <ignoredError sqref="Z6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9"/>
  <sheetViews>
    <sheetView topLeftCell="J1" workbookViewId="0">
      <selection activeCell="S36" sqref="S36"/>
    </sheetView>
  </sheetViews>
  <sheetFormatPr defaultRowHeight="15" x14ac:dyDescent="0.25"/>
  <cols>
    <col min="1" max="1" width="4.85546875" customWidth="1"/>
    <col min="2" max="2" width="17.5703125" customWidth="1"/>
    <col min="3" max="3" width="9.85546875" customWidth="1"/>
    <col min="4" max="4" width="9.140625" customWidth="1"/>
    <col min="5" max="5" width="7.85546875" customWidth="1"/>
    <col min="6" max="6" width="9.42578125" customWidth="1"/>
    <col min="7" max="7" width="10.5703125" customWidth="1"/>
    <col min="8" max="8" width="9.85546875" customWidth="1"/>
    <col min="9" max="9" width="11.28515625" customWidth="1"/>
    <col min="10" max="10" width="12.28515625" customWidth="1"/>
    <col min="11" max="11" width="11.85546875" customWidth="1"/>
    <col min="12" max="13" width="11.7109375" customWidth="1"/>
    <col min="14" max="14" width="12.5703125" customWidth="1"/>
    <col min="15" max="15" width="12.42578125" customWidth="1"/>
    <col min="16" max="16" width="10.5703125" customWidth="1"/>
    <col min="17" max="17" width="10.28515625" customWidth="1"/>
    <col min="18" max="18" width="12" customWidth="1"/>
    <col min="19" max="19" width="12.42578125" customWidth="1"/>
    <col min="20" max="20" width="11" customWidth="1"/>
    <col min="21" max="21" width="10.42578125" customWidth="1"/>
    <col min="22" max="22" width="11.28515625" customWidth="1"/>
    <col min="23" max="23" width="10.5703125" customWidth="1"/>
    <col min="24" max="24" width="11" customWidth="1"/>
    <col min="25" max="26" width="10.85546875" customWidth="1"/>
    <col min="27" max="27" width="10.42578125" customWidth="1"/>
    <col min="28" max="28" width="10" customWidth="1"/>
    <col min="29" max="29" width="12" customWidth="1"/>
    <col min="30" max="30" width="11.28515625" customWidth="1"/>
    <col min="31" max="31" width="12.140625" customWidth="1"/>
    <col min="32" max="32" width="11.42578125" customWidth="1"/>
    <col min="33" max="34" width="8.7109375" customWidth="1"/>
    <col min="35" max="35" width="10" customWidth="1"/>
    <col min="36" max="36" width="9.5703125" customWidth="1"/>
    <col min="37" max="37" width="10.5703125" customWidth="1"/>
    <col min="38" max="38" width="12.5703125" customWidth="1"/>
  </cols>
  <sheetData>
    <row r="1" spans="1:42" ht="1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AF1" s="250"/>
      <c r="AG1" s="250"/>
      <c r="AH1" s="250"/>
      <c r="AI1" s="250"/>
      <c r="AJ1" s="250"/>
    </row>
    <row r="2" spans="1:42" ht="18.75" x14ac:dyDescent="0.3">
      <c r="B2" s="84" t="s">
        <v>312</v>
      </c>
      <c r="C2" s="84"/>
      <c r="D2" s="84"/>
      <c r="E2" s="84"/>
      <c r="F2" s="84"/>
      <c r="AF2" s="250"/>
      <c r="AG2" s="250"/>
      <c r="AH2" s="250"/>
      <c r="AI2" s="250"/>
      <c r="AJ2" s="250"/>
    </row>
    <row r="3" spans="1:42" ht="18.75" x14ac:dyDescent="0.3">
      <c r="B3" s="373" t="s">
        <v>594</v>
      </c>
      <c r="C3" s="374"/>
      <c r="D3" s="374"/>
      <c r="E3" s="374"/>
      <c r="F3" s="374"/>
      <c r="AF3" s="250"/>
      <c r="AG3" s="250"/>
      <c r="AH3" s="250"/>
      <c r="AI3" s="250"/>
      <c r="AJ3" s="250"/>
      <c r="AK3" s="250"/>
      <c r="AL3" s="250"/>
      <c r="AM3" s="250"/>
      <c r="AN3" s="250"/>
      <c r="AO3" s="250"/>
    </row>
    <row r="4" spans="1:42" x14ac:dyDescent="0.25">
      <c r="AF4" s="167"/>
      <c r="AG4" s="223"/>
      <c r="AH4" s="223"/>
      <c r="AI4" s="223"/>
      <c r="AJ4" s="167"/>
      <c r="AK4" s="250"/>
      <c r="AL4" s="250"/>
      <c r="AM4" s="250"/>
      <c r="AN4" s="250"/>
      <c r="AO4" s="250"/>
    </row>
    <row r="5" spans="1:42" ht="41.25" customHeight="1" x14ac:dyDescent="0.25">
      <c r="A5" s="1985" t="s">
        <v>0</v>
      </c>
      <c r="B5" s="1985" t="s">
        <v>184</v>
      </c>
      <c r="C5" s="1985" t="s">
        <v>54</v>
      </c>
      <c r="D5" s="1985" t="s">
        <v>55</v>
      </c>
      <c r="E5" s="1985" t="s">
        <v>56</v>
      </c>
      <c r="F5" s="1985" t="s">
        <v>57</v>
      </c>
      <c r="G5" s="1985" t="s">
        <v>6</v>
      </c>
      <c r="H5" s="1985" t="s">
        <v>288</v>
      </c>
      <c r="I5" s="1991" t="s">
        <v>593</v>
      </c>
      <c r="J5" s="1992"/>
      <c r="K5" s="1989" t="s">
        <v>310</v>
      </c>
      <c r="L5" s="1990"/>
      <c r="M5" s="2017" t="s">
        <v>598</v>
      </c>
      <c r="N5" s="2017"/>
      <c r="O5" s="1987" t="s">
        <v>186</v>
      </c>
      <c r="P5" s="1987" t="s">
        <v>332</v>
      </c>
      <c r="Q5" s="1987" t="s">
        <v>333</v>
      </c>
      <c r="R5" s="1997" t="s">
        <v>562</v>
      </c>
      <c r="S5" s="2003" t="s">
        <v>563</v>
      </c>
      <c r="T5" s="1987" t="s">
        <v>331</v>
      </c>
      <c r="U5" s="2003" t="s">
        <v>337</v>
      </c>
      <c r="V5" s="2003" t="s">
        <v>564</v>
      </c>
      <c r="W5" s="2003" t="s">
        <v>565</v>
      </c>
      <c r="X5" s="1987" t="s">
        <v>321</v>
      </c>
      <c r="Y5" s="1987" t="s">
        <v>554</v>
      </c>
      <c r="Z5" s="1997" t="s">
        <v>334</v>
      </c>
      <c r="AA5" s="1997" t="s">
        <v>336</v>
      </c>
      <c r="AB5" s="1997" t="s">
        <v>335</v>
      </c>
      <c r="AC5" s="1987" t="s">
        <v>338</v>
      </c>
      <c r="AD5" s="2007" t="s">
        <v>316</v>
      </c>
      <c r="AE5" s="2009" t="s">
        <v>369</v>
      </c>
      <c r="AF5" s="2009" t="s">
        <v>175</v>
      </c>
      <c r="AG5" s="2005" t="s">
        <v>610</v>
      </c>
      <c r="AH5" s="2005" t="s">
        <v>611</v>
      </c>
      <c r="AI5" s="2001" t="s">
        <v>182</v>
      </c>
      <c r="AJ5" s="1999" t="s">
        <v>544</v>
      </c>
      <c r="AK5" s="1995" t="s">
        <v>566</v>
      </c>
      <c r="AL5" s="250"/>
      <c r="AM5" s="250"/>
      <c r="AN5" s="250"/>
      <c r="AO5" s="250"/>
    </row>
    <row r="6" spans="1:42" ht="51.75" customHeight="1" x14ac:dyDescent="0.25">
      <c r="A6" s="1986"/>
      <c r="B6" s="1986"/>
      <c r="C6" s="1986"/>
      <c r="D6" s="1986"/>
      <c r="E6" s="1986"/>
      <c r="F6" s="1986"/>
      <c r="G6" s="1986"/>
      <c r="H6" s="1986"/>
      <c r="I6" s="150" t="s">
        <v>15</v>
      </c>
      <c r="J6" s="603" t="s">
        <v>16</v>
      </c>
      <c r="K6" s="150" t="s">
        <v>15</v>
      </c>
      <c r="L6" s="154" t="s">
        <v>16</v>
      </c>
      <c r="M6" s="150" t="s">
        <v>15</v>
      </c>
      <c r="N6" s="601" t="s">
        <v>16</v>
      </c>
      <c r="O6" s="1988"/>
      <c r="P6" s="1988"/>
      <c r="Q6" s="1988"/>
      <c r="R6" s="1998"/>
      <c r="S6" s="2004"/>
      <c r="T6" s="1988"/>
      <c r="U6" s="2004"/>
      <c r="V6" s="2004"/>
      <c r="W6" s="2004"/>
      <c r="X6" s="1988"/>
      <c r="Y6" s="1988"/>
      <c r="Z6" s="1998"/>
      <c r="AA6" s="1998"/>
      <c r="AB6" s="1998"/>
      <c r="AC6" s="1988"/>
      <c r="AD6" s="2008"/>
      <c r="AE6" s="2009"/>
      <c r="AF6" s="2009"/>
      <c r="AG6" s="2006"/>
      <c r="AH6" s="2006"/>
      <c r="AI6" s="2002"/>
      <c r="AJ6" s="2000"/>
      <c r="AK6" s="1996"/>
      <c r="AL6" s="250"/>
      <c r="AM6" s="250"/>
      <c r="AN6" s="250"/>
      <c r="AO6" s="250"/>
    </row>
    <row r="7" spans="1:42" s="44" customFormat="1" x14ac:dyDescent="0.25">
      <c r="A7" s="2">
        <v>1</v>
      </c>
      <c r="B7" s="85" t="s">
        <v>17</v>
      </c>
      <c r="C7" s="908">
        <v>1977</v>
      </c>
      <c r="D7" s="908">
        <v>5</v>
      </c>
      <c r="E7" s="737">
        <v>45</v>
      </c>
      <c r="F7" s="909">
        <v>132</v>
      </c>
      <c r="G7" s="910">
        <v>2366.1999999999998</v>
      </c>
      <c r="H7" s="910">
        <v>210</v>
      </c>
      <c r="I7" s="911">
        <v>3867.57</v>
      </c>
      <c r="J7" s="911">
        <v>2176.16</v>
      </c>
      <c r="K7" s="912">
        <v>72072.72</v>
      </c>
      <c r="L7" s="912">
        <v>71667.179999999993</v>
      </c>
      <c r="M7" s="912">
        <f>I7+K7</f>
        <v>75940.290000000008</v>
      </c>
      <c r="N7" s="912">
        <f>J7+L7</f>
        <v>73843.34</v>
      </c>
      <c r="O7" s="912">
        <f>P7+Q7+R7+S7+T7+U7+V7+W7+X7+Y7+Z7+AA7+AB7+AC7+AD7+AE7</f>
        <v>78349.881011588295</v>
      </c>
      <c r="P7" s="912">
        <v>5084.87</v>
      </c>
      <c r="Q7" s="912">
        <f>2150/20417.9*G7</f>
        <v>249.16029562295827</v>
      </c>
      <c r="R7" s="913">
        <f>10408.6/20417.9*G7</f>
        <v>1206.2371409400573</v>
      </c>
      <c r="S7" s="855">
        <v>2793</v>
      </c>
      <c r="T7" s="855"/>
      <c r="U7" s="855">
        <v>1305.3599999999999</v>
      </c>
      <c r="V7" s="855">
        <f>750/20417.9*G7</f>
        <v>86.916382194055203</v>
      </c>
      <c r="W7" s="855">
        <f>750/20417.9*G7</f>
        <v>86.916382194055203</v>
      </c>
      <c r="X7" s="913">
        <f>301968.19/20417.9*G7</f>
        <v>34994.643483316104</v>
      </c>
      <c r="Y7" s="913">
        <f>X7*0.202</f>
        <v>7068.9179836298536</v>
      </c>
      <c r="Z7" s="914"/>
      <c r="AA7" s="914"/>
      <c r="AB7" s="914"/>
      <c r="AC7" s="774">
        <f>23798.14/20417.9*G7</f>
        <v>2757.9309756635103</v>
      </c>
      <c r="AD7" s="855">
        <f>206606.48/657895.14*K7</f>
        <v>22633.836424487952</v>
      </c>
      <c r="AE7" s="855">
        <f>708.37/20417.9*G7</f>
        <v>82.091943539737173</v>
      </c>
      <c r="AF7" s="915">
        <f>M7-O7</f>
        <v>-2409.5910115882871</v>
      </c>
      <c r="AG7" s="855">
        <f>L7/K7*100</f>
        <v>99.437318308508395</v>
      </c>
      <c r="AH7" s="855">
        <f>J7/I7*100</f>
        <v>56.266854898553866</v>
      </c>
      <c r="AI7" s="916">
        <f t="shared" ref="AI7:AI14" si="0">O7/G7/4</f>
        <v>8.2780281687503496</v>
      </c>
      <c r="AJ7" s="917">
        <v>7.61</v>
      </c>
      <c r="AK7" s="736">
        <f>M7-N7</f>
        <v>2096.9500000000116</v>
      </c>
      <c r="AL7" s="250"/>
      <c r="AM7" s="250"/>
      <c r="AN7" s="250"/>
      <c r="AO7" s="250"/>
    </row>
    <row r="8" spans="1:42" s="44" customFormat="1" x14ac:dyDescent="0.25">
      <c r="A8" s="5">
        <v>2</v>
      </c>
      <c r="B8" s="43" t="s">
        <v>18</v>
      </c>
      <c r="C8" s="737">
        <v>1977</v>
      </c>
      <c r="D8" s="737">
        <v>5</v>
      </c>
      <c r="E8" s="737">
        <v>45</v>
      </c>
      <c r="F8" s="909">
        <v>117</v>
      </c>
      <c r="G8" s="738">
        <v>2363.9</v>
      </c>
      <c r="H8" s="738">
        <v>210</v>
      </c>
      <c r="I8" s="911">
        <v>3867.72</v>
      </c>
      <c r="J8" s="911">
        <v>2108.54</v>
      </c>
      <c r="K8" s="912">
        <v>71780.2</v>
      </c>
      <c r="L8" s="912">
        <v>63332.95</v>
      </c>
      <c r="M8" s="912">
        <f t="shared" ref="M8:M13" si="1">I8+K8</f>
        <v>75647.92</v>
      </c>
      <c r="N8" s="912">
        <f t="shared" ref="N8:N13" si="2">J8+L8</f>
        <v>65441.49</v>
      </c>
      <c r="O8" s="912">
        <f t="shared" ref="O8:O13" si="3">P8+Q8+R8+S8+T8+U8+V8+W8+X8+Y8+Z8+AA8+AB8+AC8+AD8+AE8</f>
        <v>77006.536596180784</v>
      </c>
      <c r="P8" s="912">
        <v>5016.8900000000003</v>
      </c>
      <c r="Q8" s="912">
        <f t="shared" ref="Q8:Q13" si="4">2150/20417.9*G8</f>
        <v>248.91810617154556</v>
      </c>
      <c r="R8" s="913">
        <f t="shared" ref="R8:R13" si="5">10408.6/20417.9*G8</f>
        <v>1205.064651114953</v>
      </c>
      <c r="S8" s="855">
        <v>1533</v>
      </c>
      <c r="T8" s="855"/>
      <c r="U8" s="855">
        <v>1427.09</v>
      </c>
      <c r="V8" s="855">
        <f t="shared" ref="V8:V13" si="6">750/20417.9*G8</f>
        <v>86.831897501701931</v>
      </c>
      <c r="W8" s="855">
        <f t="shared" ref="W8:W13" si="7">750/20417.9*G8</f>
        <v>86.831897501701931</v>
      </c>
      <c r="X8" s="913">
        <f t="shared" ref="X8:X13" si="8">301968.19/20417.9*G8</f>
        <v>34960.627897139275</v>
      </c>
      <c r="Y8" s="913">
        <f t="shared" ref="Y8:Y13" si="9">X8*0.202</f>
        <v>7062.0468352221342</v>
      </c>
      <c r="Z8" s="914"/>
      <c r="AA8" s="914"/>
      <c r="AB8" s="914"/>
      <c r="AC8" s="774">
        <f t="shared" ref="AC8:AC13" si="10">23798.14/20417.9*G8</f>
        <v>2755.2502042815368</v>
      </c>
      <c r="AD8" s="855">
        <f t="shared" ref="AD8:AD13" si="11">206606.48/657895.14*K8</f>
        <v>22541.972958936891</v>
      </c>
      <c r="AE8" s="855">
        <f t="shared" ref="AE8:AE13" si="12">708.37/20417.9*G8</f>
        <v>82.012148311040789</v>
      </c>
      <c r="AF8" s="915">
        <f t="shared" ref="AF8:AF13" si="13">M8-O8</f>
        <v>-1358.6165961807856</v>
      </c>
      <c r="AG8" s="855">
        <f t="shared" ref="AG8:AG14" si="14">L8/K8*100</f>
        <v>88.231782580711666</v>
      </c>
      <c r="AH8" s="855">
        <f t="shared" ref="AH8:AH14" si="15">J8/I8*100</f>
        <v>54.516355889257753</v>
      </c>
      <c r="AI8" s="916">
        <f t="shared" si="0"/>
        <v>8.1440137692140926</v>
      </c>
      <c r="AJ8" s="917">
        <v>7.59</v>
      </c>
      <c r="AK8" s="736">
        <f t="shared" ref="AK8:AK14" si="16">M8-N8</f>
        <v>10206.43</v>
      </c>
      <c r="AL8" s="250"/>
      <c r="AM8" s="250"/>
      <c r="AN8" s="250"/>
      <c r="AO8" s="250"/>
    </row>
    <row r="9" spans="1:42" s="44" customFormat="1" x14ac:dyDescent="0.25">
      <c r="A9" s="5">
        <v>3</v>
      </c>
      <c r="B9" s="43" t="s">
        <v>19</v>
      </c>
      <c r="C9" s="737">
        <v>1986</v>
      </c>
      <c r="D9" s="737">
        <v>3</v>
      </c>
      <c r="E9" s="737">
        <v>24</v>
      </c>
      <c r="F9" s="909">
        <v>83</v>
      </c>
      <c r="G9" s="738">
        <v>1440.6</v>
      </c>
      <c r="H9" s="738">
        <v>174</v>
      </c>
      <c r="I9" s="911">
        <v>3244.68</v>
      </c>
      <c r="J9" s="911">
        <v>1979.88</v>
      </c>
      <c r="K9" s="912">
        <v>44831.56</v>
      </c>
      <c r="L9" s="912">
        <v>44211.27</v>
      </c>
      <c r="M9" s="912">
        <f t="shared" si="1"/>
        <v>48076.24</v>
      </c>
      <c r="N9" s="912">
        <f t="shared" si="2"/>
        <v>46191.149999999994</v>
      </c>
      <c r="O9" s="912">
        <f t="shared" si="3"/>
        <v>47513.524509691299</v>
      </c>
      <c r="P9" s="912">
        <v>4267.67</v>
      </c>
      <c r="Q9" s="912">
        <f t="shared" si="4"/>
        <v>151.69483639355661</v>
      </c>
      <c r="R9" s="913">
        <f t="shared" si="5"/>
        <v>734.38645306324338</v>
      </c>
      <c r="S9" s="855"/>
      <c r="T9" s="855"/>
      <c r="U9" s="855">
        <v>836.57</v>
      </c>
      <c r="V9" s="855">
        <f t="shared" si="6"/>
        <v>52.916803393101141</v>
      </c>
      <c r="W9" s="855">
        <f t="shared" si="7"/>
        <v>52.916803393101141</v>
      </c>
      <c r="X9" s="913">
        <f t="shared" si="8"/>
        <v>21305.588454934146</v>
      </c>
      <c r="Y9" s="913">
        <f t="shared" si="9"/>
        <v>4303.7288678966979</v>
      </c>
      <c r="Z9" s="914"/>
      <c r="AA9" s="914"/>
      <c r="AB9" s="914"/>
      <c r="AC9" s="774">
        <f t="shared" si="10"/>
        <v>1679.095327335328</v>
      </c>
      <c r="AD9" s="855">
        <f t="shared" si="11"/>
        <v>14078.977395256028</v>
      </c>
      <c r="AE9" s="855">
        <f t="shared" si="12"/>
        <v>49.979568026094739</v>
      </c>
      <c r="AF9" s="915">
        <f t="shared" si="13"/>
        <v>562.71549030869937</v>
      </c>
      <c r="AG9" s="855">
        <f t="shared" si="14"/>
        <v>98.616398804770569</v>
      </c>
      <c r="AH9" s="855">
        <f t="shared" si="15"/>
        <v>61.019268464070421</v>
      </c>
      <c r="AI9" s="916">
        <f t="shared" si="0"/>
        <v>8.2454401828563277</v>
      </c>
      <c r="AJ9" s="917">
        <v>7.78</v>
      </c>
      <c r="AK9" s="736">
        <f t="shared" si="16"/>
        <v>1885.0900000000038</v>
      </c>
      <c r="AL9" s="250"/>
      <c r="AM9" s="250"/>
      <c r="AN9" s="250"/>
      <c r="AO9" s="250"/>
    </row>
    <row r="10" spans="1:42" s="44" customFormat="1" x14ac:dyDescent="0.25">
      <c r="A10" s="5">
        <v>4</v>
      </c>
      <c r="B10" s="43" t="s">
        <v>20</v>
      </c>
      <c r="C10" s="737">
        <v>1992</v>
      </c>
      <c r="D10" s="737">
        <v>5</v>
      </c>
      <c r="E10" s="737">
        <v>60</v>
      </c>
      <c r="F10" s="909">
        <v>167</v>
      </c>
      <c r="G10" s="738">
        <v>3634.3</v>
      </c>
      <c r="H10" s="738">
        <v>320</v>
      </c>
      <c r="I10" s="911">
        <v>8733</v>
      </c>
      <c r="J10" s="911">
        <v>5143.42</v>
      </c>
      <c r="K10" s="912">
        <v>121118.28</v>
      </c>
      <c r="L10" s="912">
        <v>112875.62</v>
      </c>
      <c r="M10" s="912">
        <f t="shared" si="1"/>
        <v>129851.28</v>
      </c>
      <c r="N10" s="912">
        <f t="shared" si="2"/>
        <v>118019.04</v>
      </c>
      <c r="O10" s="912">
        <f t="shared" si="3"/>
        <v>117859.81582529818</v>
      </c>
      <c r="P10" s="912">
        <v>4237.32</v>
      </c>
      <c r="Q10" s="912">
        <f t="shared" si="4"/>
        <v>382.69092316056009</v>
      </c>
      <c r="R10" s="913">
        <f t="shared" si="5"/>
        <v>1852.6868571204677</v>
      </c>
      <c r="S10" s="855"/>
      <c r="T10" s="855"/>
      <c r="U10" s="855">
        <v>4115.51</v>
      </c>
      <c r="V10" s="855">
        <f t="shared" si="6"/>
        <v>133.49683366066049</v>
      </c>
      <c r="W10" s="855">
        <f t="shared" si="7"/>
        <v>133.49683366066049</v>
      </c>
      <c r="X10" s="913">
        <f t="shared" si="8"/>
        <v>53749.062974987632</v>
      </c>
      <c r="Y10" s="913">
        <f t="shared" si="9"/>
        <v>10857.310720947502</v>
      </c>
      <c r="Z10" s="914"/>
      <c r="AA10" s="914"/>
      <c r="AB10" s="914"/>
      <c r="AC10" s="774">
        <f t="shared" si="10"/>
        <v>4235.9684493508139</v>
      </c>
      <c r="AD10" s="855">
        <f t="shared" si="11"/>
        <v>38036.185362996293</v>
      </c>
      <c r="AE10" s="855">
        <f t="shared" si="12"/>
        <v>126.08686941360276</v>
      </c>
      <c r="AF10" s="915">
        <f t="shared" si="13"/>
        <v>11991.464174701818</v>
      </c>
      <c r="AG10" s="855">
        <f t="shared" si="14"/>
        <v>93.1945367784285</v>
      </c>
      <c r="AH10" s="855">
        <f t="shared" si="15"/>
        <v>58.896370090461467</v>
      </c>
      <c r="AI10" s="916">
        <f t="shared" si="0"/>
        <v>8.1074633234252929</v>
      </c>
      <c r="AJ10" s="917">
        <v>8.33</v>
      </c>
      <c r="AK10" s="736">
        <f t="shared" si="16"/>
        <v>11832.240000000005</v>
      </c>
      <c r="AL10" s="250"/>
      <c r="AM10" s="250"/>
      <c r="AN10" s="250"/>
      <c r="AO10" s="250"/>
    </row>
    <row r="11" spans="1:42" s="44" customFormat="1" x14ac:dyDescent="0.25">
      <c r="A11" s="5">
        <v>5</v>
      </c>
      <c r="B11" s="43" t="s">
        <v>22</v>
      </c>
      <c r="C11" s="737">
        <v>1994</v>
      </c>
      <c r="D11" s="737">
        <v>5</v>
      </c>
      <c r="E11" s="737">
        <v>60</v>
      </c>
      <c r="F11" s="909">
        <v>131</v>
      </c>
      <c r="G11" s="738">
        <v>3641.8</v>
      </c>
      <c r="H11" s="738">
        <v>320</v>
      </c>
      <c r="I11" s="911">
        <v>8732.64</v>
      </c>
      <c r="J11" s="911">
        <v>5024.57</v>
      </c>
      <c r="K11" s="912">
        <v>119919.46</v>
      </c>
      <c r="L11" s="912">
        <v>113169.32</v>
      </c>
      <c r="M11" s="912">
        <f t="shared" si="1"/>
        <v>128652.1</v>
      </c>
      <c r="N11" s="912">
        <f t="shared" si="2"/>
        <v>118193.89000000001</v>
      </c>
      <c r="O11" s="912">
        <f t="shared" si="3"/>
        <v>119929.24863366009</v>
      </c>
      <c r="P11" s="912">
        <v>4297.9799999999996</v>
      </c>
      <c r="Q11" s="912">
        <f t="shared" si="4"/>
        <v>383.48067137168857</v>
      </c>
      <c r="R11" s="913">
        <f t="shared" si="5"/>
        <v>1856.510193506678</v>
      </c>
      <c r="S11" s="855"/>
      <c r="T11" s="855"/>
      <c r="U11" s="855">
        <v>6353.27</v>
      </c>
      <c r="V11" s="855">
        <f t="shared" si="6"/>
        <v>133.77232722268207</v>
      </c>
      <c r="W11" s="855">
        <f t="shared" si="7"/>
        <v>133.77232722268207</v>
      </c>
      <c r="X11" s="913">
        <f t="shared" si="8"/>
        <v>53859.983364694701</v>
      </c>
      <c r="Y11" s="913">
        <f t="shared" si="9"/>
        <v>10879.71663966833</v>
      </c>
      <c r="Z11" s="914"/>
      <c r="AA11" s="914"/>
      <c r="AB11" s="914"/>
      <c r="AC11" s="774">
        <f t="shared" si="10"/>
        <v>4244.7100951615976</v>
      </c>
      <c r="AD11" s="855">
        <f t="shared" si="11"/>
        <v>37659.705943565416</v>
      </c>
      <c r="AE11" s="855">
        <f t="shared" si="12"/>
        <v>126.34707124630837</v>
      </c>
      <c r="AF11" s="915">
        <f t="shared" si="13"/>
        <v>8722.8513663399208</v>
      </c>
      <c r="AG11" s="855">
        <f t="shared" si="14"/>
        <v>94.371105406912264</v>
      </c>
      <c r="AH11" s="855">
        <f t="shared" si="15"/>
        <v>57.537812162186917</v>
      </c>
      <c r="AI11" s="916">
        <f t="shared" si="0"/>
        <v>8.2328277660538802</v>
      </c>
      <c r="AJ11" s="917">
        <v>8.23</v>
      </c>
      <c r="AK11" s="736">
        <f t="shared" si="16"/>
        <v>10458.209999999992</v>
      </c>
      <c r="AL11" s="250"/>
      <c r="AM11" s="250"/>
      <c r="AN11" s="250"/>
      <c r="AO11" s="250"/>
    </row>
    <row r="12" spans="1:42" s="44" customFormat="1" x14ac:dyDescent="0.25">
      <c r="A12" s="5">
        <v>6</v>
      </c>
      <c r="B12" s="43" t="s">
        <v>21</v>
      </c>
      <c r="C12" s="737">
        <v>1981</v>
      </c>
      <c r="D12" s="737">
        <v>5</v>
      </c>
      <c r="E12" s="737">
        <v>60</v>
      </c>
      <c r="F12" s="909">
        <v>159</v>
      </c>
      <c r="G12" s="738">
        <v>3289.5</v>
      </c>
      <c r="H12" s="738">
        <v>496</v>
      </c>
      <c r="I12" s="911">
        <v>7403.28</v>
      </c>
      <c r="J12" s="911">
        <v>4641.43</v>
      </c>
      <c r="K12" s="912">
        <v>105215.56</v>
      </c>
      <c r="L12" s="912">
        <v>100974.69</v>
      </c>
      <c r="M12" s="912">
        <f t="shared" si="1"/>
        <v>112618.84</v>
      </c>
      <c r="N12" s="912">
        <f t="shared" si="2"/>
        <v>105616.12</v>
      </c>
      <c r="O12" s="912">
        <f t="shared" si="3"/>
        <v>108256.43993082894</v>
      </c>
      <c r="P12" s="912">
        <v>5680.26</v>
      </c>
      <c r="Q12" s="912">
        <f t="shared" si="4"/>
        <v>346.38356540094719</v>
      </c>
      <c r="R12" s="913">
        <f t="shared" si="5"/>
        <v>1676.9153389917669</v>
      </c>
      <c r="S12" s="855">
        <v>1534</v>
      </c>
      <c r="T12" s="855"/>
      <c r="U12" s="855">
        <v>3310.02</v>
      </c>
      <c r="V12" s="855">
        <f t="shared" si="6"/>
        <v>120.83147630265599</v>
      </c>
      <c r="W12" s="855">
        <f t="shared" si="7"/>
        <v>120.83147630265599</v>
      </c>
      <c r="X12" s="913">
        <f t="shared" si="8"/>
        <v>48649.682925521229</v>
      </c>
      <c r="Y12" s="913">
        <f t="shared" si="9"/>
        <v>9827.235950955288</v>
      </c>
      <c r="Z12" s="914"/>
      <c r="AA12" s="914"/>
      <c r="AB12" s="914"/>
      <c r="AC12" s="774">
        <f t="shared" si="10"/>
        <v>3834.085852609719</v>
      </c>
      <c r="AD12" s="855">
        <f t="shared" si="11"/>
        <v>33042.068820920002</v>
      </c>
      <c r="AE12" s="855">
        <f t="shared" si="12"/>
        <v>114.12452382468322</v>
      </c>
      <c r="AF12" s="915">
        <f t="shared" si="13"/>
        <v>4362.4000691710535</v>
      </c>
      <c r="AG12" s="855">
        <f t="shared" si="14"/>
        <v>95.969350921099505</v>
      </c>
      <c r="AH12" s="855">
        <f t="shared" si="15"/>
        <v>62.694238229541511</v>
      </c>
      <c r="AI12" s="916">
        <f t="shared" si="0"/>
        <v>8.227423615354077</v>
      </c>
      <c r="AJ12" s="917">
        <v>7.99</v>
      </c>
      <c r="AK12" s="736">
        <f t="shared" si="16"/>
        <v>7002.7200000000012</v>
      </c>
      <c r="AL12" s="250"/>
      <c r="AM12" s="250"/>
      <c r="AN12" s="250"/>
      <c r="AO12" s="250"/>
    </row>
    <row r="13" spans="1:42" s="124" customFormat="1" x14ac:dyDescent="0.25">
      <c r="A13" s="260">
        <v>7</v>
      </c>
      <c r="B13" s="43" t="s">
        <v>311</v>
      </c>
      <c r="C13" s="737">
        <v>1993</v>
      </c>
      <c r="D13" s="737">
        <v>5</v>
      </c>
      <c r="E13" s="737">
        <v>60</v>
      </c>
      <c r="F13" s="909">
        <v>134</v>
      </c>
      <c r="G13" s="738">
        <v>3681.6</v>
      </c>
      <c r="H13" s="738"/>
      <c r="I13" s="911">
        <v>8732.7000000000007</v>
      </c>
      <c r="J13" s="911">
        <v>5514.25</v>
      </c>
      <c r="K13" s="912">
        <v>122957.36</v>
      </c>
      <c r="L13" s="912">
        <v>117916.24</v>
      </c>
      <c r="M13" s="912">
        <f t="shared" si="1"/>
        <v>131690.06</v>
      </c>
      <c r="N13" s="912">
        <f t="shared" si="2"/>
        <v>123430.49</v>
      </c>
      <c r="O13" s="912">
        <f t="shared" si="3"/>
        <v>128812.34787275239</v>
      </c>
      <c r="P13" s="912">
        <v>4523.88</v>
      </c>
      <c r="Q13" s="912">
        <f t="shared" si="4"/>
        <v>387.67160187874362</v>
      </c>
      <c r="R13" s="913">
        <f t="shared" si="5"/>
        <v>1876.7993652628329</v>
      </c>
      <c r="S13" s="855"/>
      <c r="T13" s="855"/>
      <c r="U13" s="855">
        <v>13273.75</v>
      </c>
      <c r="V13" s="855">
        <f t="shared" si="6"/>
        <v>135.23427972514313</v>
      </c>
      <c r="W13" s="855">
        <f t="shared" si="7"/>
        <v>135.23427972514313</v>
      </c>
      <c r="X13" s="913">
        <f t="shared" si="8"/>
        <v>54448.600899406891</v>
      </c>
      <c r="Y13" s="913">
        <f t="shared" si="9"/>
        <v>10998.617381680193</v>
      </c>
      <c r="Z13" s="914"/>
      <c r="AA13" s="914"/>
      <c r="AB13" s="914"/>
      <c r="AC13" s="774">
        <f t="shared" si="10"/>
        <v>4291.0990955974894</v>
      </c>
      <c r="AD13" s="855">
        <f t="shared" si="11"/>
        <v>38613.733093837414</v>
      </c>
      <c r="AE13" s="855">
        <f t="shared" si="12"/>
        <v>127.72787563853284</v>
      </c>
      <c r="AF13" s="915">
        <f t="shared" si="13"/>
        <v>2877.712127247607</v>
      </c>
      <c r="AG13" s="855">
        <f t="shared" si="14"/>
        <v>95.900107159099719</v>
      </c>
      <c r="AH13" s="855">
        <f t="shared" si="15"/>
        <v>63.144846381989531</v>
      </c>
      <c r="AI13" s="916">
        <f t="shared" si="0"/>
        <v>8.7470357910115428</v>
      </c>
      <c r="AJ13" s="917">
        <v>8.35</v>
      </c>
      <c r="AK13" s="736">
        <f t="shared" si="16"/>
        <v>8259.5699999999924</v>
      </c>
      <c r="AL13" s="250"/>
      <c r="AM13" s="250"/>
      <c r="AN13" s="250"/>
      <c r="AO13" s="250"/>
    </row>
    <row r="14" spans="1:42" x14ac:dyDescent="0.25">
      <c r="A14" s="4"/>
      <c r="B14" s="4" t="s">
        <v>23</v>
      </c>
      <c r="C14" s="737"/>
      <c r="D14" s="737"/>
      <c r="E14" s="918">
        <f>SUM(E7:E13)</f>
        <v>354</v>
      </c>
      <c r="F14" s="918">
        <f>SUM(F7:F13)</f>
        <v>923</v>
      </c>
      <c r="G14" s="919">
        <f>SUM(G7:G13)</f>
        <v>20417.899999999998</v>
      </c>
      <c r="H14" s="919">
        <f>SUM(H7:H12)</f>
        <v>1730</v>
      </c>
      <c r="I14" s="919">
        <f>SUM(I7:I13)</f>
        <v>44581.59</v>
      </c>
      <c r="J14" s="919">
        <f>SUM(J7:J13)</f>
        <v>26588.25</v>
      </c>
      <c r="K14" s="920">
        <f t="shared" ref="K14:R14" si="17">SUM(K7:K13)</f>
        <v>657895.14</v>
      </c>
      <c r="L14" s="920">
        <f t="shared" si="17"/>
        <v>624147.27</v>
      </c>
      <c r="M14" s="920">
        <f t="shared" si="17"/>
        <v>702476.73</v>
      </c>
      <c r="N14" s="920">
        <f t="shared" si="17"/>
        <v>650735.52</v>
      </c>
      <c r="O14" s="920">
        <f t="shared" si="17"/>
        <v>677727.79437999998</v>
      </c>
      <c r="P14" s="920">
        <f t="shared" si="17"/>
        <v>33108.869999999995</v>
      </c>
      <c r="Q14" s="920">
        <f t="shared" si="17"/>
        <v>2150</v>
      </c>
      <c r="R14" s="920">
        <f t="shared" si="17"/>
        <v>10408.599999999999</v>
      </c>
      <c r="S14" s="920">
        <f t="shared" ref="S14:U14" si="18">SUM(S7:S13)</f>
        <v>5860</v>
      </c>
      <c r="T14" s="920">
        <f t="shared" si="18"/>
        <v>0</v>
      </c>
      <c r="U14" s="920">
        <f t="shared" si="18"/>
        <v>30621.57</v>
      </c>
      <c r="V14" s="920">
        <f t="shared" ref="V14:AD14" si="19">SUM(V7:V13)</f>
        <v>749.99999999999989</v>
      </c>
      <c r="W14" s="920">
        <f t="shared" si="19"/>
        <v>749.99999999999989</v>
      </c>
      <c r="X14" s="920">
        <f t="shared" si="19"/>
        <v>301968.18999999994</v>
      </c>
      <c r="Y14" s="920">
        <f t="shared" si="19"/>
        <v>60997.574379999991</v>
      </c>
      <c r="Z14" s="920">
        <f t="shared" si="19"/>
        <v>0</v>
      </c>
      <c r="AA14" s="920">
        <f t="shared" si="19"/>
        <v>0</v>
      </c>
      <c r="AB14" s="920">
        <f t="shared" si="19"/>
        <v>0</v>
      </c>
      <c r="AC14" s="920">
        <f t="shared" si="19"/>
        <v>23798.139999999992</v>
      </c>
      <c r="AD14" s="920">
        <f t="shared" si="19"/>
        <v>206606.48</v>
      </c>
      <c r="AE14" s="920">
        <f>SUM(AE7:AE13)</f>
        <v>708.36999999999989</v>
      </c>
      <c r="AF14" s="920">
        <f t="shared" ref="AF14" si="20">SUM(AF7:AF13)</f>
        <v>24748.935620000026</v>
      </c>
      <c r="AG14" s="56">
        <f t="shared" si="14"/>
        <v>94.870326903463678</v>
      </c>
      <c r="AH14" s="56">
        <f t="shared" si="15"/>
        <v>59.63952833445375</v>
      </c>
      <c r="AI14" s="921">
        <f t="shared" si="0"/>
        <v>8.298206406878279</v>
      </c>
      <c r="AJ14" s="922"/>
      <c r="AK14" s="647">
        <f t="shared" si="16"/>
        <v>51741.209999999963</v>
      </c>
      <c r="AL14" s="250"/>
      <c r="AM14" s="250"/>
      <c r="AN14" s="250"/>
      <c r="AO14" s="250"/>
    </row>
    <row r="15" spans="1:42" x14ac:dyDescent="0.25">
      <c r="A15" s="8"/>
      <c r="B15" s="8"/>
      <c r="C15" s="923"/>
      <c r="D15" s="923"/>
      <c r="E15" s="923"/>
      <c r="F15" s="923"/>
      <c r="G15" s="923"/>
      <c r="H15" s="923"/>
      <c r="I15" s="923"/>
      <c r="J15" s="923"/>
      <c r="K15" s="923" t="s">
        <v>180</v>
      </c>
      <c r="L15" s="923"/>
      <c r="M15" s="923"/>
      <c r="N15" s="923"/>
      <c r="O15" s="923" t="s">
        <v>180</v>
      </c>
      <c r="P15" s="924">
        <f>P14+Q14</f>
        <v>35258.869999999995</v>
      </c>
      <c r="Q15" s="925"/>
      <c r="R15" s="923"/>
      <c r="S15" s="923"/>
      <c r="T15" s="923"/>
      <c r="U15" s="788"/>
      <c r="V15" s="788"/>
      <c r="W15" s="788"/>
      <c r="X15" s="926">
        <f>X14+Y14</f>
        <v>362965.76437999995</v>
      </c>
      <c r="Y15" s="788"/>
      <c r="Z15" s="788"/>
      <c r="AA15" s="788"/>
      <c r="AB15" s="788"/>
      <c r="AC15" s="788"/>
      <c r="AD15" s="788"/>
      <c r="AE15" s="349"/>
      <c r="AF15" s="749"/>
      <c r="AG15" s="749"/>
      <c r="AH15" s="749"/>
      <c r="AI15" s="749"/>
      <c r="AJ15" s="749"/>
      <c r="AK15" s="375"/>
      <c r="AL15" s="250"/>
      <c r="AM15" s="250"/>
      <c r="AN15" s="250"/>
      <c r="AO15" s="250"/>
    </row>
    <row r="16" spans="1:42" ht="15.7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223"/>
      <c r="AG16" s="223"/>
      <c r="AH16" s="223"/>
      <c r="AI16" s="223"/>
      <c r="AJ16" s="223"/>
      <c r="AK16" s="9"/>
      <c r="AL16" s="9"/>
      <c r="AM16" s="9"/>
      <c r="AN16" s="9"/>
      <c r="AO16" s="9"/>
      <c r="AP16" s="9"/>
    </row>
    <row r="17" spans="1:42" ht="20.25" customHeight="1" x14ac:dyDescent="0.25">
      <c r="A17" s="153"/>
      <c r="B17" s="153"/>
      <c r="C17" s="153"/>
      <c r="D17" s="153"/>
      <c r="E17" s="153"/>
      <c r="F17" s="153"/>
      <c r="G17" s="153"/>
      <c r="H17" s="155"/>
      <c r="I17" s="223"/>
      <c r="J17" s="223"/>
      <c r="K17" s="153"/>
      <c r="L17" s="153"/>
      <c r="M17" s="223"/>
      <c r="N17" s="223"/>
      <c r="O17" s="153"/>
      <c r="P17" s="153"/>
      <c r="Q17" s="153"/>
      <c r="R17" s="153"/>
      <c r="S17" s="153"/>
      <c r="T17" s="153"/>
      <c r="U17" s="153"/>
      <c r="V17" s="223"/>
      <c r="W17" s="223"/>
      <c r="X17" s="153"/>
      <c r="Y17" s="223"/>
      <c r="Z17" s="223"/>
      <c r="AA17" s="223"/>
      <c r="AB17" s="223"/>
      <c r="AC17" s="223"/>
      <c r="AD17" s="153"/>
      <c r="AE17" s="153"/>
      <c r="AF17" s="223"/>
      <c r="AG17" s="223"/>
      <c r="AH17" s="223"/>
      <c r="AI17" s="223"/>
      <c r="AJ17" s="223"/>
      <c r="AK17" s="153"/>
      <c r="AL17" s="153"/>
      <c r="AM17" s="153"/>
      <c r="AN17" s="153"/>
      <c r="AO17" s="153"/>
      <c r="AP17" s="9"/>
    </row>
    <row r="18" spans="1:42" ht="15.75" customHeight="1" x14ac:dyDescent="0.3">
      <c r="B18" s="84" t="s">
        <v>305</v>
      </c>
      <c r="C18" s="84"/>
      <c r="D18" s="84"/>
      <c r="E18" s="84"/>
      <c r="F18" s="84"/>
      <c r="AE18" s="250"/>
      <c r="AF18" s="250"/>
      <c r="AG18" s="250"/>
      <c r="AH18" s="250"/>
      <c r="AI18" s="250"/>
      <c r="AJ18" s="250"/>
      <c r="AO18" s="153"/>
      <c r="AP18" s="9"/>
    </row>
    <row r="19" spans="1:42" ht="18.75" x14ac:dyDescent="0.3">
      <c r="B19" s="1993" t="s">
        <v>561</v>
      </c>
      <c r="C19" s="1994"/>
      <c r="D19" s="1994"/>
      <c r="E19" s="1994"/>
      <c r="F19" s="1994"/>
      <c r="AE19" s="250"/>
      <c r="AF19" s="250"/>
      <c r="AG19" s="250"/>
      <c r="AH19" s="250"/>
      <c r="AI19" s="250"/>
      <c r="AJ19" s="250"/>
      <c r="AO19" s="153"/>
      <c r="AP19" s="9"/>
    </row>
    <row r="20" spans="1:42" ht="18" customHeight="1" x14ac:dyDescent="0.25">
      <c r="AB20" s="250"/>
      <c r="AC20" s="250"/>
      <c r="AD20" s="250"/>
      <c r="AE20" s="250"/>
      <c r="AF20" s="250"/>
      <c r="AG20" s="250"/>
      <c r="AH20" s="250"/>
      <c r="AI20" s="250"/>
      <c r="AJ20" s="250"/>
      <c r="AO20" s="153"/>
      <c r="AP20" s="9"/>
    </row>
    <row r="21" spans="1:42" ht="29.25" customHeight="1" x14ac:dyDescent="0.25">
      <c r="A21" s="1985" t="s">
        <v>0</v>
      </c>
      <c r="B21" s="1985" t="s">
        <v>184</v>
      </c>
      <c r="C21" s="1985" t="s">
        <v>54</v>
      </c>
      <c r="D21" s="1985" t="s">
        <v>55</v>
      </c>
      <c r="E21" s="1985" t="s">
        <v>56</v>
      </c>
      <c r="F21" s="1985" t="s">
        <v>57</v>
      </c>
      <c r="G21" s="1985" t="s">
        <v>6</v>
      </c>
      <c r="H21" s="1985" t="s">
        <v>288</v>
      </c>
      <c r="I21" s="933"/>
      <c r="J21" s="933"/>
      <c r="K21" s="1989" t="s">
        <v>284</v>
      </c>
      <c r="L21" s="1990"/>
      <c r="M21" s="937"/>
      <c r="N21" s="937"/>
      <c r="O21" s="1987" t="s">
        <v>186</v>
      </c>
      <c r="P21" s="1987" t="s">
        <v>370</v>
      </c>
      <c r="Q21" s="1987" t="s">
        <v>333</v>
      </c>
      <c r="R21" s="2003" t="s">
        <v>314</v>
      </c>
      <c r="S21" s="1987" t="s">
        <v>371</v>
      </c>
      <c r="T21" s="1987" t="s">
        <v>372</v>
      </c>
      <c r="U21" s="1999" t="s">
        <v>375</v>
      </c>
      <c r="V21" s="1987" t="s">
        <v>373</v>
      </c>
      <c r="W21" s="2001" t="s">
        <v>374</v>
      </c>
      <c r="X21" s="2009" t="s">
        <v>175</v>
      </c>
      <c r="Y21" s="2005" t="s">
        <v>176</v>
      </c>
      <c r="Z21" s="2001" t="s">
        <v>182</v>
      </c>
      <c r="AA21" s="1999" t="s">
        <v>544</v>
      </c>
      <c r="AB21" s="2010" t="s">
        <v>566</v>
      </c>
      <c r="AC21" s="250"/>
      <c r="AD21" s="250"/>
      <c r="AE21" s="250"/>
      <c r="AF21" s="250"/>
      <c r="AG21" s="250"/>
      <c r="AH21" s="250"/>
      <c r="AI21" s="250"/>
      <c r="AJ21" s="250"/>
      <c r="AK21" s="358"/>
      <c r="AL21" s="358"/>
      <c r="AM21" s="358"/>
      <c r="AN21" s="358"/>
      <c r="AO21" s="358"/>
      <c r="AP21" s="358"/>
    </row>
    <row r="22" spans="1:42" ht="27.75" customHeight="1" x14ac:dyDescent="0.25">
      <c r="A22" s="1986"/>
      <c r="B22" s="1986"/>
      <c r="C22" s="1986"/>
      <c r="D22" s="1986"/>
      <c r="E22" s="1986"/>
      <c r="F22" s="1986"/>
      <c r="G22" s="1986"/>
      <c r="H22" s="1986"/>
      <c r="I22" s="934"/>
      <c r="J22" s="934"/>
      <c r="K22" s="150" t="s">
        <v>15</v>
      </c>
      <c r="L22" s="224" t="s">
        <v>16</v>
      </c>
      <c r="M22" s="938"/>
      <c r="N22" s="938"/>
      <c r="O22" s="1988"/>
      <c r="P22" s="1988"/>
      <c r="Q22" s="1988"/>
      <c r="R22" s="2004"/>
      <c r="S22" s="1988"/>
      <c r="T22" s="1988"/>
      <c r="U22" s="2000"/>
      <c r="V22" s="1988"/>
      <c r="W22" s="2002"/>
      <c r="X22" s="2009"/>
      <c r="Y22" s="2006"/>
      <c r="Z22" s="2002"/>
      <c r="AA22" s="2000"/>
      <c r="AB22" s="2011"/>
      <c r="AC22" s="250"/>
      <c r="AD22" s="250"/>
      <c r="AE22" s="250"/>
      <c r="AF22" s="250"/>
      <c r="AG22" s="250"/>
      <c r="AH22" s="250"/>
      <c r="AI22" s="250"/>
      <c r="AJ22" s="250"/>
      <c r="AK22" s="358"/>
      <c r="AL22" s="358"/>
      <c r="AM22" s="358"/>
      <c r="AN22" s="358"/>
      <c r="AO22" s="358"/>
      <c r="AP22" s="358"/>
    </row>
    <row r="23" spans="1:42" ht="15" customHeight="1" x14ac:dyDescent="0.25">
      <c r="A23" s="2">
        <v>1</v>
      </c>
      <c r="B23" s="85" t="s">
        <v>17</v>
      </c>
      <c r="C23" s="908">
        <v>1977</v>
      </c>
      <c r="D23" s="908">
        <v>5</v>
      </c>
      <c r="E23" s="908">
        <v>45</v>
      </c>
      <c r="F23" s="927">
        <v>132</v>
      </c>
      <c r="G23" s="910">
        <v>2366.1999999999998</v>
      </c>
      <c r="H23" s="910">
        <v>210</v>
      </c>
      <c r="I23" s="935"/>
      <c r="J23" s="935"/>
      <c r="K23" s="912">
        <v>47354</v>
      </c>
      <c r="L23" s="912">
        <v>46658.48</v>
      </c>
      <c r="M23" s="939"/>
      <c r="N23" s="939"/>
      <c r="O23" s="912">
        <f>P23+Q23+R23+S23+T23+U23+V23+W23</f>
        <v>0</v>
      </c>
      <c r="P23" s="928"/>
      <c r="Q23" s="912"/>
      <c r="R23" s="855"/>
      <c r="S23" s="855"/>
      <c r="T23" s="855"/>
      <c r="U23" s="855"/>
      <c r="V23" s="855"/>
      <c r="W23" s="855"/>
      <c r="X23" s="855">
        <f>K23-O23</f>
        <v>47354</v>
      </c>
      <c r="Y23" s="855">
        <f>L23/K23*100</f>
        <v>98.531232841998573</v>
      </c>
      <c r="Z23" s="855">
        <f t="shared" ref="Z23:Z29" si="21">O23/G23/4</f>
        <v>0</v>
      </c>
      <c r="AA23" s="855">
        <v>5</v>
      </c>
      <c r="AB23" s="736">
        <f>K23-L23</f>
        <v>695.5199999999968</v>
      </c>
      <c r="AC23" s="250"/>
      <c r="AD23" s="250"/>
      <c r="AE23" s="250"/>
      <c r="AF23" s="250"/>
      <c r="AG23" s="250"/>
      <c r="AH23" s="250"/>
      <c r="AI23" s="250"/>
      <c r="AJ23" s="250"/>
      <c r="AK23" s="358"/>
      <c r="AL23" s="358"/>
      <c r="AM23" s="358"/>
      <c r="AN23" s="358"/>
      <c r="AO23" s="358"/>
      <c r="AP23" s="358"/>
    </row>
    <row r="24" spans="1:42" ht="15" customHeight="1" x14ac:dyDescent="0.25">
      <c r="A24" s="5">
        <v>2</v>
      </c>
      <c r="B24" s="43" t="s">
        <v>18</v>
      </c>
      <c r="C24" s="737">
        <v>1977</v>
      </c>
      <c r="D24" s="737">
        <v>5</v>
      </c>
      <c r="E24" s="737">
        <v>45</v>
      </c>
      <c r="F24" s="929">
        <v>117</v>
      </c>
      <c r="G24" s="738">
        <v>2363.9</v>
      </c>
      <c r="H24" s="738">
        <v>210</v>
      </c>
      <c r="I24" s="935"/>
      <c r="J24" s="935"/>
      <c r="K24" s="912">
        <v>47286</v>
      </c>
      <c r="L24" s="912">
        <v>41669.760000000002</v>
      </c>
      <c r="M24" s="939"/>
      <c r="N24" s="939"/>
      <c r="O24" s="912">
        <f t="shared" ref="O24:O29" si="22">P24+Q24+R24+S24+T24+U24+V24+W24</f>
        <v>0</v>
      </c>
      <c r="P24" s="928"/>
      <c r="Q24" s="912"/>
      <c r="R24" s="855"/>
      <c r="S24" s="855"/>
      <c r="T24" s="855"/>
      <c r="U24" s="855"/>
      <c r="V24" s="855"/>
      <c r="W24" s="855"/>
      <c r="X24" s="855">
        <f t="shared" ref="X24:X29" si="23">K24-O24</f>
        <v>47286</v>
      </c>
      <c r="Y24" s="855">
        <f t="shared" ref="Y24:Y30" si="24">L24/K24*100</f>
        <v>88.122827052404517</v>
      </c>
      <c r="Z24" s="855">
        <f t="shared" si="21"/>
        <v>0</v>
      </c>
      <c r="AA24" s="855">
        <v>5</v>
      </c>
      <c r="AB24" s="736">
        <f t="shared" ref="AB24:AB30" si="25">K24-L24</f>
        <v>5616.239999999998</v>
      </c>
      <c r="AC24" s="250"/>
      <c r="AD24" s="250"/>
      <c r="AE24" s="250"/>
      <c r="AF24" s="250"/>
      <c r="AG24" s="250"/>
      <c r="AH24" s="250"/>
      <c r="AI24" s="250"/>
      <c r="AJ24" s="250"/>
      <c r="AK24" s="358"/>
      <c r="AL24" s="358"/>
      <c r="AM24" s="358"/>
      <c r="AN24" s="358"/>
      <c r="AO24" s="358"/>
      <c r="AP24" s="358"/>
    </row>
    <row r="25" spans="1:42" s="44" customFormat="1" ht="15" customHeight="1" x14ac:dyDescent="0.25">
      <c r="A25" s="5">
        <v>3</v>
      </c>
      <c r="B25" s="43" t="s">
        <v>19</v>
      </c>
      <c r="C25" s="737">
        <v>1986</v>
      </c>
      <c r="D25" s="737">
        <v>3</v>
      </c>
      <c r="E25" s="737">
        <v>24</v>
      </c>
      <c r="F25" s="927">
        <v>83</v>
      </c>
      <c r="G25" s="738">
        <v>1440.6</v>
      </c>
      <c r="H25" s="738">
        <v>174</v>
      </c>
      <c r="I25" s="935"/>
      <c r="J25" s="935"/>
      <c r="K25" s="912">
        <v>28812</v>
      </c>
      <c r="L25" s="912">
        <v>28444.85</v>
      </c>
      <c r="M25" s="939"/>
      <c r="N25" s="939"/>
      <c r="O25" s="912">
        <f t="shared" si="22"/>
        <v>2288.64</v>
      </c>
      <c r="P25" s="928">
        <v>2288.64</v>
      </c>
      <c r="Q25" s="912"/>
      <c r="R25" s="855"/>
      <c r="S25" s="855"/>
      <c r="T25" s="855"/>
      <c r="U25" s="855"/>
      <c r="V25" s="855"/>
      <c r="W25" s="855"/>
      <c r="X25" s="855">
        <f t="shared" si="23"/>
        <v>26523.360000000001</v>
      </c>
      <c r="Y25" s="855">
        <f t="shared" si="24"/>
        <v>98.7257045675413</v>
      </c>
      <c r="Z25" s="855">
        <f t="shared" si="21"/>
        <v>0.39716784673052896</v>
      </c>
      <c r="AA25" s="855">
        <v>5</v>
      </c>
      <c r="AB25" s="736">
        <f t="shared" si="25"/>
        <v>367.15000000000146</v>
      </c>
      <c r="AC25" s="250"/>
      <c r="AD25" s="250"/>
      <c r="AE25" s="250"/>
      <c r="AF25" s="250"/>
      <c r="AG25" s="250"/>
      <c r="AH25" s="250"/>
      <c r="AI25" s="250"/>
      <c r="AJ25" s="250"/>
      <c r="AK25" s="358"/>
      <c r="AL25" s="358"/>
      <c r="AM25" s="358"/>
      <c r="AN25" s="358"/>
      <c r="AO25" s="358"/>
      <c r="AP25" s="358"/>
    </row>
    <row r="26" spans="1:42" s="44" customFormat="1" ht="15" customHeight="1" x14ac:dyDescent="0.25">
      <c r="A26" s="5">
        <v>4</v>
      </c>
      <c r="B26" s="43" t="s">
        <v>20</v>
      </c>
      <c r="C26" s="737">
        <v>1992</v>
      </c>
      <c r="D26" s="737">
        <v>5</v>
      </c>
      <c r="E26" s="737">
        <v>60</v>
      </c>
      <c r="F26" s="929">
        <v>167</v>
      </c>
      <c r="G26" s="738">
        <v>3634.3</v>
      </c>
      <c r="H26" s="738">
        <v>320</v>
      </c>
      <c r="I26" s="935"/>
      <c r="J26" s="935"/>
      <c r="K26" s="912">
        <v>72700</v>
      </c>
      <c r="L26" s="912">
        <v>67694.86</v>
      </c>
      <c r="M26" s="939"/>
      <c r="N26" s="939"/>
      <c r="O26" s="912">
        <f t="shared" si="22"/>
        <v>2073.52</v>
      </c>
      <c r="P26" s="928">
        <v>2073.52</v>
      </c>
      <c r="Q26" s="912"/>
      <c r="R26" s="855"/>
      <c r="S26" s="855"/>
      <c r="T26" s="855"/>
      <c r="U26" s="855"/>
      <c r="V26" s="855"/>
      <c r="W26" s="855"/>
      <c r="X26" s="855">
        <f t="shared" si="23"/>
        <v>70626.48</v>
      </c>
      <c r="Y26" s="855">
        <f t="shared" si="24"/>
        <v>93.115350756533701</v>
      </c>
      <c r="Z26" s="855">
        <f t="shared" si="21"/>
        <v>0.14263544561538671</v>
      </c>
      <c r="AA26" s="855">
        <v>5</v>
      </c>
      <c r="AB26" s="736">
        <f t="shared" si="25"/>
        <v>5005.1399999999994</v>
      </c>
      <c r="AC26" s="250"/>
      <c r="AD26" s="250"/>
      <c r="AE26" s="250"/>
      <c r="AF26" s="250"/>
      <c r="AG26" s="250"/>
      <c r="AH26" s="250"/>
      <c r="AI26" s="250"/>
      <c r="AJ26" s="250"/>
      <c r="AK26" s="358"/>
      <c r="AL26" s="358"/>
      <c r="AM26" s="358"/>
      <c r="AN26" s="358"/>
      <c r="AO26" s="358"/>
      <c r="AP26" s="358"/>
    </row>
    <row r="27" spans="1:42" s="44" customFormat="1" ht="15" customHeight="1" x14ac:dyDescent="0.25">
      <c r="A27" s="5">
        <v>5</v>
      </c>
      <c r="B27" s="43" t="s">
        <v>22</v>
      </c>
      <c r="C27" s="737">
        <v>1994</v>
      </c>
      <c r="D27" s="737">
        <v>5</v>
      </c>
      <c r="E27" s="737">
        <v>60</v>
      </c>
      <c r="F27" s="927">
        <v>131</v>
      </c>
      <c r="G27" s="738">
        <v>3641.8</v>
      </c>
      <c r="H27" s="738">
        <v>320</v>
      </c>
      <c r="I27" s="935"/>
      <c r="J27" s="935"/>
      <c r="K27" s="912">
        <v>72855</v>
      </c>
      <c r="L27" s="912">
        <v>68871.679999999993</v>
      </c>
      <c r="M27" s="939"/>
      <c r="N27" s="939"/>
      <c r="O27" s="912">
        <f t="shared" si="22"/>
        <v>1991.21</v>
      </c>
      <c r="P27" s="928">
        <v>1991.21</v>
      </c>
      <c r="Q27" s="912"/>
      <c r="R27" s="855"/>
      <c r="S27" s="855"/>
      <c r="T27" s="855"/>
      <c r="U27" s="855"/>
      <c r="V27" s="855"/>
      <c r="W27" s="855"/>
      <c r="X27" s="855">
        <f t="shared" si="23"/>
        <v>70863.789999999994</v>
      </c>
      <c r="Y27" s="855">
        <f t="shared" si="24"/>
        <v>94.532537231487197</v>
      </c>
      <c r="Z27" s="855">
        <f t="shared" si="21"/>
        <v>0.13669133395573618</v>
      </c>
      <c r="AA27" s="855">
        <v>5</v>
      </c>
      <c r="AB27" s="736">
        <f t="shared" si="25"/>
        <v>3983.320000000007</v>
      </c>
      <c r="AC27" s="250"/>
      <c r="AD27" s="250"/>
      <c r="AE27" s="250"/>
      <c r="AF27" s="250"/>
      <c r="AG27" s="250"/>
      <c r="AH27" s="250"/>
      <c r="AI27" s="250"/>
      <c r="AJ27" s="250"/>
      <c r="AK27" s="358"/>
      <c r="AL27" s="358"/>
      <c r="AM27" s="358"/>
      <c r="AN27" s="358"/>
      <c r="AO27" s="358"/>
      <c r="AP27" s="358"/>
    </row>
    <row r="28" spans="1:42" s="44" customFormat="1" ht="15" customHeight="1" x14ac:dyDescent="0.25">
      <c r="A28" s="5">
        <v>6</v>
      </c>
      <c r="B28" s="43" t="s">
        <v>21</v>
      </c>
      <c r="C28" s="737">
        <v>1981</v>
      </c>
      <c r="D28" s="737">
        <v>5</v>
      </c>
      <c r="E28" s="737">
        <v>60</v>
      </c>
      <c r="F28" s="909">
        <v>159</v>
      </c>
      <c r="G28" s="738">
        <v>3289.5</v>
      </c>
      <c r="H28" s="738">
        <v>496</v>
      </c>
      <c r="I28" s="935"/>
      <c r="J28" s="935"/>
      <c r="K28" s="912">
        <v>65842</v>
      </c>
      <c r="L28" s="912">
        <v>63208.11</v>
      </c>
      <c r="M28" s="939"/>
      <c r="N28" s="939"/>
      <c r="O28" s="912">
        <f t="shared" si="22"/>
        <v>2219.5700000000002</v>
      </c>
      <c r="P28" s="928">
        <v>2219.5700000000002</v>
      </c>
      <c r="Q28" s="912"/>
      <c r="R28" s="855"/>
      <c r="S28" s="855"/>
      <c r="T28" s="855"/>
      <c r="U28" s="855"/>
      <c r="V28" s="855"/>
      <c r="W28" s="855"/>
      <c r="X28" s="855">
        <f t="shared" si="23"/>
        <v>63622.43</v>
      </c>
      <c r="Y28" s="855">
        <f t="shared" si="24"/>
        <v>95.999681054645976</v>
      </c>
      <c r="Z28" s="855">
        <f t="shared" si="21"/>
        <v>0.16868597051223591</v>
      </c>
      <c r="AA28" s="855">
        <v>5</v>
      </c>
      <c r="AB28" s="736">
        <f t="shared" si="25"/>
        <v>2633.8899999999994</v>
      </c>
      <c r="AC28" s="250"/>
      <c r="AD28" s="250"/>
      <c r="AE28" s="250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</row>
    <row r="29" spans="1:42" s="124" customFormat="1" ht="15" customHeight="1" x14ac:dyDescent="0.25">
      <c r="A29" s="260">
        <v>7</v>
      </c>
      <c r="B29" s="43" t="s">
        <v>311</v>
      </c>
      <c r="C29" s="737">
        <v>1993</v>
      </c>
      <c r="D29" s="737">
        <v>5</v>
      </c>
      <c r="E29" s="737">
        <v>60</v>
      </c>
      <c r="F29" s="909">
        <v>134</v>
      </c>
      <c r="G29" s="738">
        <v>3681.6</v>
      </c>
      <c r="H29" s="738"/>
      <c r="I29" s="935"/>
      <c r="J29" s="935"/>
      <c r="K29" s="912">
        <v>73626.8</v>
      </c>
      <c r="L29" s="912">
        <v>70608.160000000003</v>
      </c>
      <c r="M29" s="939"/>
      <c r="N29" s="939"/>
      <c r="O29" s="912">
        <f t="shared" si="22"/>
        <v>0</v>
      </c>
      <c r="P29" s="928"/>
      <c r="Q29" s="912"/>
      <c r="R29" s="855"/>
      <c r="S29" s="855"/>
      <c r="T29" s="855"/>
      <c r="U29" s="855"/>
      <c r="V29" s="855"/>
      <c r="W29" s="855"/>
      <c r="X29" s="855">
        <f t="shared" si="23"/>
        <v>73626.8</v>
      </c>
      <c r="Y29" s="855">
        <f t="shared" si="24"/>
        <v>95.900079862224089</v>
      </c>
      <c r="Z29" s="855">
        <f t="shared" si="21"/>
        <v>0</v>
      </c>
      <c r="AA29" s="855">
        <v>5</v>
      </c>
      <c r="AB29" s="736">
        <f t="shared" si="25"/>
        <v>3018.6399999999994</v>
      </c>
      <c r="AC29" s="250"/>
      <c r="AD29" s="250"/>
      <c r="AE29" s="250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</row>
    <row r="30" spans="1:42" s="44" customFormat="1" ht="15" customHeight="1" x14ac:dyDescent="0.25">
      <c r="A30" s="4"/>
      <c r="B30" s="4" t="s">
        <v>23</v>
      </c>
      <c r="C30" s="737"/>
      <c r="D30" s="737"/>
      <c r="E30" s="918">
        <f>SUM(E23:E29)</f>
        <v>354</v>
      </c>
      <c r="F30" s="918">
        <f>SUM(F23:F29)</f>
        <v>923</v>
      </c>
      <c r="G30" s="919">
        <f>SUM(G23:G29)</f>
        <v>20417.899999999998</v>
      </c>
      <c r="H30" s="919">
        <f>SUM(H23:H28)</f>
        <v>1730</v>
      </c>
      <c r="I30" s="936"/>
      <c r="J30" s="936"/>
      <c r="K30" s="920">
        <f t="shared" ref="K30:X30" si="26">SUM(K23:K29)</f>
        <v>408475.8</v>
      </c>
      <c r="L30" s="920">
        <f t="shared" si="26"/>
        <v>387155.9</v>
      </c>
      <c r="M30" s="940"/>
      <c r="N30" s="940"/>
      <c r="O30" s="920">
        <f t="shared" si="26"/>
        <v>8572.94</v>
      </c>
      <c r="P30" s="56">
        <f t="shared" si="26"/>
        <v>8572.94</v>
      </c>
      <c r="Q30" s="56">
        <f t="shared" si="26"/>
        <v>0</v>
      </c>
      <c r="R30" s="56">
        <f t="shared" si="26"/>
        <v>0</v>
      </c>
      <c r="S30" s="56">
        <f t="shared" si="26"/>
        <v>0</v>
      </c>
      <c r="T30" s="56">
        <f t="shared" si="26"/>
        <v>0</v>
      </c>
      <c r="U30" s="56">
        <f t="shared" si="26"/>
        <v>0</v>
      </c>
      <c r="V30" s="56">
        <f t="shared" si="26"/>
        <v>0</v>
      </c>
      <c r="W30" s="56">
        <f t="shared" si="26"/>
        <v>0</v>
      </c>
      <c r="X30" s="56">
        <f t="shared" si="26"/>
        <v>399902.86</v>
      </c>
      <c r="Y30" s="56">
        <f t="shared" si="24"/>
        <v>94.780621030670602</v>
      </c>
      <c r="Z30" s="56">
        <f>O30/G30/12</f>
        <v>3.4989478186623839E-2</v>
      </c>
      <c r="AA30" s="56"/>
      <c r="AB30" s="762">
        <f t="shared" si="25"/>
        <v>21319.899999999965</v>
      </c>
      <c r="AC30" s="250"/>
      <c r="AD30" s="250"/>
      <c r="AE30" s="250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</row>
    <row r="31" spans="1:42" s="124" customFormat="1" ht="15" customHeight="1" x14ac:dyDescent="0.25">
      <c r="A31" s="8"/>
      <c r="B31" s="8"/>
      <c r="C31" s="8"/>
      <c r="D31" s="8"/>
      <c r="E31" s="278"/>
      <c r="F31" s="278"/>
      <c r="G31" s="279"/>
      <c r="H31" s="279"/>
      <c r="I31" s="279"/>
      <c r="J31" s="279"/>
      <c r="K31" s="280" t="s">
        <v>180</v>
      </c>
      <c r="L31" s="280"/>
      <c r="M31" s="280"/>
      <c r="N31" s="280"/>
      <c r="O31" s="280" t="s">
        <v>180</v>
      </c>
      <c r="P31" s="369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50"/>
      <c r="AC31" s="250"/>
      <c r="AD31" s="250"/>
      <c r="AE31" s="250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</row>
    <row r="32" spans="1:42" s="124" customFormat="1" ht="15" customHeight="1" x14ac:dyDescent="0.25">
      <c r="A32" s="8"/>
      <c r="B32" s="8"/>
      <c r="C32" s="8"/>
      <c r="D32" s="8"/>
      <c r="E32" s="278"/>
      <c r="F32" s="278"/>
      <c r="G32" s="279"/>
      <c r="H32" s="279"/>
      <c r="I32" s="279"/>
      <c r="J32" s="279"/>
      <c r="K32" s="280"/>
      <c r="L32" s="280"/>
      <c r="M32" s="280"/>
      <c r="N32" s="280"/>
      <c r="O32" s="280"/>
      <c r="P32" s="280"/>
      <c r="Q32" s="280"/>
      <c r="R32" s="280"/>
      <c r="S32" s="280"/>
      <c r="T32" s="398"/>
      <c r="U32" s="398"/>
      <c r="V32" s="398"/>
      <c r="W32" s="280"/>
      <c r="X32" s="280"/>
      <c r="Y32" s="280"/>
      <c r="Z32" s="280"/>
      <c r="AA32" s="280"/>
      <c r="AB32" s="250"/>
      <c r="AC32" s="250"/>
      <c r="AD32" s="250"/>
      <c r="AE32" s="250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</row>
    <row r="33" spans="1:42" s="44" customFormat="1" ht="18" customHeight="1" x14ac:dyDescent="0.25">
      <c r="A33" s="153"/>
      <c r="B33" s="153"/>
      <c r="C33" s="153"/>
      <c r="D33" s="153"/>
      <c r="E33" s="153"/>
      <c r="F33" s="153"/>
      <c r="G33" s="153"/>
      <c r="H33" s="155"/>
      <c r="I33" s="223"/>
      <c r="J33" s="223"/>
      <c r="K33" s="223"/>
      <c r="L33" s="223"/>
      <c r="M33" s="223"/>
      <c r="N33" s="223"/>
      <c r="O33" s="282"/>
      <c r="P33" s="153"/>
      <c r="Q33" s="153"/>
      <c r="R33" s="153"/>
      <c r="S33" s="234"/>
      <c r="T33" s="234"/>
      <c r="U33" s="153"/>
      <c r="V33" s="223"/>
      <c r="W33" s="223"/>
      <c r="X33" s="153"/>
      <c r="Y33" s="223"/>
      <c r="Z33" s="223"/>
      <c r="AA33" s="223"/>
      <c r="AB33" s="223"/>
      <c r="AC33" s="223"/>
      <c r="AD33" s="153"/>
      <c r="AE33" s="153"/>
      <c r="AF33" s="340"/>
      <c r="AG33" s="340"/>
      <c r="AH33" s="340"/>
      <c r="AI33" s="340"/>
      <c r="AJ33" s="340"/>
      <c r="AK33" s="153"/>
      <c r="AL33" s="153"/>
      <c r="AM33" s="153"/>
      <c r="AN33" s="153"/>
      <c r="AO33" s="153"/>
      <c r="AP33" s="30"/>
    </row>
    <row r="34" spans="1:42" ht="18" customHeight="1" x14ac:dyDescent="0.25">
      <c r="A34" s="153"/>
      <c r="B34" s="153"/>
      <c r="C34" s="153"/>
      <c r="D34" s="153"/>
      <c r="E34" s="153"/>
      <c r="F34" s="153"/>
      <c r="G34" s="153"/>
      <c r="H34" s="155"/>
      <c r="I34" s="223"/>
      <c r="J34" s="223"/>
      <c r="K34" s="153"/>
      <c r="L34" s="153"/>
      <c r="M34" s="223"/>
      <c r="N34" s="223"/>
      <c r="O34" s="286"/>
      <c r="P34" s="286"/>
      <c r="Q34" s="286"/>
      <c r="R34" s="286"/>
      <c r="S34" s="153"/>
      <c r="T34" s="153"/>
      <c r="U34" s="153"/>
      <c r="V34" s="223"/>
      <c r="W34" s="223"/>
      <c r="X34" s="153"/>
      <c r="Y34" s="223"/>
      <c r="Z34" s="223"/>
      <c r="AA34" s="223"/>
      <c r="AB34" s="223"/>
      <c r="AC34" s="223"/>
      <c r="AD34" s="153"/>
      <c r="AE34" s="153"/>
      <c r="AF34" s="340"/>
      <c r="AG34" s="340"/>
      <c r="AH34" s="340"/>
      <c r="AI34" s="340"/>
      <c r="AJ34" s="340"/>
      <c r="AK34" s="153"/>
      <c r="AL34" s="153"/>
      <c r="AM34" s="153"/>
      <c r="AN34" s="153"/>
      <c r="AO34" s="153"/>
      <c r="AP34" s="9"/>
    </row>
    <row r="35" spans="1:42" x14ac:dyDescent="0.25">
      <c r="A35" s="223"/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340"/>
      <c r="AG35" s="340"/>
      <c r="AH35" s="340"/>
      <c r="AI35" s="340"/>
      <c r="AJ35" s="340"/>
      <c r="AK35" s="223"/>
      <c r="AL35" s="223"/>
      <c r="AM35" s="223"/>
      <c r="AN35" s="223"/>
      <c r="AO35" s="153"/>
      <c r="AP35" s="9"/>
    </row>
    <row r="36" spans="1:42" ht="18.75" x14ac:dyDescent="0.3">
      <c r="B36" s="84" t="s">
        <v>550</v>
      </c>
      <c r="C36" s="84"/>
      <c r="D36" s="84"/>
      <c r="E36" s="84"/>
      <c r="F36" s="84"/>
      <c r="AO36" s="153"/>
      <c r="AP36" s="9"/>
    </row>
    <row r="37" spans="1:42" ht="18.75" x14ac:dyDescent="0.3">
      <c r="B37" s="1993" t="s">
        <v>561</v>
      </c>
      <c r="C37" s="1994"/>
      <c r="D37" s="1994"/>
      <c r="E37" s="1994"/>
      <c r="F37" s="1994"/>
      <c r="AO37" s="153"/>
      <c r="AP37" s="9"/>
    </row>
    <row r="38" spans="1:42" x14ac:dyDescent="0.25">
      <c r="X38" s="250"/>
      <c r="Y38" s="250"/>
      <c r="Z38" s="250"/>
      <c r="AA38" s="250"/>
      <c r="AB38" s="250"/>
      <c r="AC38" s="250"/>
      <c r="AD38" s="250"/>
      <c r="AE38" s="250"/>
      <c r="AF38" s="250"/>
      <c r="AG38" s="250"/>
      <c r="AH38" s="250"/>
      <c r="AI38" s="250"/>
      <c r="AJ38" s="250"/>
      <c r="AK38" s="250"/>
      <c r="AL38" s="250"/>
      <c r="AM38" s="250"/>
      <c r="AN38" s="250"/>
      <c r="AO38" s="250"/>
      <c r="AP38" s="250"/>
    </row>
    <row r="39" spans="1:42" ht="27" customHeight="1" x14ac:dyDescent="0.25">
      <c r="A39" s="1985" t="s">
        <v>0</v>
      </c>
      <c r="B39" s="1985" t="s">
        <v>184</v>
      </c>
      <c r="C39" s="1985" t="s">
        <v>54</v>
      </c>
      <c r="D39" s="1985" t="s">
        <v>55</v>
      </c>
      <c r="E39" s="1985" t="s">
        <v>56</v>
      </c>
      <c r="F39" s="1985" t="s">
        <v>57</v>
      </c>
      <c r="G39" s="1985" t="s">
        <v>6</v>
      </c>
      <c r="H39" s="1985" t="s">
        <v>288</v>
      </c>
      <c r="I39" s="933"/>
      <c r="J39" s="933"/>
      <c r="K39" s="1989" t="s">
        <v>290</v>
      </c>
      <c r="L39" s="1990"/>
      <c r="M39" s="937"/>
      <c r="N39" s="937"/>
      <c r="O39" s="1987" t="s">
        <v>376</v>
      </c>
      <c r="P39" s="1987" t="s">
        <v>332</v>
      </c>
      <c r="Q39" s="1987" t="s">
        <v>333</v>
      </c>
      <c r="R39" s="2003" t="s">
        <v>313</v>
      </c>
      <c r="S39" s="1987" t="s">
        <v>554</v>
      </c>
      <c r="T39" s="1987" t="s">
        <v>175</v>
      </c>
      <c r="U39" s="1987" t="s">
        <v>176</v>
      </c>
      <c r="V39" s="2001" t="s">
        <v>182</v>
      </c>
      <c r="W39" s="1999" t="s">
        <v>544</v>
      </c>
      <c r="X39" s="2010" t="s">
        <v>566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250"/>
      <c r="AL39" s="250"/>
      <c r="AM39" s="250"/>
      <c r="AN39" s="250"/>
      <c r="AO39" s="250"/>
      <c r="AP39" s="250"/>
    </row>
    <row r="40" spans="1:42" ht="21" customHeight="1" x14ac:dyDescent="0.25">
      <c r="A40" s="1986"/>
      <c r="B40" s="1986"/>
      <c r="C40" s="1986"/>
      <c r="D40" s="1986"/>
      <c r="E40" s="1986"/>
      <c r="F40" s="1986"/>
      <c r="G40" s="1986"/>
      <c r="H40" s="1986"/>
      <c r="I40" s="934"/>
      <c r="J40" s="934"/>
      <c r="K40" s="150" t="s">
        <v>15</v>
      </c>
      <c r="L40" s="224" t="s">
        <v>16</v>
      </c>
      <c r="M40" s="938"/>
      <c r="N40" s="938"/>
      <c r="O40" s="1988"/>
      <c r="P40" s="1988"/>
      <c r="Q40" s="1988"/>
      <c r="R40" s="2004"/>
      <c r="S40" s="1988"/>
      <c r="T40" s="1988"/>
      <c r="U40" s="1988"/>
      <c r="V40" s="2002"/>
      <c r="W40" s="2000"/>
      <c r="X40" s="2011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</row>
    <row r="41" spans="1:42" x14ac:dyDescent="0.25">
      <c r="A41" s="2">
        <v>1</v>
      </c>
      <c r="B41" s="85" t="s">
        <v>17</v>
      </c>
      <c r="C41" s="908">
        <v>1977</v>
      </c>
      <c r="D41" s="908">
        <v>5</v>
      </c>
      <c r="E41" s="908">
        <v>45</v>
      </c>
      <c r="F41" s="927">
        <v>132</v>
      </c>
      <c r="G41" s="910">
        <v>2366.1999999999998</v>
      </c>
      <c r="H41" s="910">
        <v>207.4</v>
      </c>
      <c r="I41" s="935"/>
      <c r="J41" s="935"/>
      <c r="K41" s="912">
        <v>35704.92</v>
      </c>
      <c r="L41" s="912">
        <v>35504.019999999997</v>
      </c>
      <c r="M41" s="939"/>
      <c r="N41" s="939"/>
      <c r="O41" s="912">
        <f>P41+Q41+R41+S41</f>
        <v>17777.098900423694</v>
      </c>
      <c r="P41" s="912"/>
      <c r="Q41" s="912"/>
      <c r="R41" s="855">
        <f>171670.6/2407.4*H41</f>
        <v>14789.599750768464</v>
      </c>
      <c r="S41" s="855">
        <f>R41*0.202</f>
        <v>2987.4991496552298</v>
      </c>
      <c r="T41" s="855">
        <f>K41-O41</f>
        <v>17927.821099576304</v>
      </c>
      <c r="U41" s="855">
        <f>L41/K41*100</f>
        <v>99.437332446060651</v>
      </c>
      <c r="V41" s="855">
        <f t="shared" ref="V41:V48" si="27">O41/G41/4</f>
        <v>1.8782329156901039</v>
      </c>
      <c r="W41" s="855">
        <v>3.77</v>
      </c>
      <c r="X41" s="736">
        <f>K41-L41</f>
        <v>200.90000000000146</v>
      </c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250"/>
      <c r="AL41" s="250"/>
      <c r="AM41" s="250"/>
      <c r="AN41" s="250"/>
      <c r="AO41" s="250"/>
      <c r="AP41" s="250"/>
    </row>
    <row r="42" spans="1:42" x14ac:dyDescent="0.25">
      <c r="A42" s="5">
        <v>2</v>
      </c>
      <c r="B42" s="43" t="s">
        <v>18</v>
      </c>
      <c r="C42" s="737">
        <v>1977</v>
      </c>
      <c r="D42" s="737">
        <v>5</v>
      </c>
      <c r="E42" s="737">
        <v>45</v>
      </c>
      <c r="F42" s="929">
        <v>117</v>
      </c>
      <c r="G42" s="738">
        <v>2363.9</v>
      </c>
      <c r="H42" s="738">
        <v>207.4</v>
      </c>
      <c r="I42" s="935"/>
      <c r="J42" s="935"/>
      <c r="K42" s="912">
        <v>35653.56</v>
      </c>
      <c r="L42" s="912">
        <v>31457.81</v>
      </c>
      <c r="M42" s="939"/>
      <c r="N42" s="939"/>
      <c r="O42" s="912">
        <f t="shared" ref="O42:O47" si="28">P42+Q42+R42+S42</f>
        <v>17777.098900423694</v>
      </c>
      <c r="P42" s="912"/>
      <c r="Q42" s="912"/>
      <c r="R42" s="855">
        <f t="shared" ref="R42:R47" si="29">171670.6/2407.4*H42</f>
        <v>14789.599750768464</v>
      </c>
      <c r="S42" s="855">
        <f t="shared" ref="S42:S47" si="30">R42*0.202</f>
        <v>2987.4991496552298</v>
      </c>
      <c r="T42" s="855">
        <f t="shared" ref="T42:T47" si="31">K42-O42</f>
        <v>17876.461099576303</v>
      </c>
      <c r="U42" s="855">
        <f t="shared" ref="U42:U47" si="32">L42/K42*100</f>
        <v>88.231890447966492</v>
      </c>
      <c r="V42" s="855">
        <f t="shared" si="27"/>
        <v>1.8800603769643063</v>
      </c>
      <c r="W42" s="855">
        <v>3.77</v>
      </c>
      <c r="X42" s="736">
        <f t="shared" ref="X42:X48" si="33">K42-L42</f>
        <v>4195.7499999999964</v>
      </c>
      <c r="Y42" s="250"/>
      <c r="Z42" s="250"/>
      <c r="AA42" s="250"/>
      <c r="AB42" s="250"/>
      <c r="AC42" s="250"/>
      <c r="AD42" s="250"/>
      <c r="AE42" s="250"/>
      <c r="AF42" s="250"/>
      <c r="AG42" s="250"/>
      <c r="AH42" s="250"/>
      <c r="AI42" s="250"/>
      <c r="AJ42" s="250"/>
      <c r="AK42" s="250"/>
      <c r="AL42" s="250"/>
      <c r="AM42" s="250"/>
      <c r="AN42" s="250"/>
      <c r="AO42" s="250"/>
      <c r="AP42" s="250"/>
    </row>
    <row r="43" spans="1:42" x14ac:dyDescent="0.25">
      <c r="A43" s="5">
        <v>3</v>
      </c>
      <c r="B43" s="43" t="s">
        <v>19</v>
      </c>
      <c r="C43" s="737">
        <v>1986</v>
      </c>
      <c r="D43" s="737">
        <v>3</v>
      </c>
      <c r="E43" s="737">
        <v>24</v>
      </c>
      <c r="F43" s="927">
        <v>83</v>
      </c>
      <c r="G43" s="738">
        <v>1440.6</v>
      </c>
      <c r="H43" s="738">
        <v>174</v>
      </c>
      <c r="I43" s="935"/>
      <c r="J43" s="935"/>
      <c r="K43" s="912">
        <v>14175.52</v>
      </c>
      <c r="L43" s="912">
        <v>14017.28</v>
      </c>
      <c r="M43" s="939"/>
      <c r="N43" s="939"/>
      <c r="O43" s="912">
        <f t="shared" si="28"/>
        <v>14914.248836421037</v>
      </c>
      <c r="P43" s="912"/>
      <c r="Q43" s="912"/>
      <c r="R43" s="855">
        <f t="shared" si="29"/>
        <v>12407.860928802858</v>
      </c>
      <c r="S43" s="855">
        <f t="shared" si="30"/>
        <v>2506.3879076181775</v>
      </c>
      <c r="T43" s="855">
        <f t="shared" si="31"/>
        <v>-738.72883642103625</v>
      </c>
      <c r="U43" s="855">
        <f t="shared" si="32"/>
        <v>98.883709380678809</v>
      </c>
      <c r="V43" s="855">
        <f t="shared" si="27"/>
        <v>2.5882008948391362</v>
      </c>
      <c r="W43" s="855">
        <v>2.46</v>
      </c>
      <c r="X43" s="736">
        <f t="shared" si="33"/>
        <v>158.23999999999978</v>
      </c>
      <c r="Y43" s="250"/>
      <c r="Z43" s="250"/>
      <c r="AA43" s="250"/>
      <c r="AB43" s="250"/>
      <c r="AC43" s="250"/>
      <c r="AD43" s="250"/>
      <c r="AE43" s="250"/>
      <c r="AF43" s="250"/>
      <c r="AG43" s="250"/>
      <c r="AH43" s="250"/>
      <c r="AI43" s="250"/>
      <c r="AJ43" s="250"/>
      <c r="AK43" s="250"/>
      <c r="AL43" s="250"/>
      <c r="AM43" s="250"/>
      <c r="AN43" s="250"/>
      <c r="AO43" s="250"/>
      <c r="AP43" s="250"/>
    </row>
    <row r="44" spans="1:42" x14ac:dyDescent="0.25">
      <c r="A44" s="5">
        <v>4</v>
      </c>
      <c r="B44" s="43" t="s">
        <v>20</v>
      </c>
      <c r="C44" s="737">
        <v>1992</v>
      </c>
      <c r="D44" s="737">
        <v>5</v>
      </c>
      <c r="E44" s="737">
        <v>60</v>
      </c>
      <c r="F44" s="929">
        <v>167</v>
      </c>
      <c r="G44" s="738">
        <v>3634.3</v>
      </c>
      <c r="H44" s="738">
        <v>468.3</v>
      </c>
      <c r="I44" s="935"/>
      <c r="J44" s="935"/>
      <c r="K44" s="912">
        <v>35332.28</v>
      </c>
      <c r="L44" s="912">
        <v>32956.68</v>
      </c>
      <c r="M44" s="939"/>
      <c r="N44" s="939"/>
      <c r="O44" s="912">
        <f t="shared" si="28"/>
        <v>40139.900747677995</v>
      </c>
      <c r="P44" s="912"/>
      <c r="Q44" s="912"/>
      <c r="R44" s="855">
        <f t="shared" si="29"/>
        <v>33394.260189415967</v>
      </c>
      <c r="S44" s="855">
        <f t="shared" si="30"/>
        <v>6745.6405582620255</v>
      </c>
      <c r="T44" s="855">
        <f t="shared" si="31"/>
        <v>-4807.6207476779964</v>
      </c>
      <c r="U44" s="855">
        <f t="shared" si="32"/>
        <v>93.276403334288077</v>
      </c>
      <c r="V44" s="855">
        <f t="shared" si="27"/>
        <v>2.7611851489749051</v>
      </c>
      <c r="W44" s="855">
        <v>2.4300000000000002</v>
      </c>
      <c r="X44" s="736">
        <f t="shared" si="33"/>
        <v>2375.5999999999985</v>
      </c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  <c r="AI44" s="250"/>
      <c r="AJ44" s="250"/>
      <c r="AK44" s="250"/>
      <c r="AL44" s="250"/>
      <c r="AM44" s="250"/>
      <c r="AN44" s="250"/>
      <c r="AO44" s="250"/>
      <c r="AP44" s="250"/>
    </row>
    <row r="45" spans="1:42" x14ac:dyDescent="0.25">
      <c r="A45" s="5">
        <v>5</v>
      </c>
      <c r="B45" s="43" t="s">
        <v>22</v>
      </c>
      <c r="C45" s="737">
        <v>1994</v>
      </c>
      <c r="D45" s="737">
        <v>5</v>
      </c>
      <c r="E45" s="737">
        <v>60</v>
      </c>
      <c r="F45" s="909">
        <v>131</v>
      </c>
      <c r="G45" s="738">
        <v>3641.8</v>
      </c>
      <c r="H45" s="738">
        <v>468.3</v>
      </c>
      <c r="I45" s="935"/>
      <c r="J45" s="935"/>
      <c r="K45" s="912">
        <v>35553.17</v>
      </c>
      <c r="L45" s="912">
        <v>33670.92</v>
      </c>
      <c r="M45" s="939"/>
      <c r="N45" s="939"/>
      <c r="O45" s="912">
        <f t="shared" si="28"/>
        <v>40139.900747677995</v>
      </c>
      <c r="P45" s="912"/>
      <c r="Q45" s="912"/>
      <c r="R45" s="855">
        <f t="shared" si="29"/>
        <v>33394.260189415967</v>
      </c>
      <c r="S45" s="855">
        <f t="shared" si="30"/>
        <v>6745.6405582620255</v>
      </c>
      <c r="T45" s="855">
        <f t="shared" si="31"/>
        <v>-4586.730747677997</v>
      </c>
      <c r="U45" s="855">
        <f t="shared" si="32"/>
        <v>94.705816668387101</v>
      </c>
      <c r="V45" s="855">
        <f t="shared" si="27"/>
        <v>2.7554987058376348</v>
      </c>
      <c r="W45" s="855">
        <v>2.44</v>
      </c>
      <c r="X45" s="736">
        <f t="shared" si="33"/>
        <v>1882.25</v>
      </c>
      <c r="Y45" s="250"/>
      <c r="Z45" s="250"/>
      <c r="AA45" s="250"/>
      <c r="AB45" s="250"/>
      <c r="AC45" s="250"/>
      <c r="AD45" s="250"/>
      <c r="AE45" s="250"/>
      <c r="AF45" s="250"/>
      <c r="AG45" s="250"/>
      <c r="AH45" s="250"/>
      <c r="AI45" s="250"/>
      <c r="AJ45" s="250"/>
      <c r="AK45" s="250"/>
      <c r="AL45" s="250"/>
      <c r="AM45" s="250"/>
      <c r="AN45" s="250"/>
      <c r="AO45" s="250"/>
      <c r="AP45" s="250"/>
    </row>
    <row r="46" spans="1:42" x14ac:dyDescent="0.25">
      <c r="A46" s="5">
        <v>6</v>
      </c>
      <c r="B46" s="43" t="s">
        <v>21</v>
      </c>
      <c r="C46" s="737">
        <v>1981</v>
      </c>
      <c r="D46" s="737">
        <v>5</v>
      </c>
      <c r="E46" s="737">
        <v>60</v>
      </c>
      <c r="F46" s="909">
        <v>159</v>
      </c>
      <c r="G46" s="738">
        <v>3289.5</v>
      </c>
      <c r="H46" s="738">
        <v>397</v>
      </c>
      <c r="I46" s="935"/>
      <c r="J46" s="935"/>
      <c r="K46" s="912">
        <v>42270.720000000001</v>
      </c>
      <c r="L46" s="912">
        <v>40532.589999999997</v>
      </c>
      <c r="M46" s="939"/>
      <c r="N46" s="939"/>
      <c r="O46" s="912">
        <f t="shared" si="28"/>
        <v>34028.487287696269</v>
      </c>
      <c r="P46" s="912"/>
      <c r="Q46" s="912"/>
      <c r="R46" s="855">
        <f t="shared" si="29"/>
        <v>28309.88959042951</v>
      </c>
      <c r="S46" s="855">
        <f t="shared" si="30"/>
        <v>5718.5976972667613</v>
      </c>
      <c r="T46" s="855">
        <f t="shared" si="31"/>
        <v>8242.2327123037321</v>
      </c>
      <c r="U46" s="855">
        <f t="shared" si="32"/>
        <v>95.888099374697177</v>
      </c>
      <c r="V46" s="855">
        <f t="shared" si="27"/>
        <v>2.5861443447101586</v>
      </c>
      <c r="W46" s="855">
        <v>3.21</v>
      </c>
      <c r="X46" s="736">
        <f t="shared" si="33"/>
        <v>1738.1300000000047</v>
      </c>
      <c r="Y46" s="250"/>
      <c r="Z46" s="250"/>
      <c r="AA46" s="250"/>
      <c r="AB46" s="250"/>
      <c r="AC46" s="250"/>
      <c r="AD46" s="250"/>
      <c r="AE46" s="250"/>
      <c r="AF46" s="250"/>
      <c r="AG46" s="250"/>
      <c r="AH46" s="250"/>
      <c r="AI46" s="250"/>
      <c r="AJ46" s="250"/>
      <c r="AK46" s="250"/>
      <c r="AL46" s="250"/>
      <c r="AM46" s="250"/>
      <c r="AN46" s="250"/>
      <c r="AO46" s="250"/>
      <c r="AP46" s="250"/>
    </row>
    <row r="47" spans="1:42" x14ac:dyDescent="0.25">
      <c r="A47" s="260">
        <v>7</v>
      </c>
      <c r="B47" s="43" t="s">
        <v>311</v>
      </c>
      <c r="C47" s="737">
        <v>1993</v>
      </c>
      <c r="D47" s="737">
        <v>5</v>
      </c>
      <c r="E47" s="737">
        <v>60</v>
      </c>
      <c r="F47" s="909">
        <v>134</v>
      </c>
      <c r="G47" s="738">
        <v>3681.6</v>
      </c>
      <c r="H47" s="738">
        <v>485</v>
      </c>
      <c r="I47" s="935"/>
      <c r="J47" s="935"/>
      <c r="K47" s="912">
        <v>46679.6</v>
      </c>
      <c r="L47" s="912">
        <v>44765.73</v>
      </c>
      <c r="M47" s="939"/>
      <c r="N47" s="939"/>
      <c r="O47" s="912">
        <f t="shared" si="28"/>
        <v>41571.325779679319</v>
      </c>
      <c r="P47" s="912"/>
      <c r="Q47" s="912"/>
      <c r="R47" s="855">
        <f t="shared" si="29"/>
        <v>34585.129600398766</v>
      </c>
      <c r="S47" s="855">
        <f t="shared" si="30"/>
        <v>6986.1961792805514</v>
      </c>
      <c r="T47" s="855">
        <f t="shared" si="31"/>
        <v>5108.2742203206799</v>
      </c>
      <c r="U47" s="855">
        <f t="shared" si="32"/>
        <v>95.899986289514061</v>
      </c>
      <c r="V47" s="855">
        <f t="shared" si="27"/>
        <v>2.8229116267165986</v>
      </c>
      <c r="W47" s="855">
        <v>3.17</v>
      </c>
      <c r="X47" s="736">
        <f t="shared" si="33"/>
        <v>1913.8699999999953</v>
      </c>
      <c r="Y47" s="250"/>
      <c r="Z47" s="250"/>
      <c r="AA47" s="250"/>
      <c r="AB47" s="250"/>
      <c r="AC47" s="250"/>
      <c r="AD47" s="250"/>
      <c r="AE47" s="250"/>
      <c r="AF47" s="250"/>
      <c r="AG47" s="250"/>
      <c r="AH47" s="250"/>
      <c r="AI47" s="250"/>
      <c r="AJ47" s="250"/>
      <c r="AK47" s="250"/>
      <c r="AL47" s="250"/>
      <c r="AM47" s="250"/>
      <c r="AN47" s="250"/>
      <c r="AO47" s="250"/>
      <c r="AP47" s="250"/>
    </row>
    <row r="48" spans="1:42" x14ac:dyDescent="0.25">
      <c r="A48" s="4"/>
      <c r="B48" s="4" t="s">
        <v>23</v>
      </c>
      <c r="C48" s="737"/>
      <c r="D48" s="737"/>
      <c r="E48" s="918">
        <f>SUM(E41:E47)</f>
        <v>354</v>
      </c>
      <c r="F48" s="918">
        <f>SUM(F41:F47)</f>
        <v>923</v>
      </c>
      <c r="G48" s="919">
        <f>SUM(G41:G47)</f>
        <v>20417.899999999998</v>
      </c>
      <c r="H48" s="919">
        <f>SUM(H41:H47)</f>
        <v>2407.3999999999996</v>
      </c>
      <c r="I48" s="936"/>
      <c r="J48" s="936"/>
      <c r="K48" s="920">
        <f t="shared" ref="K48:T48" si="34">SUM(K41:K47)</f>
        <v>245369.77000000002</v>
      </c>
      <c r="L48" s="920">
        <f t="shared" si="34"/>
        <v>232905.03000000003</v>
      </c>
      <c r="M48" s="940"/>
      <c r="N48" s="940"/>
      <c r="O48" s="920">
        <f t="shared" si="34"/>
        <v>206348.0612</v>
      </c>
      <c r="P48" s="56">
        <f t="shared" si="34"/>
        <v>0</v>
      </c>
      <c r="Q48" s="920">
        <f t="shared" si="34"/>
        <v>0</v>
      </c>
      <c r="R48" s="56">
        <f t="shared" si="34"/>
        <v>171670.6</v>
      </c>
      <c r="S48" s="56">
        <f t="shared" si="34"/>
        <v>34677.461199999998</v>
      </c>
      <c r="T48" s="56">
        <f t="shared" si="34"/>
        <v>39021.708799999993</v>
      </c>
      <c r="U48" s="56">
        <f>L48/K48*100</f>
        <v>94.920018060904582</v>
      </c>
      <c r="V48" s="56">
        <f t="shared" si="27"/>
        <v>2.5265583287213671</v>
      </c>
      <c r="W48" s="56"/>
      <c r="X48" s="762">
        <f t="shared" si="33"/>
        <v>12464.739999999991</v>
      </c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0"/>
      <c r="AL48" s="250"/>
      <c r="AM48" s="250"/>
      <c r="AN48" s="250"/>
      <c r="AO48" s="250"/>
      <c r="AP48" s="250"/>
    </row>
    <row r="49" spans="1:42" x14ac:dyDescent="0.25">
      <c r="A49" s="134"/>
      <c r="B49" s="223"/>
      <c r="C49" s="349"/>
      <c r="D49" s="349"/>
      <c r="E49" s="349"/>
      <c r="F49" s="349"/>
      <c r="G49" s="349"/>
      <c r="H49" s="349"/>
      <c r="I49" s="349"/>
      <c r="J49" s="349"/>
      <c r="K49" s="349" t="s">
        <v>180</v>
      </c>
      <c r="L49" s="349"/>
      <c r="M49" s="349"/>
      <c r="N49" s="349"/>
      <c r="O49" s="349"/>
      <c r="P49" s="930"/>
      <c r="Q49" s="931"/>
      <c r="R49" s="932">
        <f>R48+S48</f>
        <v>206348.0612</v>
      </c>
      <c r="S49" s="349"/>
      <c r="T49" s="749"/>
      <c r="U49" s="749"/>
      <c r="V49" s="349"/>
      <c r="W49" s="349"/>
      <c r="X49" s="375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  <c r="AO49" s="250"/>
      <c r="AP49" s="250"/>
    </row>
    <row r="50" spans="1:42" x14ac:dyDescent="0.25">
      <c r="A50" s="134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0"/>
      <c r="AN50" s="250"/>
      <c r="AO50" s="250"/>
      <c r="AP50" s="250"/>
    </row>
    <row r="51" spans="1:42" x14ac:dyDescent="0.25">
      <c r="A51" s="134"/>
      <c r="B51" s="223"/>
      <c r="C51" s="223"/>
      <c r="D51" s="223"/>
      <c r="E51" s="223"/>
      <c r="F51" s="223"/>
      <c r="G51" s="223"/>
      <c r="H51" s="223"/>
      <c r="I51" s="223"/>
      <c r="J51" s="223"/>
      <c r="K51" s="344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50"/>
      <c r="Y51" s="250"/>
      <c r="Z51" s="250"/>
      <c r="AA51" s="250"/>
      <c r="AB51" s="250"/>
      <c r="AC51" s="250"/>
      <c r="AD51" s="250"/>
      <c r="AE51" s="250"/>
      <c r="AF51" s="250"/>
      <c r="AG51" s="250"/>
      <c r="AH51" s="250"/>
      <c r="AI51" s="250"/>
      <c r="AJ51" s="250"/>
      <c r="AK51" s="250"/>
      <c r="AL51" s="250"/>
      <c r="AM51" s="250"/>
      <c r="AN51" s="250"/>
      <c r="AO51" s="250"/>
      <c r="AP51" s="250"/>
    </row>
    <row r="52" spans="1:42" x14ac:dyDescent="0.25">
      <c r="A52" s="223"/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343"/>
      <c r="AA52" s="343"/>
      <c r="AB52" s="343"/>
      <c r="AC52" s="343"/>
      <c r="AD52" s="343"/>
      <c r="AE52" s="343"/>
      <c r="AF52" s="343"/>
      <c r="AG52" s="343"/>
      <c r="AH52" s="343"/>
      <c r="AI52" s="223"/>
    </row>
    <row r="53" spans="1:42" ht="18.75" customHeight="1" x14ac:dyDescent="0.25">
      <c r="A53" s="223"/>
      <c r="B53" s="223"/>
      <c r="C53" s="223"/>
      <c r="D53" s="223"/>
      <c r="E53" s="22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3"/>
      <c r="Q53" s="343"/>
      <c r="R53" s="343"/>
      <c r="S53" s="223"/>
      <c r="T53" s="223"/>
      <c r="U53" s="223"/>
      <c r="V53" s="223"/>
      <c r="W53" s="223"/>
      <c r="X53" s="223"/>
      <c r="Y53" s="223"/>
      <c r="Z53" s="223"/>
      <c r="AA53" s="223"/>
      <c r="AB53" s="223"/>
      <c r="AC53" s="223"/>
      <c r="AD53" s="223"/>
      <c r="AE53" s="223"/>
      <c r="AF53" s="223"/>
      <c r="AG53" s="223"/>
      <c r="AH53" s="223"/>
      <c r="AI53" s="223"/>
    </row>
    <row r="54" spans="1:42" ht="18.75" customHeight="1" x14ac:dyDescent="0.25">
      <c r="A54" s="223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</row>
    <row r="55" spans="1:42" x14ac:dyDescent="0.25">
      <c r="A55" s="223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</row>
    <row r="56" spans="1:42" x14ac:dyDescent="0.25">
      <c r="A56" s="223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</row>
    <row r="57" spans="1:42" ht="38.25" customHeight="1" x14ac:dyDescent="0.3">
      <c r="B57" s="84" t="s">
        <v>551</v>
      </c>
      <c r="C57" s="84"/>
      <c r="D57" s="84"/>
      <c r="E57" s="84"/>
      <c r="F57" s="84"/>
      <c r="X57" s="223"/>
      <c r="Y57" s="223"/>
      <c r="Z57" s="223"/>
      <c r="AA57" s="223"/>
      <c r="AB57" s="223"/>
      <c r="AC57" s="223"/>
      <c r="AD57" s="223"/>
      <c r="AE57" s="223"/>
      <c r="AF57" s="223"/>
      <c r="AG57" s="223"/>
      <c r="AH57" s="223"/>
      <c r="AI57" s="223"/>
    </row>
    <row r="58" spans="1:42" ht="23.25" customHeight="1" x14ac:dyDescent="0.3">
      <c r="B58" s="1993" t="s">
        <v>561</v>
      </c>
      <c r="C58" s="1994"/>
      <c r="D58" s="1994"/>
      <c r="E58" s="1994"/>
      <c r="F58" s="1994"/>
      <c r="X58" s="223"/>
      <c r="Y58" s="223"/>
      <c r="Z58" s="223"/>
      <c r="AA58" s="223"/>
      <c r="AB58" s="223"/>
      <c r="AC58" s="223"/>
      <c r="AD58" s="223"/>
      <c r="AE58" s="223"/>
      <c r="AF58" s="223"/>
      <c r="AG58" s="223"/>
      <c r="AH58" s="223"/>
      <c r="AI58" s="223"/>
    </row>
    <row r="59" spans="1:42" x14ac:dyDescent="0.25">
      <c r="X59" s="223"/>
      <c r="Y59" s="223"/>
      <c r="Z59" s="223"/>
      <c r="AA59" s="223"/>
      <c r="AB59" s="223"/>
      <c r="AC59" s="223"/>
      <c r="AD59" s="223"/>
      <c r="AE59" s="223"/>
      <c r="AF59" s="223"/>
      <c r="AG59" s="223"/>
      <c r="AH59" s="223"/>
      <c r="AI59" s="223"/>
    </row>
    <row r="60" spans="1:42" ht="30" customHeight="1" x14ac:dyDescent="0.25">
      <c r="A60" s="1985" t="s">
        <v>0</v>
      </c>
      <c r="B60" s="1985" t="s">
        <v>184</v>
      </c>
      <c r="C60" s="1985" t="s">
        <v>54</v>
      </c>
      <c r="D60" s="1985" t="s">
        <v>55</v>
      </c>
      <c r="E60" s="1985" t="s">
        <v>56</v>
      </c>
      <c r="F60" s="1985" t="s">
        <v>57</v>
      </c>
      <c r="G60" s="1985" t="s">
        <v>6</v>
      </c>
      <c r="H60" s="1985" t="s">
        <v>288</v>
      </c>
      <c r="I60" s="2018"/>
      <c r="J60" s="2019"/>
      <c r="K60" s="1989" t="s">
        <v>552</v>
      </c>
      <c r="L60" s="1990"/>
      <c r="M60" s="2016"/>
      <c r="N60" s="2016"/>
      <c r="O60" s="1987" t="s">
        <v>376</v>
      </c>
      <c r="P60" s="1987" t="s">
        <v>332</v>
      </c>
      <c r="Q60" s="1987" t="s">
        <v>555</v>
      </c>
      <c r="R60" s="2003" t="s">
        <v>553</v>
      </c>
      <c r="S60" s="1987" t="s">
        <v>554</v>
      </c>
      <c r="T60" s="1987" t="s">
        <v>175</v>
      </c>
      <c r="U60" s="1987" t="s">
        <v>176</v>
      </c>
      <c r="V60" s="1999" t="s">
        <v>544</v>
      </c>
      <c r="W60" s="2010" t="s">
        <v>566</v>
      </c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</row>
    <row r="61" spans="1:42" x14ac:dyDescent="0.25">
      <c r="A61" s="1986"/>
      <c r="B61" s="1986"/>
      <c r="C61" s="1986"/>
      <c r="D61" s="1986"/>
      <c r="E61" s="1986"/>
      <c r="F61" s="1986"/>
      <c r="G61" s="1986"/>
      <c r="H61" s="1986"/>
      <c r="I61" s="941"/>
      <c r="J61" s="942"/>
      <c r="K61" s="150" t="s">
        <v>15</v>
      </c>
      <c r="L61" s="567" t="s">
        <v>16</v>
      </c>
      <c r="M61" s="941"/>
      <c r="N61" s="942"/>
      <c r="O61" s="1988"/>
      <c r="P61" s="1988"/>
      <c r="Q61" s="1988"/>
      <c r="R61" s="2004"/>
      <c r="S61" s="1988"/>
      <c r="T61" s="1988"/>
      <c r="U61" s="1988"/>
      <c r="V61" s="2000"/>
      <c r="W61" s="2011"/>
      <c r="X61" s="223"/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</row>
    <row r="62" spans="1:42" x14ac:dyDescent="0.25">
      <c r="A62" s="2">
        <v>1</v>
      </c>
      <c r="B62" s="85" t="s">
        <v>17</v>
      </c>
      <c r="C62" s="908">
        <v>1977</v>
      </c>
      <c r="D62" s="908">
        <v>5</v>
      </c>
      <c r="E62" s="908">
        <v>45</v>
      </c>
      <c r="F62" s="927">
        <v>132</v>
      </c>
      <c r="G62" s="910">
        <v>2366.1999999999998</v>
      </c>
      <c r="H62" s="910">
        <v>207.4</v>
      </c>
      <c r="I62" s="935"/>
      <c r="J62" s="935"/>
      <c r="K62" s="912">
        <v>9470.7999999999993</v>
      </c>
      <c r="L62" s="912">
        <v>9417.51</v>
      </c>
      <c r="M62" s="939"/>
      <c r="N62" s="939"/>
      <c r="O62" s="912">
        <f>P62+Q62+R62+S62</f>
        <v>835.7879311780348</v>
      </c>
      <c r="P62" s="912"/>
      <c r="Q62" s="912"/>
      <c r="R62" s="855">
        <f>6000/20417.9*G62</f>
        <v>695.33105755244162</v>
      </c>
      <c r="S62" s="855">
        <f>R62*0.202</f>
        <v>140.4568736255932</v>
      </c>
      <c r="T62" s="855">
        <f>K62-O62</f>
        <v>8635.0120688219649</v>
      </c>
      <c r="U62" s="855">
        <f>L62/K62*100</f>
        <v>99.437323140600597</v>
      </c>
      <c r="V62" s="855">
        <v>1</v>
      </c>
      <c r="W62" s="855">
        <f>K62-L62</f>
        <v>53.289999999999054</v>
      </c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</row>
    <row r="63" spans="1:42" x14ac:dyDescent="0.25">
      <c r="A63" s="5">
        <v>2</v>
      </c>
      <c r="B63" s="43" t="s">
        <v>18</v>
      </c>
      <c r="C63" s="737">
        <v>1977</v>
      </c>
      <c r="D63" s="737">
        <v>5</v>
      </c>
      <c r="E63" s="737">
        <v>45</v>
      </c>
      <c r="F63" s="929">
        <v>117</v>
      </c>
      <c r="G63" s="738">
        <v>2363.9</v>
      </c>
      <c r="H63" s="738">
        <v>207.4</v>
      </c>
      <c r="I63" s="935"/>
      <c r="J63" s="935"/>
      <c r="K63" s="912">
        <v>9457.2000000000007</v>
      </c>
      <c r="L63" s="912">
        <v>8344.26</v>
      </c>
      <c r="M63" s="939"/>
      <c r="N63" s="939"/>
      <c r="O63" s="912">
        <f t="shared" ref="O63:O68" si="35">P63+Q63+R63+S63</f>
        <v>834.97552637636579</v>
      </c>
      <c r="P63" s="912"/>
      <c r="Q63" s="912"/>
      <c r="R63" s="855">
        <f t="shared" ref="R63:R68" si="36">6000/20417.9*G63</f>
        <v>694.65518001361545</v>
      </c>
      <c r="S63" s="855">
        <f t="shared" ref="S63:S68" si="37">R63*0.202</f>
        <v>140.32034636275034</v>
      </c>
      <c r="T63" s="855">
        <f t="shared" ref="T63:T68" si="38">K63-O63</f>
        <v>8622.2244736236353</v>
      </c>
      <c r="U63" s="855">
        <f t="shared" ref="U63:U69" si="39">L63/K63*100</f>
        <v>88.231823372668444</v>
      </c>
      <c r="V63" s="855">
        <v>1</v>
      </c>
      <c r="W63" s="855">
        <f t="shared" ref="W63:W69" si="40">K63-L63</f>
        <v>1112.9400000000005</v>
      </c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</row>
    <row r="64" spans="1:42" x14ac:dyDescent="0.25">
      <c r="A64" s="5">
        <v>3</v>
      </c>
      <c r="B64" s="43" t="s">
        <v>19</v>
      </c>
      <c r="C64" s="737">
        <v>1986</v>
      </c>
      <c r="D64" s="737">
        <v>3</v>
      </c>
      <c r="E64" s="737">
        <v>24</v>
      </c>
      <c r="F64" s="927">
        <v>83</v>
      </c>
      <c r="G64" s="738">
        <v>1440.6</v>
      </c>
      <c r="H64" s="738">
        <v>174</v>
      </c>
      <c r="I64" s="935"/>
      <c r="J64" s="935"/>
      <c r="K64" s="912">
        <v>5762.4</v>
      </c>
      <c r="L64" s="912">
        <v>5698.05</v>
      </c>
      <c r="M64" s="939"/>
      <c r="N64" s="939"/>
      <c r="O64" s="912">
        <f t="shared" si="35"/>
        <v>508.84798142806056</v>
      </c>
      <c r="P64" s="912"/>
      <c r="Q64" s="912"/>
      <c r="R64" s="855">
        <f t="shared" si="36"/>
        <v>423.33442714480913</v>
      </c>
      <c r="S64" s="855">
        <f t="shared" si="37"/>
        <v>85.513554283251452</v>
      </c>
      <c r="T64" s="855">
        <f t="shared" si="38"/>
        <v>5253.5520185719388</v>
      </c>
      <c r="U64" s="855">
        <f t="shared" si="39"/>
        <v>98.883277800916289</v>
      </c>
      <c r="V64" s="855">
        <v>1</v>
      </c>
      <c r="W64" s="855">
        <f t="shared" si="40"/>
        <v>64.349999999999454</v>
      </c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</row>
    <row r="65" spans="1:35" x14ac:dyDescent="0.25">
      <c r="A65" s="5">
        <v>4</v>
      </c>
      <c r="B65" s="43" t="s">
        <v>20</v>
      </c>
      <c r="C65" s="737">
        <v>1992</v>
      </c>
      <c r="D65" s="737">
        <v>5</v>
      </c>
      <c r="E65" s="737">
        <v>60</v>
      </c>
      <c r="F65" s="929">
        <v>167</v>
      </c>
      <c r="G65" s="738">
        <v>3634.3</v>
      </c>
      <c r="H65" s="738">
        <v>468.3</v>
      </c>
      <c r="I65" s="935"/>
      <c r="J65" s="935"/>
      <c r="K65" s="912">
        <v>14540</v>
      </c>
      <c r="L65" s="912">
        <v>13406.01</v>
      </c>
      <c r="M65" s="939"/>
      <c r="N65" s="939"/>
      <c r="O65" s="912">
        <f t="shared" si="35"/>
        <v>1283.7055524809111</v>
      </c>
      <c r="P65" s="912"/>
      <c r="Q65" s="912"/>
      <c r="R65" s="855">
        <f t="shared" si="36"/>
        <v>1067.9746692852839</v>
      </c>
      <c r="S65" s="855">
        <f t="shared" si="37"/>
        <v>215.73088319562737</v>
      </c>
      <c r="T65" s="855">
        <f t="shared" si="38"/>
        <v>13256.294447519089</v>
      </c>
      <c r="U65" s="855">
        <f t="shared" si="39"/>
        <v>92.200894085281988</v>
      </c>
      <c r="V65" s="855">
        <v>1</v>
      </c>
      <c r="W65" s="855">
        <f t="shared" si="40"/>
        <v>1133.9899999999998</v>
      </c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</row>
    <row r="66" spans="1:35" x14ac:dyDescent="0.25">
      <c r="A66" s="5">
        <v>5</v>
      </c>
      <c r="B66" s="43" t="s">
        <v>22</v>
      </c>
      <c r="C66" s="737">
        <v>1994</v>
      </c>
      <c r="D66" s="737">
        <v>5</v>
      </c>
      <c r="E66" s="737">
        <v>60</v>
      </c>
      <c r="F66" s="909">
        <v>131</v>
      </c>
      <c r="G66" s="738">
        <v>3641.8</v>
      </c>
      <c r="H66" s="738">
        <v>468.3</v>
      </c>
      <c r="I66" s="935"/>
      <c r="J66" s="935"/>
      <c r="K66" s="912">
        <v>14571</v>
      </c>
      <c r="L66" s="912">
        <v>13798.77</v>
      </c>
      <c r="M66" s="939"/>
      <c r="N66" s="939"/>
      <c r="O66" s="912">
        <f t="shared" si="35"/>
        <v>1286.3546985733108</v>
      </c>
      <c r="P66" s="912"/>
      <c r="Q66" s="912"/>
      <c r="R66" s="855">
        <f t="shared" si="36"/>
        <v>1070.1786177814565</v>
      </c>
      <c r="S66" s="855">
        <f t="shared" si="37"/>
        <v>216.17608079185422</v>
      </c>
      <c r="T66" s="855">
        <f t="shared" si="38"/>
        <v>13284.64530142669</v>
      </c>
      <c r="U66" s="855">
        <f t="shared" si="39"/>
        <v>94.700226477249345</v>
      </c>
      <c r="V66" s="855">
        <v>1</v>
      </c>
      <c r="W66" s="855">
        <f t="shared" si="40"/>
        <v>772.22999999999956</v>
      </c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</row>
    <row r="67" spans="1:35" x14ac:dyDescent="0.25">
      <c r="A67" s="5">
        <v>6</v>
      </c>
      <c r="B67" s="43" t="s">
        <v>21</v>
      </c>
      <c r="C67" s="737">
        <v>1981</v>
      </c>
      <c r="D67" s="737">
        <v>5</v>
      </c>
      <c r="E67" s="737">
        <v>60</v>
      </c>
      <c r="F67" s="909">
        <v>159</v>
      </c>
      <c r="G67" s="738">
        <v>3289.5</v>
      </c>
      <c r="H67" s="738">
        <v>397</v>
      </c>
      <c r="I67" s="935"/>
      <c r="J67" s="935"/>
      <c r="K67" s="912">
        <v>13168.4</v>
      </c>
      <c r="L67" s="912">
        <v>12653.33</v>
      </c>
      <c r="M67" s="939"/>
      <c r="N67" s="939"/>
      <c r="O67" s="912">
        <f t="shared" si="35"/>
        <v>1161.9154761263399</v>
      </c>
      <c r="P67" s="912"/>
      <c r="Q67" s="912"/>
      <c r="R67" s="855">
        <f t="shared" si="36"/>
        <v>966.65181042124789</v>
      </c>
      <c r="S67" s="855">
        <f t="shared" si="37"/>
        <v>195.26366570509208</v>
      </c>
      <c r="T67" s="855">
        <f t="shared" si="38"/>
        <v>12006.48452387366</v>
      </c>
      <c r="U67" s="855">
        <f t="shared" si="39"/>
        <v>96.088590869050151</v>
      </c>
      <c r="V67" s="855">
        <v>1</v>
      </c>
      <c r="W67" s="855">
        <f t="shared" si="40"/>
        <v>515.06999999999971</v>
      </c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</row>
    <row r="68" spans="1:35" x14ac:dyDescent="0.25">
      <c r="A68" s="260">
        <v>7</v>
      </c>
      <c r="B68" s="43" t="s">
        <v>311</v>
      </c>
      <c r="C68" s="737">
        <v>1993</v>
      </c>
      <c r="D68" s="737">
        <v>5</v>
      </c>
      <c r="E68" s="737">
        <v>60</v>
      </c>
      <c r="F68" s="909">
        <v>134</v>
      </c>
      <c r="G68" s="738">
        <v>3681.6</v>
      </c>
      <c r="H68" s="738">
        <v>485</v>
      </c>
      <c r="I68" s="935"/>
      <c r="J68" s="935"/>
      <c r="K68" s="912">
        <v>14725.36</v>
      </c>
      <c r="L68" s="912">
        <v>14121.65</v>
      </c>
      <c r="M68" s="939"/>
      <c r="N68" s="939"/>
      <c r="O68" s="912">
        <f t="shared" si="35"/>
        <v>1300.4128338369762</v>
      </c>
      <c r="P68" s="912"/>
      <c r="Q68" s="912"/>
      <c r="R68" s="855">
        <f t="shared" si="36"/>
        <v>1081.874237801145</v>
      </c>
      <c r="S68" s="855">
        <f t="shared" si="37"/>
        <v>218.53859603583129</v>
      </c>
      <c r="T68" s="855">
        <f t="shared" si="38"/>
        <v>13424.947166163025</v>
      </c>
      <c r="U68" s="855">
        <f t="shared" si="39"/>
        <v>95.900202100322161</v>
      </c>
      <c r="V68" s="855">
        <v>1</v>
      </c>
      <c r="W68" s="855">
        <f t="shared" si="40"/>
        <v>603.71000000000095</v>
      </c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</row>
    <row r="69" spans="1:35" x14ac:dyDescent="0.25">
      <c r="A69" s="4"/>
      <c r="B69" s="4" t="s">
        <v>23</v>
      </c>
      <c r="C69" s="737"/>
      <c r="D69" s="737"/>
      <c r="E69" s="918">
        <f>SUM(E62:E68)</f>
        <v>354</v>
      </c>
      <c r="F69" s="918">
        <f>SUM(F62:F68)</f>
        <v>923</v>
      </c>
      <c r="G69" s="919">
        <f>SUM(G62:G68)</f>
        <v>20417.899999999998</v>
      </c>
      <c r="H69" s="919">
        <f>SUM(H62:H68)</f>
        <v>2407.3999999999996</v>
      </c>
      <c r="I69" s="936"/>
      <c r="J69" s="936"/>
      <c r="K69" s="920">
        <f t="shared" ref="K69:T69" si="41">SUM(K62:K68)</f>
        <v>81695.16</v>
      </c>
      <c r="L69" s="920">
        <f t="shared" si="41"/>
        <v>77439.58</v>
      </c>
      <c r="M69" s="940"/>
      <c r="N69" s="940"/>
      <c r="O69" s="920">
        <f t="shared" si="41"/>
        <v>7211.9999999999991</v>
      </c>
      <c r="P69" s="56">
        <f t="shared" si="41"/>
        <v>0</v>
      </c>
      <c r="Q69" s="920">
        <f t="shared" si="41"/>
        <v>0</v>
      </c>
      <c r="R69" s="56">
        <f t="shared" si="41"/>
        <v>5999.9999999999991</v>
      </c>
      <c r="S69" s="56">
        <f t="shared" si="41"/>
        <v>1212</v>
      </c>
      <c r="T69" s="56">
        <f t="shared" si="41"/>
        <v>74483.16</v>
      </c>
      <c r="U69" s="56">
        <f t="shared" si="39"/>
        <v>94.790903157543241</v>
      </c>
      <c r="V69" s="56"/>
      <c r="W69" s="56">
        <f t="shared" si="40"/>
        <v>4255.5800000000017</v>
      </c>
      <c r="X69" s="223"/>
      <c r="Y69" s="223"/>
      <c r="Z69" s="223"/>
      <c r="AA69" s="223"/>
      <c r="AB69" s="223"/>
      <c r="AC69" s="223"/>
      <c r="AD69" s="223"/>
      <c r="AE69" s="223"/>
      <c r="AF69" s="223"/>
      <c r="AG69" s="223"/>
      <c r="AH69" s="223"/>
      <c r="AI69" s="223"/>
    </row>
    <row r="70" spans="1:35" x14ac:dyDescent="0.25">
      <c r="A70" s="223"/>
      <c r="B70" s="223"/>
      <c r="C70" s="223"/>
      <c r="D70" s="223"/>
      <c r="E70" s="223"/>
      <c r="F70" s="223"/>
      <c r="G70" s="223"/>
      <c r="H70" s="223"/>
      <c r="I70" s="223"/>
      <c r="J70" s="223"/>
      <c r="K70" s="223" t="s">
        <v>180</v>
      </c>
      <c r="L70" s="223"/>
      <c r="M70" s="223"/>
      <c r="N70" s="223"/>
      <c r="O70" s="223"/>
      <c r="P70" s="223"/>
      <c r="Q70" s="223"/>
      <c r="R70" s="346">
        <f>R69+S69</f>
        <v>7211.9999999999991</v>
      </c>
      <c r="S70" s="223"/>
      <c r="T70" s="223"/>
      <c r="U70" s="223"/>
      <c r="V70" s="223"/>
      <c r="W70" s="223"/>
      <c r="X70" s="223"/>
      <c r="Y70" s="223"/>
      <c r="Z70" s="223"/>
      <c r="AA70" s="223"/>
      <c r="AB70" s="223"/>
      <c r="AC70" s="223"/>
      <c r="AD70" s="223"/>
      <c r="AE70" s="223"/>
      <c r="AF70" s="223"/>
      <c r="AG70" s="223"/>
      <c r="AH70" s="223"/>
      <c r="AI70" s="223"/>
    </row>
    <row r="71" spans="1:35" x14ac:dyDescent="0.25">
      <c r="A71" s="223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  <c r="AA71" s="223"/>
      <c r="AB71" s="223"/>
      <c r="AC71" s="223"/>
      <c r="AD71" s="223"/>
      <c r="AE71" s="223"/>
      <c r="AF71" s="223"/>
      <c r="AG71" s="223"/>
      <c r="AH71" s="223"/>
      <c r="AI71" s="223"/>
    </row>
    <row r="72" spans="1:35" x14ac:dyDescent="0.25">
      <c r="A72" s="223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  <c r="AA72" s="223"/>
      <c r="AB72" s="223"/>
      <c r="AC72" s="223"/>
      <c r="AD72" s="223"/>
      <c r="AE72" s="223"/>
      <c r="AF72" s="223"/>
      <c r="AG72" s="223"/>
      <c r="AH72" s="223"/>
      <c r="AI72" s="223"/>
    </row>
    <row r="73" spans="1:35" x14ac:dyDescent="0.25">
      <c r="A73" s="223"/>
      <c r="B73" s="223"/>
      <c r="C73" s="223"/>
      <c r="D73" s="223"/>
      <c r="E73" s="223"/>
      <c r="F73" s="223"/>
      <c r="G73" s="344" t="s">
        <v>571</v>
      </c>
      <c r="H73" s="223"/>
      <c r="I73" s="223"/>
      <c r="J73" s="223"/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  <c r="AA73" s="223"/>
      <c r="AB73" s="223"/>
      <c r="AC73" s="223"/>
      <c r="AD73" s="223"/>
      <c r="AE73" s="223"/>
      <c r="AF73" s="223"/>
      <c r="AG73" s="223"/>
      <c r="AH73" s="223"/>
      <c r="AI73" s="223"/>
    </row>
    <row r="74" spans="1:35" x14ac:dyDescent="0.25">
      <c r="A74" s="223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  <c r="AA74" s="223"/>
      <c r="AB74" s="223"/>
      <c r="AC74" s="223"/>
      <c r="AD74" s="223"/>
      <c r="AE74" s="223"/>
      <c r="AF74" s="223"/>
      <c r="AG74" s="223"/>
      <c r="AH74" s="223"/>
      <c r="AI74" s="223"/>
    </row>
    <row r="75" spans="1:35" x14ac:dyDescent="0.25">
      <c r="A75" s="223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223"/>
      <c r="Z75" s="223"/>
      <c r="AA75" s="223"/>
      <c r="AB75" s="223"/>
      <c r="AC75" s="223"/>
      <c r="AD75" s="223"/>
      <c r="AE75" s="223"/>
      <c r="AF75" s="223"/>
      <c r="AG75" s="223"/>
      <c r="AH75" s="223"/>
      <c r="AI75" s="223"/>
    </row>
    <row r="76" spans="1:35" x14ac:dyDescent="0.25">
      <c r="A76" s="223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  <c r="AI76" s="223"/>
    </row>
    <row r="77" spans="1:35" x14ac:dyDescent="0.25">
      <c r="A77" s="223"/>
      <c r="B77" s="223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3"/>
      <c r="AB77" s="223"/>
      <c r="AC77" s="223"/>
      <c r="AD77" s="223"/>
      <c r="AE77" s="223"/>
      <c r="AF77" s="223"/>
      <c r="AG77" s="223"/>
      <c r="AH77" s="223"/>
      <c r="AI77" s="223"/>
    </row>
    <row r="78" spans="1:35" x14ac:dyDescent="0.25">
      <c r="A78" s="223"/>
      <c r="B78" s="608" t="s">
        <v>595</v>
      </c>
      <c r="C78" s="609"/>
      <c r="D78" s="609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</row>
    <row r="79" spans="1:35" x14ac:dyDescent="0.25">
      <c r="A79" s="223"/>
      <c r="B79" s="608" t="s">
        <v>599</v>
      </c>
      <c r="C79" s="608"/>
      <c r="D79" s="608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</row>
    <row r="80" spans="1:35" x14ac:dyDescent="0.25">
      <c r="A80" s="223"/>
      <c r="B80" s="608" t="s">
        <v>596</v>
      </c>
      <c r="C80" s="608"/>
      <c r="D80" s="608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</row>
    <row r="81" spans="1:35" x14ac:dyDescent="0.25">
      <c r="A81" s="223"/>
      <c r="B81" s="608" t="s">
        <v>597</v>
      </c>
      <c r="C81" s="608"/>
      <c r="D81" s="608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</row>
    <row r="82" spans="1:35" x14ac:dyDescent="0.25">
      <c r="A82" s="223"/>
      <c r="B82" s="223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</row>
    <row r="83" spans="1:35" x14ac:dyDescent="0.25">
      <c r="A83" s="223"/>
      <c r="B83" s="223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</row>
    <row r="84" spans="1:35" x14ac:dyDescent="0.25">
      <c r="A84" s="223"/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</row>
    <row r="85" spans="1:35" x14ac:dyDescent="0.25">
      <c r="A85" s="223"/>
      <c r="B85" s="223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</row>
    <row r="86" spans="1:35" x14ac:dyDescent="0.25">
      <c r="A86" s="223"/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</row>
    <row r="87" spans="1:35" x14ac:dyDescent="0.25">
      <c r="A87" s="223"/>
      <c r="B87" s="223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</row>
    <row r="88" spans="1:35" x14ac:dyDescent="0.25">
      <c r="A88" s="223"/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</row>
    <row r="89" spans="1:35" x14ac:dyDescent="0.25">
      <c r="A89" s="223"/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</row>
    <row r="90" spans="1:35" x14ac:dyDescent="0.25">
      <c r="A90" s="223"/>
      <c r="B90" s="223"/>
      <c r="C90" s="223"/>
      <c r="D90" s="223"/>
      <c r="E90" s="223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</row>
    <row r="91" spans="1:35" x14ac:dyDescent="0.25">
      <c r="A91" s="223"/>
      <c r="B91" s="223"/>
      <c r="C91" s="223"/>
      <c r="D91" s="223"/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</row>
    <row r="92" spans="1:35" x14ac:dyDescent="0.25">
      <c r="A92" s="223"/>
      <c r="B92" s="223"/>
      <c r="C92" s="223"/>
      <c r="D92" s="223"/>
      <c r="E92" s="223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</row>
    <row r="93" spans="1:35" x14ac:dyDescent="0.25">
      <c r="A93" s="223"/>
      <c r="B93" s="223"/>
      <c r="C93" s="223"/>
      <c r="D93" s="223"/>
      <c r="E93" s="223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</row>
    <row r="94" spans="1:35" x14ac:dyDescent="0.25">
      <c r="A94" s="223"/>
      <c r="B94" s="223"/>
      <c r="C94" s="223"/>
      <c r="D94" s="223"/>
      <c r="E94" s="223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</row>
    <row r="95" spans="1:35" x14ac:dyDescent="0.25">
      <c r="A95" s="223"/>
      <c r="B95" s="223"/>
      <c r="C95" s="223"/>
      <c r="D95" s="223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</row>
    <row r="96" spans="1:35" x14ac:dyDescent="0.25">
      <c r="A96" s="223"/>
      <c r="B96" s="223"/>
      <c r="C96" s="223"/>
      <c r="D96" s="223"/>
      <c r="E96" s="223"/>
      <c r="F96" s="223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</row>
    <row r="97" spans="1:41" x14ac:dyDescent="0.25">
      <c r="A97" s="223"/>
      <c r="B97" s="223"/>
      <c r="C97" s="223"/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</row>
    <row r="98" spans="1:41" x14ac:dyDescent="0.25">
      <c r="A98" s="223"/>
      <c r="B98" s="223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</row>
    <row r="99" spans="1:41" x14ac:dyDescent="0.25">
      <c r="A99" s="223"/>
      <c r="B99" s="223"/>
      <c r="C99" s="223"/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</row>
    <row r="100" spans="1:41" x14ac:dyDescent="0.25">
      <c r="A100" s="223"/>
      <c r="B100" s="223"/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</row>
    <row r="101" spans="1:41" x14ac:dyDescent="0.25">
      <c r="A101" s="223"/>
      <c r="B101" s="223"/>
      <c r="C101" s="223"/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</row>
    <row r="102" spans="1:41" ht="18.75" customHeight="1" x14ac:dyDescent="0.25">
      <c r="A102" s="223"/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</row>
    <row r="103" spans="1:41" ht="18.75" x14ac:dyDescent="0.3">
      <c r="B103" s="1993"/>
      <c r="C103" s="1994"/>
      <c r="D103" s="1994"/>
      <c r="E103" s="1994"/>
      <c r="F103" s="1994"/>
    </row>
    <row r="104" spans="1:41" x14ac:dyDescent="0.25"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  <c r="AK104" s="250"/>
      <c r="AL104" s="250"/>
      <c r="AM104" s="250"/>
      <c r="AN104" s="250"/>
      <c r="AO104" s="250"/>
    </row>
    <row r="105" spans="1:41" x14ac:dyDescent="0.25">
      <c r="A105" s="1985"/>
      <c r="B105" s="1985"/>
      <c r="C105" s="1985"/>
      <c r="D105" s="1985"/>
      <c r="E105" s="1985"/>
      <c r="F105" s="1985"/>
      <c r="G105" s="1985"/>
      <c r="H105" s="1985"/>
      <c r="I105" s="604"/>
      <c r="J105" s="604"/>
      <c r="K105" s="1989"/>
      <c r="L105" s="1990"/>
      <c r="M105" s="600"/>
      <c r="N105" s="600"/>
      <c r="O105" s="1987"/>
      <c r="P105" s="2014"/>
      <c r="Q105" s="2014"/>
      <c r="R105" s="2012"/>
      <c r="S105" s="2012"/>
      <c r="T105" s="2012"/>
      <c r="U105" s="2012"/>
      <c r="V105" s="2012"/>
      <c r="W105" s="2012"/>
      <c r="X105" s="276"/>
      <c r="Y105" s="277"/>
      <c r="Z105" s="277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50"/>
      <c r="AL105" s="250"/>
      <c r="AM105" s="250"/>
      <c r="AN105" s="250"/>
      <c r="AO105" s="250"/>
    </row>
    <row r="106" spans="1:41" x14ac:dyDescent="0.25">
      <c r="A106" s="1986"/>
      <c r="B106" s="1986"/>
      <c r="C106" s="1986"/>
      <c r="D106" s="1986"/>
      <c r="E106" s="1986"/>
      <c r="F106" s="1986"/>
      <c r="G106" s="1986"/>
      <c r="H106" s="1986"/>
      <c r="I106" s="605"/>
      <c r="J106" s="605"/>
      <c r="K106" s="150"/>
      <c r="L106" s="283"/>
      <c r="M106" s="599"/>
      <c r="N106" s="599"/>
      <c r="O106" s="1988"/>
      <c r="P106" s="2015"/>
      <c r="Q106" s="2015"/>
      <c r="R106" s="2013"/>
      <c r="S106" s="2013"/>
      <c r="T106" s="2013"/>
      <c r="U106" s="2013"/>
      <c r="V106" s="2013"/>
      <c r="W106" s="2013"/>
      <c r="X106" s="221"/>
      <c r="Y106" s="221"/>
      <c r="Z106" s="221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50"/>
      <c r="AL106" s="250"/>
      <c r="AM106" s="250"/>
      <c r="AN106" s="250"/>
      <c r="AO106" s="250"/>
    </row>
    <row r="107" spans="1:41" x14ac:dyDescent="0.25">
      <c r="A107" s="2"/>
      <c r="B107" s="85"/>
      <c r="C107" s="3"/>
      <c r="D107" s="3"/>
      <c r="E107" s="6"/>
      <c r="F107" s="261"/>
      <c r="G107" s="31"/>
      <c r="H107" s="31"/>
      <c r="I107" s="606"/>
      <c r="J107" s="606"/>
      <c r="K107" s="91"/>
      <c r="L107" s="91"/>
      <c r="M107" s="91"/>
      <c r="N107" s="91"/>
      <c r="O107" s="91"/>
      <c r="P107" s="91"/>
      <c r="Q107" s="91"/>
      <c r="R107" s="23"/>
      <c r="S107" s="23"/>
      <c r="T107" s="23"/>
      <c r="U107" s="23"/>
      <c r="V107" s="23"/>
      <c r="W107" s="23"/>
      <c r="X107" s="274"/>
      <c r="Y107" s="274"/>
      <c r="Z107" s="341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50"/>
      <c r="AL107" s="250"/>
      <c r="AM107" s="250"/>
      <c r="AN107" s="250"/>
      <c r="AO107" s="250"/>
    </row>
    <row r="108" spans="1:41" x14ac:dyDescent="0.25">
      <c r="A108" s="5"/>
      <c r="B108" s="43"/>
      <c r="C108" s="6"/>
      <c r="D108" s="6"/>
      <c r="E108" s="6"/>
      <c r="F108" s="261"/>
      <c r="G108" s="18"/>
      <c r="H108" s="18"/>
      <c r="I108" s="606"/>
      <c r="J108" s="606"/>
      <c r="K108" s="91"/>
      <c r="L108" s="91"/>
      <c r="M108" s="91"/>
      <c r="N108" s="91"/>
      <c r="O108" s="91"/>
      <c r="P108" s="91"/>
      <c r="Q108" s="91"/>
      <c r="R108" s="23"/>
      <c r="S108" s="23"/>
      <c r="T108" s="23"/>
      <c r="U108" s="23"/>
      <c r="V108" s="23"/>
      <c r="W108" s="23"/>
      <c r="X108" s="274"/>
      <c r="Y108" s="274"/>
      <c r="Z108" s="341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  <c r="AK108" s="250"/>
      <c r="AL108" s="250"/>
      <c r="AM108" s="250"/>
      <c r="AN108" s="250"/>
      <c r="AO108" s="250"/>
    </row>
    <row r="109" spans="1:41" x14ac:dyDescent="0.25">
      <c r="A109" s="5"/>
      <c r="B109" s="43"/>
      <c r="C109" s="6"/>
      <c r="D109" s="6"/>
      <c r="E109" s="6"/>
      <c r="F109" s="261"/>
      <c r="G109" s="18"/>
      <c r="H109" s="18"/>
      <c r="I109" s="606"/>
      <c r="J109" s="606"/>
      <c r="K109" s="91"/>
      <c r="L109" s="91"/>
      <c r="M109" s="91"/>
      <c r="N109" s="91"/>
      <c r="O109" s="91"/>
      <c r="P109" s="91"/>
      <c r="Q109" s="91"/>
      <c r="R109" s="23"/>
      <c r="S109" s="23"/>
      <c r="T109" s="23"/>
      <c r="U109" s="23"/>
      <c r="V109" s="23"/>
      <c r="W109" s="23"/>
      <c r="X109" s="274"/>
      <c r="Y109" s="274"/>
      <c r="Z109" s="341"/>
      <c r="AA109" s="250"/>
      <c r="AB109" s="250"/>
      <c r="AC109" s="250"/>
      <c r="AD109" s="250"/>
      <c r="AE109" s="250"/>
      <c r="AF109" s="250"/>
      <c r="AG109" s="250"/>
      <c r="AH109" s="250"/>
      <c r="AI109" s="250"/>
      <c r="AJ109" s="250"/>
      <c r="AK109" s="250"/>
      <c r="AL109" s="250"/>
      <c r="AM109" s="250"/>
      <c r="AN109" s="250"/>
      <c r="AO109" s="250"/>
    </row>
    <row r="110" spans="1:41" x14ac:dyDescent="0.25">
      <c r="A110" s="5"/>
      <c r="B110" s="43"/>
      <c r="C110" s="6"/>
      <c r="D110" s="6"/>
      <c r="E110" s="6"/>
      <c r="F110" s="261"/>
      <c r="G110" s="18"/>
      <c r="H110" s="18"/>
      <c r="I110" s="606"/>
      <c r="J110" s="606"/>
      <c r="K110" s="91"/>
      <c r="L110" s="91"/>
      <c r="M110" s="91"/>
      <c r="N110" s="91"/>
      <c r="O110" s="91"/>
      <c r="P110" s="91"/>
      <c r="Q110" s="91"/>
      <c r="R110" s="23"/>
      <c r="S110" s="23"/>
      <c r="T110" s="23"/>
      <c r="U110" s="23"/>
      <c r="V110" s="23"/>
      <c r="W110" s="23"/>
      <c r="X110" s="274"/>
      <c r="Y110" s="274"/>
      <c r="Z110" s="341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  <c r="AK110" s="250"/>
      <c r="AL110" s="250"/>
      <c r="AM110" s="250"/>
      <c r="AN110" s="250"/>
      <c r="AO110" s="250"/>
    </row>
    <row r="111" spans="1:41" x14ac:dyDescent="0.25">
      <c r="A111" s="5"/>
      <c r="B111" s="43"/>
      <c r="C111" s="6"/>
      <c r="D111" s="6"/>
      <c r="E111" s="6"/>
      <c r="F111" s="261"/>
      <c r="G111" s="18"/>
      <c r="H111" s="18"/>
      <c r="I111" s="606"/>
      <c r="J111" s="606"/>
      <c r="K111" s="91"/>
      <c r="L111" s="91"/>
      <c r="M111" s="91"/>
      <c r="N111" s="91"/>
      <c r="O111" s="91"/>
      <c r="P111" s="91"/>
      <c r="Q111" s="91"/>
      <c r="R111" s="23"/>
      <c r="S111" s="23"/>
      <c r="T111" s="23"/>
      <c r="U111" s="23"/>
      <c r="V111" s="23"/>
      <c r="W111" s="23"/>
      <c r="X111" s="274"/>
      <c r="Y111" s="274"/>
      <c r="Z111" s="341"/>
      <c r="AA111" s="250"/>
      <c r="AB111" s="250"/>
      <c r="AC111" s="250"/>
      <c r="AD111" s="250"/>
      <c r="AE111" s="250"/>
      <c r="AF111" s="250"/>
      <c r="AG111" s="250"/>
      <c r="AH111" s="250"/>
      <c r="AI111" s="250"/>
      <c r="AJ111" s="250"/>
      <c r="AK111" s="250"/>
      <c r="AL111" s="250"/>
      <c r="AM111" s="250"/>
      <c r="AN111" s="250"/>
      <c r="AO111" s="250"/>
    </row>
    <row r="112" spans="1:41" x14ac:dyDescent="0.25">
      <c r="A112" s="5"/>
      <c r="B112" s="43"/>
      <c r="C112" s="6"/>
      <c r="D112" s="6"/>
      <c r="E112" s="6"/>
      <c r="F112" s="261"/>
      <c r="G112" s="18"/>
      <c r="H112" s="18"/>
      <c r="I112" s="606"/>
      <c r="J112" s="606"/>
      <c r="K112" s="91"/>
      <c r="L112" s="91"/>
      <c r="M112" s="91"/>
      <c r="N112" s="91"/>
      <c r="O112" s="91"/>
      <c r="P112" s="91"/>
      <c r="Q112" s="91"/>
      <c r="R112" s="23"/>
      <c r="S112" s="23"/>
      <c r="T112" s="23"/>
      <c r="U112" s="23"/>
      <c r="V112" s="23"/>
      <c r="W112" s="23"/>
      <c r="X112" s="274"/>
      <c r="Y112" s="274"/>
      <c r="Z112" s="341"/>
      <c r="AA112" s="250"/>
      <c r="AB112" s="250"/>
      <c r="AC112" s="250"/>
      <c r="AD112" s="250"/>
      <c r="AE112" s="250"/>
      <c r="AF112" s="250"/>
      <c r="AG112" s="250"/>
      <c r="AH112" s="250"/>
      <c r="AI112" s="250"/>
      <c r="AJ112" s="250"/>
      <c r="AK112" s="250"/>
      <c r="AL112" s="250"/>
      <c r="AM112" s="250"/>
      <c r="AN112" s="250"/>
      <c r="AO112" s="250"/>
    </row>
    <row r="113" spans="1:41" x14ac:dyDescent="0.25">
      <c r="A113" s="260"/>
      <c r="B113" s="43"/>
      <c r="C113" s="6"/>
      <c r="D113" s="6"/>
      <c r="E113" s="6"/>
      <c r="F113" s="261"/>
      <c r="G113" s="18"/>
      <c r="H113" s="18"/>
      <c r="I113" s="606"/>
      <c r="J113" s="606"/>
      <c r="K113" s="91"/>
      <c r="L113" s="91"/>
      <c r="M113" s="91"/>
      <c r="N113" s="91"/>
      <c r="O113" s="91"/>
      <c r="P113" s="91"/>
      <c r="Q113" s="91"/>
      <c r="R113" s="23"/>
      <c r="S113" s="23"/>
      <c r="T113" s="23"/>
      <c r="U113" s="23"/>
      <c r="V113" s="23"/>
      <c r="W113" s="23"/>
      <c r="X113" s="274"/>
      <c r="Y113" s="274"/>
      <c r="Z113" s="341"/>
      <c r="AA113" s="250"/>
      <c r="AB113" s="250"/>
      <c r="AC113" s="250"/>
      <c r="AD113" s="250"/>
      <c r="AE113" s="250"/>
      <c r="AF113" s="250"/>
      <c r="AG113" s="250"/>
      <c r="AH113" s="250"/>
      <c r="AI113" s="250"/>
      <c r="AJ113" s="250"/>
      <c r="AK113" s="250"/>
      <c r="AL113" s="250"/>
      <c r="AM113" s="250"/>
      <c r="AN113" s="250"/>
      <c r="AO113" s="250"/>
    </row>
    <row r="114" spans="1:41" x14ac:dyDescent="0.25">
      <c r="A114" s="4"/>
      <c r="B114" s="4"/>
      <c r="C114" s="4"/>
      <c r="D114" s="4"/>
      <c r="E114" s="57"/>
      <c r="F114" s="57"/>
      <c r="G114" s="156"/>
      <c r="H114" s="156"/>
      <c r="I114" s="607"/>
      <c r="J114" s="607"/>
      <c r="K114" s="132"/>
      <c r="L114" s="132"/>
      <c r="M114" s="132"/>
      <c r="N114" s="132"/>
      <c r="O114" s="132"/>
      <c r="P114" s="49"/>
      <c r="Q114" s="132"/>
      <c r="R114" s="49"/>
      <c r="S114" s="56"/>
      <c r="T114" s="49"/>
      <c r="U114" s="49"/>
      <c r="V114" s="49"/>
      <c r="W114" s="49"/>
      <c r="X114" s="275"/>
      <c r="Y114" s="275"/>
      <c r="Z114" s="342"/>
      <c r="AA114" s="250"/>
      <c r="AB114" s="250"/>
      <c r="AC114" s="250"/>
      <c r="AD114" s="250"/>
      <c r="AE114" s="250"/>
      <c r="AF114" s="250"/>
      <c r="AG114" s="250"/>
      <c r="AH114" s="250"/>
      <c r="AI114" s="250"/>
      <c r="AJ114" s="250"/>
      <c r="AK114" s="250"/>
      <c r="AL114" s="250"/>
      <c r="AM114" s="250"/>
      <c r="AN114" s="250"/>
      <c r="AO114" s="250"/>
    </row>
    <row r="115" spans="1:4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158"/>
      <c r="V115" s="158"/>
      <c r="W115" s="158"/>
      <c r="X115" s="158"/>
      <c r="Y115" s="158"/>
      <c r="Z115" s="158"/>
      <c r="AA115" s="250"/>
      <c r="AB115" s="250"/>
      <c r="AC115" s="250"/>
      <c r="AD115" s="250"/>
      <c r="AE115" s="250"/>
      <c r="AF115" s="250"/>
      <c r="AG115" s="250"/>
      <c r="AH115" s="250"/>
      <c r="AI115" s="250"/>
      <c r="AJ115" s="250"/>
      <c r="AK115" s="250"/>
      <c r="AL115" s="250"/>
      <c r="AM115" s="250"/>
      <c r="AN115" s="250"/>
      <c r="AO115" s="250"/>
    </row>
    <row r="116" spans="1:41" x14ac:dyDescent="0.25">
      <c r="A116" s="285"/>
      <c r="B116" s="284"/>
      <c r="C116" s="284"/>
      <c r="D116" s="9"/>
      <c r="E116" s="285"/>
      <c r="F116" s="9"/>
      <c r="G116" s="9"/>
      <c r="H116" s="9"/>
      <c r="I116" s="9"/>
      <c r="J116" s="9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</row>
    <row r="117" spans="1:41" x14ac:dyDescent="0.25">
      <c r="A117" s="9"/>
      <c r="B117" s="9"/>
      <c r="C117" s="9"/>
      <c r="D117" s="9"/>
      <c r="E117" s="223"/>
      <c r="F117" s="223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</row>
    <row r="118" spans="1:4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</row>
    <row r="119" spans="1:41" x14ac:dyDescent="0.25">
      <c r="A119" s="9"/>
      <c r="B119" s="9"/>
      <c r="C119" s="9"/>
      <c r="D119" s="9"/>
      <c r="E119" s="1977"/>
      <c r="F119" s="1977"/>
      <c r="G119" s="1977"/>
      <c r="H119" s="1977"/>
      <c r="I119" s="598"/>
      <c r="J119" s="598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</row>
    <row r="120" spans="1:4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</row>
    <row r="121" spans="1:4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</row>
    <row r="122" spans="1:41" x14ac:dyDescent="0.25">
      <c r="A122" s="9"/>
      <c r="B122" s="9"/>
      <c r="C122" s="9"/>
      <c r="D122" s="9"/>
      <c r="E122" s="1977"/>
      <c r="F122" s="1977"/>
      <c r="G122" s="1977"/>
      <c r="H122" s="1977"/>
      <c r="I122" s="598"/>
      <c r="J122" s="598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</row>
    <row r="123" spans="1:41" x14ac:dyDescent="0.25">
      <c r="A123" s="9"/>
      <c r="B123" s="108"/>
      <c r="C123" s="9"/>
      <c r="D123" s="9"/>
      <c r="E123" s="1977"/>
      <c r="F123" s="1977"/>
      <c r="G123" s="1977"/>
      <c r="H123" s="1977"/>
      <c r="I123" s="598"/>
      <c r="J123" s="598"/>
      <c r="K123" s="223"/>
      <c r="L123" s="223"/>
      <c r="M123" s="223"/>
      <c r="N123" s="223"/>
      <c r="O123" s="223"/>
      <c r="P123" s="223"/>
      <c r="Q123" s="223"/>
      <c r="R123" s="223"/>
      <c r="S123" s="223"/>
      <c r="T123" s="223"/>
      <c r="U123" s="223"/>
      <c r="V123" s="223"/>
      <c r="W123" s="223"/>
    </row>
    <row r="124" spans="1:41" x14ac:dyDescent="0.25">
      <c r="A124" s="9"/>
      <c r="B124" s="9"/>
      <c r="C124" s="9"/>
      <c r="D124" s="9"/>
      <c r="E124" s="1977"/>
      <c r="F124" s="1977"/>
      <c r="G124" s="1977"/>
      <c r="H124" s="1977"/>
      <c r="I124" s="598"/>
      <c r="J124" s="598"/>
      <c r="K124" s="223"/>
      <c r="L124" s="223"/>
      <c r="M124" s="223"/>
      <c r="N124" s="223"/>
      <c r="O124" s="223"/>
      <c r="P124" s="223"/>
      <c r="Q124" s="223"/>
      <c r="R124" s="223"/>
      <c r="S124" s="223"/>
      <c r="T124" s="223"/>
      <c r="U124" s="223"/>
      <c r="V124" s="223"/>
      <c r="W124" s="223"/>
    </row>
    <row r="125" spans="1:41" x14ac:dyDescent="0.25">
      <c r="A125" s="9"/>
      <c r="B125" s="9"/>
      <c r="C125" s="9"/>
      <c r="D125" s="9"/>
      <c r="E125" s="1977"/>
      <c r="F125" s="1977"/>
      <c r="G125" s="1977"/>
      <c r="H125" s="1977"/>
      <c r="I125" s="598"/>
      <c r="J125" s="598"/>
      <c r="K125" s="223"/>
      <c r="L125" s="223"/>
      <c r="M125" s="223"/>
      <c r="N125" s="223"/>
      <c r="O125" s="223"/>
      <c r="P125" s="223"/>
      <c r="Q125" s="223"/>
      <c r="R125" s="223"/>
      <c r="S125" s="223"/>
      <c r="T125" s="223"/>
      <c r="U125" s="223"/>
      <c r="V125" s="223"/>
      <c r="W125" s="223"/>
    </row>
    <row r="126" spans="1:41" x14ac:dyDescent="0.25">
      <c r="A126" s="9"/>
      <c r="B126" s="9"/>
      <c r="C126" s="9"/>
      <c r="D126" s="9"/>
      <c r="E126" s="1977"/>
      <c r="F126" s="1977"/>
      <c r="G126" s="1977"/>
      <c r="H126" s="1977"/>
      <c r="I126" s="598"/>
      <c r="J126" s="598"/>
      <c r="K126" s="223"/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</row>
    <row r="127" spans="1:41" x14ac:dyDescent="0.25">
      <c r="A127" s="9"/>
      <c r="B127" s="9"/>
      <c r="C127" s="9"/>
      <c r="D127" s="9"/>
      <c r="E127" s="1977"/>
      <c r="F127" s="1977"/>
      <c r="G127" s="1977"/>
      <c r="H127" s="1977"/>
      <c r="I127" s="598"/>
      <c r="J127" s="598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</row>
    <row r="128" spans="1:41" x14ac:dyDescent="0.25">
      <c r="A128" s="9"/>
      <c r="B128" s="9"/>
      <c r="C128" s="9"/>
      <c r="D128" s="9"/>
      <c r="E128" s="1977"/>
      <c r="F128" s="1977"/>
      <c r="G128" s="1977"/>
      <c r="H128" s="1977"/>
      <c r="I128" s="598"/>
      <c r="J128" s="598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</row>
    <row r="129" spans="1:23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223"/>
      <c r="L129" s="223"/>
      <c r="M129" s="223"/>
      <c r="N129" s="223"/>
      <c r="O129" s="223"/>
      <c r="P129" s="223"/>
      <c r="Q129" s="223"/>
      <c r="R129" s="223"/>
      <c r="S129" s="223"/>
      <c r="T129" s="223"/>
      <c r="U129" s="223"/>
      <c r="V129" s="223"/>
      <c r="W129" s="223"/>
    </row>
    <row r="130" spans="1:23" x14ac:dyDescent="0.25">
      <c r="A130" s="9"/>
      <c r="B130" s="9"/>
      <c r="C130" s="9"/>
      <c r="D130" s="9"/>
      <c r="E130" s="1977"/>
      <c r="F130" s="1977"/>
      <c r="G130" s="1977"/>
      <c r="H130" s="1977"/>
      <c r="I130" s="598"/>
      <c r="J130" s="598"/>
      <c r="K130" s="223"/>
      <c r="L130" s="223"/>
      <c r="M130" s="223"/>
      <c r="N130" s="223"/>
      <c r="O130" s="223"/>
      <c r="P130" s="223"/>
      <c r="Q130" s="223"/>
      <c r="R130" s="223"/>
      <c r="S130" s="223"/>
      <c r="T130" s="223"/>
      <c r="U130" s="223"/>
      <c r="V130" s="223"/>
      <c r="W130" s="223"/>
    </row>
    <row r="131" spans="1:23" x14ac:dyDescent="0.25">
      <c r="A131" s="9"/>
      <c r="B131" s="9"/>
      <c r="C131" s="9"/>
      <c r="D131" s="9"/>
      <c r="E131" s="1977"/>
      <c r="F131" s="1977"/>
      <c r="G131" s="1977"/>
      <c r="H131" s="1977"/>
      <c r="I131" s="598"/>
      <c r="J131" s="598"/>
      <c r="K131" s="223"/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</row>
    <row r="132" spans="1:23" x14ac:dyDescent="0.25">
      <c r="A132" s="9"/>
      <c r="B132" s="9"/>
      <c r="C132" s="9"/>
      <c r="D132" s="9"/>
      <c r="E132" s="1977"/>
      <c r="F132" s="1977"/>
      <c r="G132" s="1977"/>
      <c r="H132" s="1977"/>
      <c r="I132" s="598"/>
      <c r="J132" s="598"/>
      <c r="K132" s="223"/>
      <c r="L132" s="223"/>
      <c r="M132" s="223"/>
      <c r="N132" s="223"/>
      <c r="O132" s="223"/>
      <c r="P132" s="223"/>
      <c r="Q132" s="223"/>
      <c r="R132" s="223"/>
      <c r="S132" s="223"/>
      <c r="T132" s="223"/>
      <c r="U132" s="223"/>
      <c r="V132" s="223"/>
      <c r="W132" s="223"/>
    </row>
    <row r="133" spans="1:23" x14ac:dyDescent="0.25">
      <c r="A133" s="9"/>
      <c r="B133" s="9"/>
      <c r="C133" s="9"/>
      <c r="D133" s="9"/>
      <c r="E133" s="1977"/>
      <c r="F133" s="1977"/>
      <c r="G133" s="1977"/>
      <c r="H133" s="1977"/>
      <c r="I133" s="598"/>
      <c r="J133" s="598"/>
      <c r="K133" s="223"/>
      <c r="L133" s="223"/>
      <c r="M133" s="223"/>
      <c r="N133" s="223"/>
      <c r="O133" s="223"/>
      <c r="P133" s="223"/>
      <c r="Q133" s="223"/>
      <c r="R133" s="223"/>
      <c r="S133" s="223"/>
      <c r="T133" s="223"/>
      <c r="U133" s="223"/>
      <c r="V133" s="223"/>
      <c r="W133" s="223"/>
    </row>
    <row r="134" spans="1:23" x14ac:dyDescent="0.25">
      <c r="A134" s="9"/>
      <c r="B134" s="9"/>
      <c r="C134" s="9"/>
      <c r="D134" s="9"/>
      <c r="E134" s="1977"/>
      <c r="F134" s="1977"/>
      <c r="G134" s="1977"/>
      <c r="H134" s="1977"/>
      <c r="I134" s="598"/>
      <c r="J134" s="598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</row>
    <row r="135" spans="1:23" x14ac:dyDescent="0.25">
      <c r="A135" s="9"/>
      <c r="B135" s="9"/>
      <c r="C135" s="9"/>
      <c r="D135" s="9"/>
      <c r="E135" s="1977"/>
      <c r="F135" s="1977"/>
      <c r="G135" s="1977"/>
      <c r="H135" s="1977"/>
      <c r="I135" s="598"/>
      <c r="J135" s="598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</row>
    <row r="136" spans="1:23" x14ac:dyDescent="0.25">
      <c r="A136" s="9"/>
      <c r="B136" s="9"/>
      <c r="C136" s="9"/>
      <c r="D136" s="9"/>
      <c r="E136" s="1977"/>
      <c r="F136" s="1977"/>
      <c r="G136" s="1977"/>
      <c r="H136" s="1977"/>
      <c r="I136" s="598"/>
      <c r="J136" s="598"/>
      <c r="K136" s="223"/>
      <c r="L136" s="223"/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</row>
    <row r="137" spans="1:23" x14ac:dyDescent="0.25">
      <c r="A137" s="9"/>
      <c r="B137" s="9"/>
      <c r="C137" s="9"/>
      <c r="D137" s="9"/>
      <c r="E137" s="1977"/>
      <c r="F137" s="1977"/>
      <c r="G137" s="1977"/>
      <c r="H137" s="1977"/>
      <c r="I137" s="598"/>
      <c r="J137" s="598"/>
      <c r="K137" s="223"/>
      <c r="L137" s="223"/>
      <c r="M137" s="223"/>
      <c r="N137" s="223"/>
      <c r="O137" s="223"/>
      <c r="P137" s="223"/>
      <c r="Q137" s="223"/>
      <c r="R137" s="223"/>
      <c r="S137" s="223"/>
      <c r="T137" s="223"/>
      <c r="U137" s="223"/>
      <c r="V137" s="223"/>
      <c r="W137" s="223"/>
    </row>
    <row r="138" spans="1:23" x14ac:dyDescent="0.25">
      <c r="A138" s="9"/>
      <c r="B138" s="9"/>
      <c r="C138" s="9"/>
      <c r="D138" s="9"/>
      <c r="E138" s="1977"/>
      <c r="F138" s="1977"/>
      <c r="G138" s="1977"/>
      <c r="H138" s="1977"/>
      <c r="I138" s="598"/>
      <c r="J138" s="598"/>
      <c r="K138" s="223"/>
      <c r="L138" s="223"/>
      <c r="M138" s="223"/>
      <c r="N138" s="223"/>
      <c r="O138" s="223"/>
      <c r="P138" s="223"/>
      <c r="Q138" s="223"/>
      <c r="R138" s="223"/>
      <c r="S138" s="223"/>
      <c r="T138" s="223"/>
      <c r="U138" s="223"/>
      <c r="V138" s="223"/>
      <c r="W138" s="223"/>
    </row>
    <row r="139" spans="1:23" x14ac:dyDescent="0.25">
      <c r="A139" s="9"/>
      <c r="B139" s="9"/>
      <c r="C139" s="9"/>
      <c r="D139" s="9"/>
      <c r="E139" s="1977"/>
      <c r="F139" s="1977"/>
      <c r="G139" s="1977"/>
      <c r="H139" s="1977"/>
      <c r="I139" s="598"/>
      <c r="J139" s="598"/>
      <c r="K139" s="223"/>
      <c r="L139" s="223"/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</row>
    <row r="140" spans="1:23" x14ac:dyDescent="0.25">
      <c r="A140" s="9"/>
      <c r="B140" s="9"/>
      <c r="C140" s="9"/>
      <c r="D140" s="9"/>
      <c r="E140" s="1977"/>
      <c r="F140" s="1977"/>
      <c r="G140" s="1977"/>
      <c r="H140" s="1977"/>
      <c r="I140" s="598"/>
      <c r="J140" s="598"/>
      <c r="K140" s="223"/>
      <c r="L140" s="223"/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</row>
    <row r="141" spans="1:23" x14ac:dyDescent="0.25">
      <c r="A141" s="223"/>
      <c r="B141" s="223"/>
      <c r="C141" s="223"/>
      <c r="D141" s="223"/>
      <c r="E141" s="223"/>
      <c r="F141" s="223"/>
      <c r="G141" s="223"/>
      <c r="H141" s="223"/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</row>
    <row r="142" spans="1:23" x14ac:dyDescent="0.25">
      <c r="A142" s="223"/>
      <c r="B142" s="223"/>
      <c r="C142" s="223"/>
      <c r="D142" s="223"/>
      <c r="E142" s="223"/>
      <c r="F142" s="223"/>
      <c r="G142" s="223"/>
      <c r="H142" s="223"/>
      <c r="I142" s="223"/>
      <c r="J142" s="223"/>
      <c r="K142" s="223"/>
      <c r="L142" s="223"/>
      <c r="M142" s="223"/>
      <c r="N142" s="223"/>
      <c r="O142" s="223"/>
      <c r="P142" s="223"/>
      <c r="Q142" s="223"/>
      <c r="R142" s="223"/>
      <c r="S142" s="223"/>
      <c r="T142" s="223"/>
      <c r="U142" s="223"/>
      <c r="V142" s="223"/>
      <c r="W142" s="223"/>
    </row>
    <row r="143" spans="1:23" x14ac:dyDescent="0.25">
      <c r="A143" s="223"/>
      <c r="B143" s="223"/>
      <c r="C143" s="223"/>
      <c r="D143" s="223"/>
      <c r="E143" s="223"/>
      <c r="F143" s="223"/>
      <c r="G143" s="223"/>
      <c r="H143" s="223"/>
      <c r="I143" s="223"/>
      <c r="J143" s="223"/>
      <c r="K143" s="223"/>
      <c r="L143" s="223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</row>
    <row r="144" spans="1:23" x14ac:dyDescent="0.25">
      <c r="A144" s="223"/>
      <c r="B144" s="223"/>
      <c r="C144" s="223"/>
      <c r="D144" s="223"/>
      <c r="E144" s="223"/>
      <c r="F144" s="223"/>
      <c r="G144" s="223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3"/>
      <c r="U144" s="223"/>
      <c r="V144" s="223"/>
      <c r="W144" s="223"/>
    </row>
    <row r="145" spans="1:23" x14ac:dyDescent="0.25">
      <c r="A145" s="223"/>
      <c r="B145" s="223"/>
      <c r="C145" s="223"/>
      <c r="D145" s="223"/>
      <c r="E145" s="223"/>
      <c r="F145" s="223"/>
      <c r="G145" s="223"/>
      <c r="H145" s="223"/>
      <c r="I145" s="223"/>
      <c r="J145" s="223"/>
      <c r="K145" s="223"/>
      <c r="L145" s="223"/>
      <c r="M145" s="223"/>
      <c r="N145" s="223"/>
      <c r="O145" s="223"/>
      <c r="P145" s="223"/>
      <c r="Q145" s="223"/>
      <c r="R145" s="223"/>
      <c r="S145" s="223"/>
      <c r="T145" s="223"/>
      <c r="U145" s="223"/>
      <c r="V145" s="223"/>
      <c r="W145" s="223"/>
    </row>
    <row r="146" spans="1:23" x14ac:dyDescent="0.25">
      <c r="A146" s="223"/>
      <c r="B146" s="223"/>
      <c r="C146" s="223"/>
      <c r="D146" s="223"/>
      <c r="E146" s="223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</row>
    <row r="147" spans="1:23" x14ac:dyDescent="0.25">
      <c r="A147" s="134"/>
      <c r="B147" s="223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</row>
    <row r="148" spans="1:23" x14ac:dyDescent="0.25">
      <c r="A148" s="134"/>
      <c r="B148" s="223"/>
      <c r="C148" s="223"/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</row>
    <row r="149" spans="1:23" x14ac:dyDescent="0.25">
      <c r="A149" s="134"/>
      <c r="B149" s="223"/>
      <c r="C149" s="223"/>
      <c r="D149" s="223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</row>
    <row r="150" spans="1:23" x14ac:dyDescent="0.25">
      <c r="A150" s="134"/>
      <c r="B150" s="223"/>
      <c r="C150" s="223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</row>
    <row r="151" spans="1:23" x14ac:dyDescent="0.25">
      <c r="A151" s="134"/>
      <c r="B151" s="223"/>
      <c r="C151" s="223"/>
      <c r="D151" s="223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3"/>
      <c r="U151" s="223"/>
      <c r="V151" s="223"/>
      <c r="W151" s="223"/>
    </row>
    <row r="152" spans="1:23" x14ac:dyDescent="0.25">
      <c r="A152" s="134"/>
      <c r="B152" s="223"/>
      <c r="C152" s="223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</row>
    <row r="153" spans="1:23" x14ac:dyDescent="0.25">
      <c r="A153" s="134"/>
      <c r="B153" s="223"/>
      <c r="C153" s="223"/>
      <c r="D153" s="223"/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223"/>
      <c r="R153" s="223"/>
      <c r="S153" s="223"/>
      <c r="T153" s="223"/>
      <c r="U153" s="223"/>
      <c r="V153" s="223"/>
      <c r="W153" s="223"/>
    </row>
    <row r="154" spans="1:23" x14ac:dyDescent="0.25">
      <c r="A154" s="134"/>
      <c r="B154" s="223"/>
      <c r="C154" s="223"/>
      <c r="D154" s="223"/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3"/>
      <c r="P154" s="223"/>
      <c r="Q154" s="223"/>
      <c r="R154" s="223"/>
      <c r="S154" s="223"/>
      <c r="T154" s="223"/>
      <c r="U154" s="223"/>
      <c r="V154" s="223"/>
      <c r="W154" s="223"/>
    </row>
    <row r="155" spans="1:23" x14ac:dyDescent="0.25">
      <c r="A155" s="134"/>
      <c r="B155" s="223"/>
      <c r="C155" s="223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</row>
    <row r="156" spans="1:23" x14ac:dyDescent="0.25">
      <c r="A156" s="134"/>
      <c r="B156" s="223"/>
      <c r="C156" s="223"/>
      <c r="D156" s="223"/>
      <c r="E156" s="223"/>
      <c r="F156" s="223"/>
      <c r="G156" s="223"/>
      <c r="H156" s="223"/>
      <c r="I156" s="223"/>
      <c r="J156" s="223"/>
      <c r="K156" s="223"/>
      <c r="L156" s="223"/>
      <c r="M156" s="223"/>
      <c r="N156" s="223"/>
      <c r="O156" s="223"/>
      <c r="P156" s="223"/>
      <c r="Q156" s="223"/>
      <c r="R156" s="223"/>
      <c r="S156" s="223"/>
      <c r="T156" s="223"/>
      <c r="U156" s="223"/>
      <c r="V156" s="223"/>
      <c r="W156" s="223"/>
    </row>
    <row r="157" spans="1:23" x14ac:dyDescent="0.25">
      <c r="A157" s="134"/>
      <c r="B157" s="223"/>
      <c r="C157" s="223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</row>
    <row r="158" spans="1:23" x14ac:dyDescent="0.25">
      <c r="A158" s="134"/>
      <c r="B158" s="223"/>
      <c r="C158" s="223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</row>
    <row r="159" spans="1:23" x14ac:dyDescent="0.25">
      <c r="A159" s="134"/>
      <c r="B159" s="223"/>
      <c r="C159" s="223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</row>
    <row r="160" spans="1:23" x14ac:dyDescent="0.25">
      <c r="A160" s="134"/>
      <c r="B160" s="223"/>
      <c r="C160" s="223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</row>
    <row r="161" spans="1:23" x14ac:dyDescent="0.25">
      <c r="A161" s="134"/>
      <c r="B161" s="223"/>
      <c r="C161" s="223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</row>
    <row r="162" spans="1:23" x14ac:dyDescent="0.25">
      <c r="A162" s="134"/>
      <c r="B162" s="223"/>
      <c r="C162" s="223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</row>
    <row r="163" spans="1:23" x14ac:dyDescent="0.25">
      <c r="A163" s="134"/>
      <c r="B163" s="223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</row>
    <row r="164" spans="1:23" x14ac:dyDescent="0.25">
      <c r="A164" s="134"/>
      <c r="B164" s="223"/>
      <c r="C164" s="223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</row>
    <row r="165" spans="1:23" x14ac:dyDescent="0.25">
      <c r="A165" s="134"/>
      <c r="B165" s="223"/>
      <c r="C165" s="223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</row>
    <row r="166" spans="1:23" x14ac:dyDescent="0.25">
      <c r="A166" s="134"/>
      <c r="B166" s="223"/>
      <c r="C166" s="223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  <c r="S166" s="223"/>
      <c r="T166" s="165"/>
    </row>
    <row r="167" spans="1:23" x14ac:dyDescent="0.25">
      <c r="A167" s="134"/>
      <c r="B167" s="223"/>
      <c r="C167" s="223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165"/>
    </row>
    <row r="168" spans="1:23" x14ac:dyDescent="0.25">
      <c r="A168" s="134"/>
      <c r="B168" s="223"/>
      <c r="C168" s="223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165"/>
    </row>
    <row r="169" spans="1:23" x14ac:dyDescent="0.25">
      <c r="A169" s="166"/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8"/>
    </row>
  </sheetData>
  <mergeCells count="137">
    <mergeCell ref="M60:N60"/>
    <mergeCell ref="M5:N5"/>
    <mergeCell ref="E39:E40"/>
    <mergeCell ref="K21:L21"/>
    <mergeCell ref="A21:A22"/>
    <mergeCell ref="E140:H140"/>
    <mergeCell ref="E119:H119"/>
    <mergeCell ref="E123:H123"/>
    <mergeCell ref="E124:H124"/>
    <mergeCell ref="E132:H132"/>
    <mergeCell ref="E130:H130"/>
    <mergeCell ref="E131:H131"/>
    <mergeCell ref="E133:H133"/>
    <mergeCell ref="E134:H134"/>
    <mergeCell ref="E135:H135"/>
    <mergeCell ref="E136:H136"/>
    <mergeCell ref="E137:H137"/>
    <mergeCell ref="E138:H138"/>
    <mergeCell ref="E139:H139"/>
    <mergeCell ref="E127:H127"/>
    <mergeCell ref="E128:H128"/>
    <mergeCell ref="B58:F58"/>
    <mergeCell ref="I60:J60"/>
    <mergeCell ref="B19:F19"/>
    <mergeCell ref="U105:U106"/>
    <mergeCell ref="E122:H122"/>
    <mergeCell ref="E125:H125"/>
    <mergeCell ref="E126:H126"/>
    <mergeCell ref="W105:W106"/>
    <mergeCell ref="K105:L105"/>
    <mergeCell ref="O105:O106"/>
    <mergeCell ref="P105:P106"/>
    <mergeCell ref="Q105:Q106"/>
    <mergeCell ref="R105:R106"/>
    <mergeCell ref="S105:S106"/>
    <mergeCell ref="T105:T106"/>
    <mergeCell ref="V105:V106"/>
    <mergeCell ref="O60:O61"/>
    <mergeCell ref="P60:P61"/>
    <mergeCell ref="Q60:Q61"/>
    <mergeCell ref="B39:B40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A60:A61"/>
    <mergeCell ref="B60:B61"/>
    <mergeCell ref="C60:C61"/>
    <mergeCell ref="D60:D61"/>
    <mergeCell ref="E60:E61"/>
    <mergeCell ref="F60:F61"/>
    <mergeCell ref="G60:G61"/>
    <mergeCell ref="H60:H61"/>
    <mergeCell ref="K60:L60"/>
    <mergeCell ref="A39:A40"/>
    <mergeCell ref="C39:C40"/>
    <mergeCell ref="D39:D40"/>
    <mergeCell ref="AE5:AE6"/>
    <mergeCell ref="V5:V6"/>
    <mergeCell ref="AC5:AC6"/>
    <mergeCell ref="Z5:Z6"/>
    <mergeCell ref="AB5:AB6"/>
    <mergeCell ref="AA5:AA6"/>
    <mergeCell ref="X5:X6"/>
    <mergeCell ref="Y5:Y6"/>
    <mergeCell ref="B103:F103"/>
    <mergeCell ref="S21:S22"/>
    <mergeCell ref="T21:T22"/>
    <mergeCell ref="U21:U22"/>
    <mergeCell ref="G39:G40"/>
    <mergeCell ref="H39:H40"/>
    <mergeCell ref="K39:L39"/>
    <mergeCell ref="O39:O40"/>
    <mergeCell ref="P39:P40"/>
    <mergeCell ref="G21:G22"/>
    <mergeCell ref="H21:H22"/>
    <mergeCell ref="O21:O22"/>
    <mergeCell ref="P21:P22"/>
    <mergeCell ref="Q21:Q22"/>
    <mergeCell ref="Q39:Q40"/>
    <mergeCell ref="R39:R40"/>
    <mergeCell ref="R60:R61"/>
    <mergeCell ref="S60:S61"/>
    <mergeCell ref="T60:T61"/>
    <mergeCell ref="U60:U61"/>
    <mergeCell ref="V60:V61"/>
    <mergeCell ref="W60:W61"/>
    <mergeCell ref="Y21:Y22"/>
    <mergeCell ref="Z21:Z22"/>
    <mergeCell ref="AA21:AA22"/>
    <mergeCell ref="R21:R22"/>
    <mergeCell ref="S39:S40"/>
    <mergeCell ref="T39:T40"/>
    <mergeCell ref="U39:U40"/>
    <mergeCell ref="V21:V22"/>
    <mergeCell ref="W21:W22"/>
    <mergeCell ref="V39:V40"/>
    <mergeCell ref="W39:W40"/>
    <mergeCell ref="B37:F37"/>
    <mergeCell ref="F39:F40"/>
    <mergeCell ref="B21:B22"/>
    <mergeCell ref="C21:C22"/>
    <mergeCell ref="D21:D22"/>
    <mergeCell ref="E21:E22"/>
    <mergeCell ref="F21:F22"/>
    <mergeCell ref="AK5:AK6"/>
    <mergeCell ref="Q5:Q6"/>
    <mergeCell ref="R5:R6"/>
    <mergeCell ref="AJ5:AJ6"/>
    <mergeCell ref="AI5:AI6"/>
    <mergeCell ref="S5:S6"/>
    <mergeCell ref="AH5:AH6"/>
    <mergeCell ref="AG5:AG6"/>
    <mergeCell ref="T5:T6"/>
    <mergeCell ref="U5:U6"/>
    <mergeCell ref="W5:W6"/>
    <mergeCell ref="AD5:AD6"/>
    <mergeCell ref="X21:X22"/>
    <mergeCell ref="AB21:AB22"/>
    <mergeCell ref="X39:X40"/>
    <mergeCell ref="AF5:AF6"/>
    <mergeCell ref="O5:O6"/>
    <mergeCell ref="A5:A6"/>
    <mergeCell ref="B5:B6"/>
    <mergeCell ref="C5:C6"/>
    <mergeCell ref="D5:D6"/>
    <mergeCell ref="E5:E6"/>
    <mergeCell ref="G5:G6"/>
    <mergeCell ref="P5:P6"/>
    <mergeCell ref="K5:L5"/>
    <mergeCell ref="F5:F6"/>
    <mergeCell ref="H5:H6"/>
    <mergeCell ref="I5:J5"/>
  </mergeCells>
  <pageMargins left="0.17" right="0" top="0.74803149606299213" bottom="0.74803149606299213" header="0.31496062992125984" footer="0.31496062992125984"/>
  <pageSetup paperSize="9" scale="91" orientation="landscape" horizontalDpi="180" verticalDpi="180" r:id="rId1"/>
  <ignoredErrors>
    <ignoredError sqref="H14 H30" formula="1"/>
    <ignoredError sqref="I15:J17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0"/>
  <sheetViews>
    <sheetView topLeftCell="B1" zoomScaleNormal="100" workbookViewId="0">
      <selection activeCell="T4" sqref="T4:T5"/>
    </sheetView>
  </sheetViews>
  <sheetFormatPr defaultRowHeight="15.75" x14ac:dyDescent="0.25"/>
  <cols>
    <col min="1" max="1" width="4.28515625" customWidth="1"/>
    <col min="2" max="2" width="18.42578125" customWidth="1"/>
    <col min="3" max="3" width="9.28515625" customWidth="1"/>
    <col min="4" max="4" width="7.42578125" customWidth="1"/>
    <col min="5" max="5" width="7.140625" customWidth="1"/>
    <col min="6" max="6" width="8.140625" customWidth="1"/>
    <col min="7" max="7" width="10" customWidth="1"/>
    <col min="8" max="8" width="11.140625" customWidth="1"/>
    <col min="9" max="9" width="11.28515625" customWidth="1"/>
    <col min="10" max="10" width="13" customWidth="1"/>
    <col min="11" max="13" width="12" customWidth="1"/>
    <col min="14" max="14" width="11.28515625" customWidth="1"/>
    <col min="15" max="15" width="12" customWidth="1"/>
    <col min="16" max="16" width="9.85546875" customWidth="1"/>
    <col min="17" max="17" width="12.140625" customWidth="1"/>
    <col min="18" max="18" width="11.5703125" customWidth="1"/>
    <col min="19" max="19" width="11" customWidth="1"/>
    <col min="20" max="20" width="11.140625" customWidth="1"/>
    <col min="21" max="22" width="10.5703125" customWidth="1"/>
    <col min="23" max="23" width="10.28515625" customWidth="1"/>
    <col min="24" max="24" width="9.85546875" customWidth="1"/>
    <col min="25" max="25" width="9.140625" customWidth="1"/>
    <col min="26" max="26" width="8.7109375" customWidth="1"/>
    <col min="27" max="27" width="8.5703125" customWidth="1"/>
    <col min="28" max="29" width="9" customWidth="1"/>
    <col min="30" max="30" width="8.7109375" customWidth="1"/>
    <col min="31" max="31" width="10.5703125" customWidth="1"/>
    <col min="32" max="32" width="11.7109375" customWidth="1"/>
    <col min="33" max="33" width="13.5703125" customWidth="1"/>
    <col min="34" max="37" width="10.7109375" customWidth="1"/>
    <col min="38" max="38" width="10.28515625" customWidth="1"/>
    <col min="39" max="39" width="10.7109375" customWidth="1"/>
    <col min="40" max="40" width="11.28515625" customWidth="1"/>
    <col min="41" max="41" width="10.28515625" customWidth="1"/>
    <col min="42" max="42" width="11.5703125" customWidth="1"/>
    <col min="43" max="43" width="10.42578125" customWidth="1"/>
    <col min="44" max="44" width="13.7109375" style="40" customWidth="1"/>
    <col min="45" max="45" width="9.140625" customWidth="1"/>
  </cols>
  <sheetData>
    <row r="1" spans="1:45" ht="18.75" x14ac:dyDescent="0.3">
      <c r="B1" s="74" t="s">
        <v>582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1"/>
      <c r="O1" s="1"/>
    </row>
    <row r="2" spans="1:45" ht="18" x14ac:dyDescent="0.25">
      <c r="A2" s="17"/>
      <c r="B2" s="1"/>
      <c r="C2" s="58"/>
      <c r="D2" s="1"/>
      <c r="E2" s="1"/>
      <c r="F2" s="613" t="s">
        <v>601</v>
      </c>
      <c r="G2" s="1"/>
      <c r="H2" s="1"/>
      <c r="I2" s="1"/>
      <c r="J2" s="1"/>
      <c r="K2" s="1"/>
      <c r="L2" s="1"/>
      <c r="M2" s="1"/>
      <c r="N2" s="1"/>
      <c r="O2" s="1"/>
    </row>
    <row r="3" spans="1:45" ht="18" x14ac:dyDescent="0.25">
      <c r="A3" s="1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AA3" s="1"/>
      <c r="AF3" s="250"/>
      <c r="AG3" s="250"/>
      <c r="AH3" s="250"/>
    </row>
    <row r="4" spans="1:45" ht="39.75" customHeight="1" x14ac:dyDescent="0.25">
      <c r="A4" s="2020" t="s">
        <v>0</v>
      </c>
      <c r="B4" s="2020" t="s">
        <v>184</v>
      </c>
      <c r="C4" s="2020" t="s">
        <v>54</v>
      </c>
      <c r="D4" s="2020" t="s">
        <v>55</v>
      </c>
      <c r="E4" s="2020" t="s">
        <v>56</v>
      </c>
      <c r="F4" s="2020" t="s">
        <v>57</v>
      </c>
      <c r="G4" s="2241" t="s">
        <v>6</v>
      </c>
      <c r="H4" s="2097" t="s">
        <v>593</v>
      </c>
      <c r="I4" s="2060"/>
      <c r="J4" s="1989" t="s">
        <v>310</v>
      </c>
      <c r="K4" s="1990"/>
      <c r="L4" s="2017" t="s">
        <v>598</v>
      </c>
      <c r="M4" s="2017"/>
      <c r="N4" s="1987" t="s">
        <v>181</v>
      </c>
      <c r="O4" s="1987" t="s">
        <v>370</v>
      </c>
      <c r="P4" s="1987" t="s">
        <v>333</v>
      </c>
      <c r="Q4" s="2003" t="s">
        <v>578</v>
      </c>
      <c r="R4" s="2003" t="s">
        <v>586</v>
      </c>
      <c r="S4" s="2003" t="s">
        <v>10</v>
      </c>
      <c r="T4" s="2003" t="s">
        <v>337</v>
      </c>
      <c r="U4" s="2194" t="s">
        <v>461</v>
      </c>
      <c r="V4" s="2009" t="s">
        <v>321</v>
      </c>
      <c r="W4" s="2009" t="s">
        <v>554</v>
      </c>
      <c r="X4" s="2009" t="s">
        <v>431</v>
      </c>
      <c r="Y4" s="2005" t="s">
        <v>338</v>
      </c>
      <c r="Z4" s="1987" t="s">
        <v>369</v>
      </c>
      <c r="AA4" s="1987" t="s">
        <v>175</v>
      </c>
      <c r="AB4" s="2005" t="s">
        <v>610</v>
      </c>
      <c r="AC4" s="2005" t="s">
        <v>611</v>
      </c>
      <c r="AD4" s="2001" t="s">
        <v>182</v>
      </c>
      <c r="AE4" s="1999" t="s">
        <v>544</v>
      </c>
      <c r="AF4" s="1995" t="s">
        <v>566</v>
      </c>
      <c r="AG4" s="250"/>
      <c r="AH4" s="250"/>
      <c r="AI4" s="2209"/>
      <c r="AJ4" s="62"/>
      <c r="AK4" s="62"/>
      <c r="AL4" s="2210"/>
      <c r="AM4" s="2210"/>
      <c r="AN4" s="2192"/>
      <c r="AO4" s="2192"/>
      <c r="AP4" s="63"/>
      <c r="AQ4" s="63"/>
      <c r="AR4" s="64"/>
      <c r="AS4" s="2208"/>
    </row>
    <row r="5" spans="1:45" ht="51.75" customHeight="1" x14ac:dyDescent="0.25">
      <c r="A5" s="2021"/>
      <c r="B5" s="2021"/>
      <c r="C5" s="2021"/>
      <c r="D5" s="2021"/>
      <c r="E5" s="2021"/>
      <c r="F5" s="2021"/>
      <c r="G5" s="2242"/>
      <c r="H5" s="150" t="s">
        <v>15</v>
      </c>
      <c r="I5" s="612" t="s">
        <v>16</v>
      </c>
      <c r="J5" s="150" t="s">
        <v>15</v>
      </c>
      <c r="K5" s="159" t="s">
        <v>16</v>
      </c>
      <c r="L5" s="150" t="s">
        <v>15</v>
      </c>
      <c r="M5" s="612" t="s">
        <v>16</v>
      </c>
      <c r="N5" s="1988"/>
      <c r="O5" s="1988"/>
      <c r="P5" s="1988"/>
      <c r="Q5" s="2004"/>
      <c r="R5" s="2004"/>
      <c r="S5" s="2004"/>
      <c r="T5" s="2004"/>
      <c r="U5" s="2195"/>
      <c r="V5" s="2009"/>
      <c r="W5" s="2009"/>
      <c r="X5" s="2009"/>
      <c r="Y5" s="2006"/>
      <c r="Z5" s="1988"/>
      <c r="AA5" s="1988"/>
      <c r="AB5" s="2006"/>
      <c r="AC5" s="2006"/>
      <c r="AD5" s="2002"/>
      <c r="AE5" s="2000"/>
      <c r="AF5" s="1996"/>
      <c r="AG5" s="250"/>
      <c r="AH5" s="250"/>
      <c r="AI5" s="2209"/>
      <c r="AJ5" s="62"/>
      <c r="AK5" s="62"/>
      <c r="AL5" s="2210"/>
      <c r="AM5" s="2210"/>
      <c r="AN5" s="65"/>
      <c r="AO5" s="65"/>
      <c r="AP5" s="65"/>
      <c r="AQ5" s="65"/>
      <c r="AR5" s="64"/>
      <c r="AS5" s="2208"/>
    </row>
    <row r="6" spans="1:45" s="59" customFormat="1" x14ac:dyDescent="0.25">
      <c r="A6" s="60">
        <v>1</v>
      </c>
      <c r="B6" s="41" t="s">
        <v>90</v>
      </c>
      <c r="C6" s="702">
        <v>1967</v>
      </c>
      <c r="D6" s="702">
        <v>1</v>
      </c>
      <c r="E6" s="702">
        <v>2</v>
      </c>
      <c r="F6" s="349">
        <v>2</v>
      </c>
      <c r="G6" s="728">
        <v>34.9</v>
      </c>
      <c r="H6" s="728">
        <v>0</v>
      </c>
      <c r="I6" s="728">
        <v>0</v>
      </c>
      <c r="J6" s="728">
        <v>1182.4000000000001</v>
      </c>
      <c r="K6" s="728">
        <v>1182.4000000000001</v>
      </c>
      <c r="L6" s="728">
        <f>H6+J6</f>
        <v>1182.4000000000001</v>
      </c>
      <c r="M6" s="728">
        <f>I6+K6</f>
        <v>1182.4000000000001</v>
      </c>
      <c r="N6" s="729">
        <f>O6+P6+Q6+R6+S6+T6+U6+V6+W6+X6+Y6+Z6</f>
        <v>651.78580781296046</v>
      </c>
      <c r="O6" s="730"/>
      <c r="P6" s="730">
        <f>9921.63/15652.35*G6</f>
        <v>22.122230016578975</v>
      </c>
      <c r="Q6" s="731">
        <f>7978.56/15652.35*G6</f>
        <v>17.789772398393854</v>
      </c>
      <c r="R6" s="731">
        <f>1000/15652.35*G6</f>
        <v>2.2296971381294179</v>
      </c>
      <c r="S6" s="732"/>
      <c r="T6" s="730"/>
      <c r="U6" s="730">
        <f>177306.57/564520.98*J6</f>
        <v>371.37200528490553</v>
      </c>
      <c r="V6" s="733"/>
      <c r="W6" s="733">
        <f>V6*0.302</f>
        <v>0</v>
      </c>
      <c r="X6" s="733">
        <f>20422.17/15652.35*G6</f>
        <v>45.535254003392453</v>
      </c>
      <c r="Y6" s="730"/>
      <c r="Z6" s="734">
        <f>86440.82/15652.35*G6</f>
        <v>192.73684897156019</v>
      </c>
      <c r="AA6" s="735">
        <f>L6-N6</f>
        <v>530.61419218703963</v>
      </c>
      <c r="AB6" s="648">
        <f>K6/J6*100</f>
        <v>100</v>
      </c>
      <c r="AC6" s="648">
        <v>0</v>
      </c>
      <c r="AD6" s="648">
        <f>N6/G6/4</f>
        <v>4.6689527780298032</v>
      </c>
      <c r="AE6" s="648">
        <v>8.4700000000000006</v>
      </c>
      <c r="AF6" s="736">
        <f>L6-M6</f>
        <v>0</v>
      </c>
      <c r="AG6" s="250"/>
      <c r="AH6" s="250"/>
      <c r="AI6" s="35"/>
      <c r="AJ6" s="30"/>
      <c r="AK6" s="67"/>
      <c r="AL6" s="67"/>
      <c r="AM6" s="67"/>
      <c r="AN6" s="68"/>
      <c r="AO6" s="67"/>
      <c r="AP6" s="69"/>
      <c r="AQ6" s="67"/>
      <c r="AR6" s="70"/>
      <c r="AS6" s="35"/>
    </row>
    <row r="7" spans="1:45" s="59" customFormat="1" x14ac:dyDescent="0.25">
      <c r="A7" s="6">
        <v>2</v>
      </c>
      <c r="B7" s="43" t="s">
        <v>91</v>
      </c>
      <c r="C7" s="737">
        <v>1962</v>
      </c>
      <c r="D7" s="737">
        <v>1</v>
      </c>
      <c r="E7" s="737">
        <v>2</v>
      </c>
      <c r="F7" s="708">
        <v>5</v>
      </c>
      <c r="G7" s="738">
        <v>72.599999999999994</v>
      </c>
      <c r="H7" s="738">
        <v>0</v>
      </c>
      <c r="I7" s="738">
        <v>0</v>
      </c>
      <c r="J7" s="728">
        <v>2459.7199999999998</v>
      </c>
      <c r="K7" s="728">
        <v>1214.71</v>
      </c>
      <c r="L7" s="728">
        <f t="shared" ref="L7:L40" si="0">H7+J7</f>
        <v>2459.7199999999998</v>
      </c>
      <c r="M7" s="728">
        <f t="shared" ref="M7:M40" si="1">I7+K7</f>
        <v>1214.71</v>
      </c>
      <c r="N7" s="729">
        <f t="shared" ref="N7:N41" si="2">O7+P7+Q7+R7+S7+T7+U7+V7+W7+X7+Y7+Z7</f>
        <v>1355.8817777843065</v>
      </c>
      <c r="O7" s="730"/>
      <c r="P7" s="730">
        <f t="shared" ref="P7:P40" si="3">9921.63/15652.35*G7</f>
        <v>46.019309432768871</v>
      </c>
      <c r="Q7" s="731">
        <f t="shared" ref="Q7:Q40" si="4">7978.56/15652.35*G7</f>
        <v>37.006804473449677</v>
      </c>
      <c r="R7" s="731">
        <f t="shared" ref="R7:R40" si="5">1000/15652.35*G7</f>
        <v>4.6382811526703653</v>
      </c>
      <c r="S7" s="732"/>
      <c r="T7" s="730"/>
      <c r="U7" s="730">
        <f t="shared" ref="U7:U40" si="6">177306.57/564520.98*J7</f>
        <v>772.55679029041585</v>
      </c>
      <c r="V7" s="733"/>
      <c r="W7" s="733">
        <f t="shared" ref="W7:W15" si="7">V7*0.302</f>
        <v>0</v>
      </c>
      <c r="X7" s="733">
        <f t="shared" ref="X7:X40" si="8">20422.17/15652.35*G7</f>
        <v>94.723766207630149</v>
      </c>
      <c r="Y7" s="730"/>
      <c r="Z7" s="734">
        <f t="shared" ref="Z7:Z40" si="9">86440.82/15652.35*G7</f>
        <v>400.93682622737163</v>
      </c>
      <c r="AA7" s="735">
        <f t="shared" ref="AA7:AA40" si="10">L7-N7</f>
        <v>1103.8382222156933</v>
      </c>
      <c r="AB7" s="648">
        <f t="shared" ref="AB7:AB41" si="11">K7/J7*100</f>
        <v>49.384076236319586</v>
      </c>
      <c r="AC7" s="648">
        <v>0</v>
      </c>
      <c r="AD7" s="648">
        <f t="shared" ref="AD7:AD41" si="12">N7/G7/4</f>
        <v>4.6690143863095956</v>
      </c>
      <c r="AE7" s="648">
        <v>8.4700000000000006</v>
      </c>
      <c r="AF7" s="736">
        <f t="shared" ref="AF7:AF41" si="13">L7-M7</f>
        <v>1245.0099999999998</v>
      </c>
      <c r="AG7" s="250"/>
      <c r="AH7" s="250"/>
      <c r="AI7" s="35"/>
      <c r="AJ7" s="30"/>
      <c r="AK7" s="67"/>
      <c r="AL7" s="67"/>
      <c r="AM7" s="67"/>
      <c r="AN7" s="68"/>
      <c r="AO7" s="67"/>
      <c r="AP7" s="68"/>
      <c r="AQ7" s="35"/>
      <c r="AR7" s="70"/>
      <c r="AS7" s="35"/>
    </row>
    <row r="8" spans="1:45" s="59" customFormat="1" x14ac:dyDescent="0.25">
      <c r="A8" s="6">
        <v>3</v>
      </c>
      <c r="B8" s="43" t="s">
        <v>92</v>
      </c>
      <c r="C8" s="737">
        <v>1983</v>
      </c>
      <c r="D8" s="737">
        <v>1</v>
      </c>
      <c r="E8" s="737">
        <v>2</v>
      </c>
      <c r="F8" s="349">
        <v>4</v>
      </c>
      <c r="G8" s="738">
        <v>80</v>
      </c>
      <c r="H8" s="738">
        <v>0</v>
      </c>
      <c r="I8" s="738">
        <v>0</v>
      </c>
      <c r="J8" s="728">
        <v>524.20000000000005</v>
      </c>
      <c r="K8" s="728">
        <v>341.34</v>
      </c>
      <c r="L8" s="728">
        <f t="shared" si="0"/>
        <v>524.20000000000005</v>
      </c>
      <c r="M8" s="728">
        <f t="shared" si="1"/>
        <v>341.34</v>
      </c>
      <c r="N8" s="729">
        <f t="shared" si="2"/>
        <v>807.42478193007707</v>
      </c>
      <c r="O8" s="730"/>
      <c r="P8" s="730">
        <f t="shared" si="3"/>
        <v>50.709982846026307</v>
      </c>
      <c r="Q8" s="731">
        <f t="shared" si="4"/>
        <v>40.778847904627746</v>
      </c>
      <c r="R8" s="731">
        <f t="shared" si="5"/>
        <v>5.1110536117579786</v>
      </c>
      <c r="S8" s="732"/>
      <c r="T8" s="730"/>
      <c r="U8" s="730">
        <f t="shared" si="6"/>
        <v>164.64242656490822</v>
      </c>
      <c r="V8" s="733"/>
      <c r="W8" s="733">
        <f t="shared" si="7"/>
        <v>0</v>
      </c>
      <c r="X8" s="733">
        <f t="shared" si="8"/>
        <v>104.37880573843543</v>
      </c>
      <c r="Y8" s="730"/>
      <c r="Z8" s="734">
        <f t="shared" si="9"/>
        <v>441.80366526432135</v>
      </c>
      <c r="AA8" s="735">
        <f t="shared" si="10"/>
        <v>-283.22478193007703</v>
      </c>
      <c r="AB8" s="648">
        <f t="shared" si="11"/>
        <v>65.116367798550158</v>
      </c>
      <c r="AC8" s="648">
        <v>0</v>
      </c>
      <c r="AD8" s="648">
        <f t="shared" si="12"/>
        <v>2.523202443531491</v>
      </c>
      <c r="AE8" s="648">
        <v>8.4700000000000006</v>
      </c>
      <c r="AF8" s="736">
        <f t="shared" si="13"/>
        <v>182.86000000000007</v>
      </c>
      <c r="AG8" s="250"/>
      <c r="AH8" s="250"/>
      <c r="AI8" s="35"/>
      <c r="AJ8" s="30"/>
      <c r="AK8" s="67"/>
      <c r="AL8" s="67"/>
      <c r="AM8" s="67"/>
      <c r="AN8" s="68"/>
      <c r="AO8" s="67"/>
      <c r="AP8" s="68"/>
      <c r="AQ8" s="35"/>
      <c r="AR8" s="70"/>
      <c r="AS8" s="35"/>
    </row>
    <row r="9" spans="1:45" s="59" customFormat="1" x14ac:dyDescent="0.25">
      <c r="A9" s="6">
        <v>4</v>
      </c>
      <c r="B9" s="43" t="s">
        <v>93</v>
      </c>
      <c r="C9" s="737">
        <v>1963</v>
      </c>
      <c r="D9" s="737">
        <v>1</v>
      </c>
      <c r="E9" s="737">
        <v>2</v>
      </c>
      <c r="F9" s="708">
        <v>5</v>
      </c>
      <c r="G9" s="738">
        <v>114.5</v>
      </c>
      <c r="H9" s="738">
        <v>0</v>
      </c>
      <c r="I9" s="738">
        <v>0</v>
      </c>
      <c r="J9" s="728">
        <v>-1763.3</v>
      </c>
      <c r="K9" s="728">
        <v>518.29</v>
      </c>
      <c r="L9" s="728">
        <f t="shared" si="0"/>
        <v>-1763.3</v>
      </c>
      <c r="M9" s="728">
        <f t="shared" si="1"/>
        <v>518.29</v>
      </c>
      <c r="N9" s="729">
        <f t="shared" si="2"/>
        <v>366.15929540693082</v>
      </c>
      <c r="O9" s="730"/>
      <c r="P9" s="730">
        <f t="shared" si="3"/>
        <v>72.578662948375154</v>
      </c>
      <c r="Q9" s="731">
        <f t="shared" si="4"/>
        <v>58.364726063498459</v>
      </c>
      <c r="R9" s="731">
        <f t="shared" si="5"/>
        <v>7.3151954818286065</v>
      </c>
      <c r="S9" s="732"/>
      <c r="T9" s="730"/>
      <c r="U9" s="730">
        <f t="shared" si="6"/>
        <v>-553.82295070946702</v>
      </c>
      <c r="V9" s="733"/>
      <c r="W9" s="733">
        <f t="shared" si="7"/>
        <v>0</v>
      </c>
      <c r="X9" s="733">
        <f t="shared" si="8"/>
        <v>149.39216571313571</v>
      </c>
      <c r="Y9" s="730"/>
      <c r="Z9" s="734">
        <f t="shared" si="9"/>
        <v>632.33149590955998</v>
      </c>
      <c r="AA9" s="735">
        <f t="shared" si="10"/>
        <v>-2129.4592954069308</v>
      </c>
      <c r="AB9" s="648">
        <f t="shared" si="11"/>
        <v>-29.393183235977993</v>
      </c>
      <c r="AC9" s="648">
        <v>0</v>
      </c>
      <c r="AD9" s="648">
        <f t="shared" si="12"/>
        <v>0.79947444411993629</v>
      </c>
      <c r="AE9" s="648">
        <v>7.7</v>
      </c>
      <c r="AF9" s="736">
        <f t="shared" si="13"/>
        <v>-2281.59</v>
      </c>
      <c r="AG9" s="250"/>
      <c r="AH9" s="250"/>
      <c r="AI9" s="35"/>
      <c r="AJ9" s="30"/>
      <c r="AK9" s="67"/>
      <c r="AL9" s="67"/>
      <c r="AM9" s="67"/>
      <c r="AN9" s="68"/>
      <c r="AO9" s="67"/>
      <c r="AP9" s="68"/>
      <c r="AQ9" s="35"/>
      <c r="AR9" s="70"/>
      <c r="AS9" s="35"/>
    </row>
    <row r="10" spans="1:45" s="59" customFormat="1" x14ac:dyDescent="0.25">
      <c r="A10" s="6">
        <v>5</v>
      </c>
      <c r="B10" s="43" t="s">
        <v>94</v>
      </c>
      <c r="C10" s="737">
        <v>1963</v>
      </c>
      <c r="D10" s="737">
        <v>1</v>
      </c>
      <c r="E10" s="737">
        <v>1</v>
      </c>
      <c r="F10" s="349">
        <v>2</v>
      </c>
      <c r="G10" s="738">
        <v>47.8</v>
      </c>
      <c r="H10" s="738">
        <v>0</v>
      </c>
      <c r="I10" s="738">
        <v>0</v>
      </c>
      <c r="J10" s="728">
        <v>1664.36</v>
      </c>
      <c r="K10" s="728">
        <v>1664.36</v>
      </c>
      <c r="L10" s="728">
        <f t="shared" si="0"/>
        <v>1664.36</v>
      </c>
      <c r="M10" s="728">
        <f t="shared" si="1"/>
        <v>1664.36</v>
      </c>
      <c r="N10" s="729">
        <f t="shared" si="2"/>
        <v>906.81001375489791</v>
      </c>
      <c r="O10" s="730"/>
      <c r="P10" s="730">
        <f t="shared" si="3"/>
        <v>30.299214750500717</v>
      </c>
      <c r="Q10" s="731">
        <f t="shared" si="4"/>
        <v>24.365361623015076</v>
      </c>
      <c r="R10" s="731">
        <f t="shared" si="5"/>
        <v>3.0538545330253921</v>
      </c>
      <c r="S10" s="732"/>
      <c r="T10" s="730"/>
      <c r="U10" s="730">
        <f t="shared" si="6"/>
        <v>522.74755642420951</v>
      </c>
      <c r="V10" s="733"/>
      <c r="W10" s="733">
        <f t="shared" si="7"/>
        <v>0</v>
      </c>
      <c r="X10" s="733">
        <f t="shared" si="8"/>
        <v>62.366336428715165</v>
      </c>
      <c r="Y10" s="730"/>
      <c r="Z10" s="734">
        <f t="shared" si="9"/>
        <v>263.977689995432</v>
      </c>
      <c r="AA10" s="735">
        <f t="shared" si="10"/>
        <v>757.54998624510199</v>
      </c>
      <c r="AB10" s="648">
        <f t="shared" si="11"/>
        <v>100</v>
      </c>
      <c r="AC10" s="648">
        <v>0</v>
      </c>
      <c r="AD10" s="648">
        <f t="shared" si="12"/>
        <v>4.7427301974628557</v>
      </c>
      <c r="AE10" s="648">
        <v>8.44</v>
      </c>
      <c r="AF10" s="736">
        <f t="shared" si="13"/>
        <v>0</v>
      </c>
      <c r="AG10" s="250"/>
      <c r="AH10" s="250"/>
      <c r="AI10" s="35"/>
      <c r="AJ10" s="30"/>
      <c r="AK10" s="67"/>
      <c r="AL10" s="67"/>
      <c r="AM10" s="67"/>
      <c r="AN10" s="68"/>
      <c r="AO10" s="67"/>
      <c r="AP10" s="68"/>
      <c r="AQ10" s="35"/>
      <c r="AR10" s="70"/>
      <c r="AS10" s="35"/>
    </row>
    <row r="11" spans="1:45" s="59" customFormat="1" x14ac:dyDescent="0.25">
      <c r="A11" s="6">
        <v>6</v>
      </c>
      <c r="B11" s="43" t="s">
        <v>95</v>
      </c>
      <c r="C11" s="737">
        <v>1983</v>
      </c>
      <c r="D11" s="737">
        <v>1</v>
      </c>
      <c r="E11" s="737">
        <v>1</v>
      </c>
      <c r="F11" s="708">
        <v>4</v>
      </c>
      <c r="G11" s="738">
        <v>47.9</v>
      </c>
      <c r="H11" s="738">
        <v>0</v>
      </c>
      <c r="I11" s="738">
        <v>0</v>
      </c>
      <c r="J11" s="728">
        <v>1532.72</v>
      </c>
      <c r="K11" s="728">
        <v>0</v>
      </c>
      <c r="L11" s="728">
        <f t="shared" si="0"/>
        <v>1532.72</v>
      </c>
      <c r="M11" s="728">
        <f t="shared" si="1"/>
        <v>0</v>
      </c>
      <c r="N11" s="729">
        <f t="shared" si="2"/>
        <v>866.26757595510492</v>
      </c>
      <c r="O11" s="730"/>
      <c r="P11" s="730">
        <f t="shared" si="3"/>
        <v>30.36260222905825</v>
      </c>
      <c r="Q11" s="731">
        <f t="shared" si="4"/>
        <v>24.41633518289586</v>
      </c>
      <c r="R11" s="731">
        <f t="shared" si="5"/>
        <v>3.0602433500400896</v>
      </c>
      <c r="S11" s="732"/>
      <c r="T11" s="730"/>
      <c r="U11" s="730">
        <f t="shared" si="6"/>
        <v>481.40164068021005</v>
      </c>
      <c r="V11" s="733"/>
      <c r="W11" s="733">
        <f t="shared" si="7"/>
        <v>0</v>
      </c>
      <c r="X11" s="733">
        <f t="shared" si="8"/>
        <v>62.496809935888216</v>
      </c>
      <c r="Y11" s="730"/>
      <c r="Z11" s="734">
        <f t="shared" si="9"/>
        <v>264.52994457701243</v>
      </c>
      <c r="AA11" s="735">
        <f t="shared" si="10"/>
        <v>666.45242404489511</v>
      </c>
      <c r="AB11" s="648">
        <f t="shared" si="11"/>
        <v>0</v>
      </c>
      <c r="AC11" s="648">
        <v>0</v>
      </c>
      <c r="AD11" s="648">
        <f t="shared" si="12"/>
        <v>4.5212295195986689</v>
      </c>
      <c r="AE11" s="648">
        <v>8.44</v>
      </c>
      <c r="AF11" s="736">
        <f t="shared" si="13"/>
        <v>1532.72</v>
      </c>
      <c r="AG11" s="250"/>
      <c r="AH11" s="250"/>
      <c r="AI11" s="35"/>
      <c r="AJ11" s="30"/>
      <c r="AK11" s="67"/>
      <c r="AL11" s="67"/>
      <c r="AM11" s="67"/>
      <c r="AN11" s="68"/>
      <c r="AO11" s="67"/>
      <c r="AP11" s="68"/>
      <c r="AQ11" s="35"/>
      <c r="AR11" s="70"/>
      <c r="AS11" s="35"/>
    </row>
    <row r="12" spans="1:45" s="59" customFormat="1" ht="15" customHeight="1" x14ac:dyDescent="0.25">
      <c r="A12" s="6">
        <v>7</v>
      </c>
      <c r="B12" s="43" t="s">
        <v>96</v>
      </c>
      <c r="C12" s="737">
        <v>1963</v>
      </c>
      <c r="D12" s="737">
        <v>1</v>
      </c>
      <c r="E12" s="737">
        <v>1</v>
      </c>
      <c r="F12" s="708">
        <v>4</v>
      </c>
      <c r="G12" s="738">
        <v>53.6</v>
      </c>
      <c r="H12" s="738">
        <v>0</v>
      </c>
      <c r="I12" s="738">
        <v>0</v>
      </c>
      <c r="J12" s="728">
        <v>1809.52</v>
      </c>
      <c r="K12" s="728">
        <v>1809.52</v>
      </c>
      <c r="L12" s="728">
        <f t="shared" si="0"/>
        <v>1809.52</v>
      </c>
      <c r="M12" s="728">
        <f t="shared" si="1"/>
        <v>1809.52</v>
      </c>
      <c r="N12" s="729">
        <f t="shared" si="2"/>
        <v>999.00405546538559</v>
      </c>
      <c r="O12" s="730"/>
      <c r="P12" s="730">
        <f t="shared" si="3"/>
        <v>33.975688506837628</v>
      </c>
      <c r="Q12" s="731">
        <f t="shared" si="4"/>
        <v>27.321828096100589</v>
      </c>
      <c r="R12" s="731">
        <f t="shared" si="5"/>
        <v>3.4244059198778456</v>
      </c>
      <c r="S12" s="732"/>
      <c r="T12" s="730"/>
      <c r="U12" s="730">
        <f t="shared" si="6"/>
        <v>568.33987737072243</v>
      </c>
      <c r="V12" s="733"/>
      <c r="W12" s="733">
        <f t="shared" si="7"/>
        <v>0</v>
      </c>
      <c r="X12" s="733">
        <f t="shared" si="8"/>
        <v>69.933799844751746</v>
      </c>
      <c r="Y12" s="730"/>
      <c r="Z12" s="734">
        <f t="shared" si="9"/>
        <v>296.00845572709534</v>
      </c>
      <c r="AA12" s="735">
        <f t="shared" si="10"/>
        <v>810.51594453461439</v>
      </c>
      <c r="AB12" s="648">
        <f t="shared" si="11"/>
        <v>100</v>
      </c>
      <c r="AC12" s="648">
        <v>0</v>
      </c>
      <c r="AD12" s="648">
        <f t="shared" si="12"/>
        <v>4.6595338407900444</v>
      </c>
      <c r="AE12" s="648">
        <v>8.44</v>
      </c>
      <c r="AF12" s="736">
        <f t="shared" si="13"/>
        <v>0</v>
      </c>
      <c r="AG12" s="250"/>
      <c r="AH12" s="250"/>
      <c r="AI12" s="35"/>
      <c r="AJ12" s="30"/>
      <c r="AK12" s="67"/>
      <c r="AL12" s="67"/>
      <c r="AM12" s="67"/>
      <c r="AN12" s="68"/>
      <c r="AO12" s="67"/>
      <c r="AP12" s="68"/>
      <c r="AQ12" s="35"/>
      <c r="AR12" s="70"/>
      <c r="AS12" s="35"/>
    </row>
    <row r="13" spans="1:45" s="59" customFormat="1" x14ac:dyDescent="0.25">
      <c r="A13" s="6">
        <v>8</v>
      </c>
      <c r="B13" s="43" t="s">
        <v>97</v>
      </c>
      <c r="C13" s="737">
        <v>1967</v>
      </c>
      <c r="D13" s="737">
        <v>1</v>
      </c>
      <c r="E13" s="737">
        <v>2</v>
      </c>
      <c r="F13" s="349">
        <v>4</v>
      </c>
      <c r="G13" s="738">
        <v>49.4</v>
      </c>
      <c r="H13" s="738">
        <v>0</v>
      </c>
      <c r="I13" s="738">
        <v>0</v>
      </c>
      <c r="J13" s="728">
        <v>905</v>
      </c>
      <c r="K13" s="728">
        <v>905</v>
      </c>
      <c r="L13" s="728">
        <f t="shared" si="0"/>
        <v>905</v>
      </c>
      <c r="M13" s="728">
        <f t="shared" si="1"/>
        <v>905</v>
      </c>
      <c r="N13" s="729">
        <f t="shared" si="2"/>
        <v>681.16342309736206</v>
      </c>
      <c r="O13" s="730"/>
      <c r="P13" s="730">
        <f t="shared" si="3"/>
        <v>31.313414407421245</v>
      </c>
      <c r="Q13" s="731">
        <f t="shared" si="4"/>
        <v>25.180938581107633</v>
      </c>
      <c r="R13" s="731">
        <f t="shared" si="5"/>
        <v>3.1560756052605519</v>
      </c>
      <c r="S13" s="732"/>
      <c r="T13" s="730"/>
      <c r="U13" s="730">
        <f t="shared" si="6"/>
        <v>284.2453186593703</v>
      </c>
      <c r="V13" s="733"/>
      <c r="W13" s="733">
        <f t="shared" si="7"/>
        <v>0</v>
      </c>
      <c r="X13" s="733">
        <f t="shared" si="8"/>
        <v>64.453912543483881</v>
      </c>
      <c r="Y13" s="730"/>
      <c r="Z13" s="734">
        <f t="shared" si="9"/>
        <v>272.81376330071845</v>
      </c>
      <c r="AA13" s="735">
        <f t="shared" si="10"/>
        <v>223.83657690263794</v>
      </c>
      <c r="AB13" s="648">
        <f t="shared" si="11"/>
        <v>100</v>
      </c>
      <c r="AC13" s="648">
        <v>0</v>
      </c>
      <c r="AD13" s="648">
        <f t="shared" si="12"/>
        <v>3.4471833152700508</v>
      </c>
      <c r="AE13" s="648">
        <v>4.58</v>
      </c>
      <c r="AF13" s="736">
        <f t="shared" si="13"/>
        <v>0</v>
      </c>
      <c r="AG13" s="250"/>
      <c r="AH13" s="250"/>
      <c r="AI13" s="35"/>
      <c r="AJ13" s="30"/>
      <c r="AK13" s="67"/>
      <c r="AL13" s="67"/>
      <c r="AM13" s="67"/>
      <c r="AN13" s="68"/>
      <c r="AO13" s="67"/>
      <c r="AP13" s="68"/>
      <c r="AQ13" s="35"/>
      <c r="AR13" s="70"/>
      <c r="AS13" s="35"/>
    </row>
    <row r="14" spans="1:45" s="59" customFormat="1" x14ac:dyDescent="0.25">
      <c r="A14" s="6">
        <v>9</v>
      </c>
      <c r="B14" s="43" t="s">
        <v>98</v>
      </c>
      <c r="C14" s="737">
        <v>1972</v>
      </c>
      <c r="D14" s="737">
        <v>1</v>
      </c>
      <c r="E14" s="737">
        <v>1</v>
      </c>
      <c r="F14" s="708">
        <v>3</v>
      </c>
      <c r="G14" s="738">
        <v>24.6</v>
      </c>
      <c r="H14" s="738">
        <v>0</v>
      </c>
      <c r="I14" s="738">
        <v>0</v>
      </c>
      <c r="J14" s="728">
        <v>450.68</v>
      </c>
      <c r="K14" s="728">
        <v>338.01</v>
      </c>
      <c r="L14" s="728">
        <f t="shared" si="0"/>
        <v>450.68</v>
      </c>
      <c r="M14" s="728">
        <f t="shared" si="1"/>
        <v>338.01</v>
      </c>
      <c r="N14" s="729">
        <f t="shared" si="2"/>
        <v>339.20660213490544</v>
      </c>
      <c r="O14" s="730"/>
      <c r="P14" s="730">
        <f t="shared" si="3"/>
        <v>15.593319725153091</v>
      </c>
      <c r="Q14" s="731">
        <f t="shared" si="4"/>
        <v>12.539495730673032</v>
      </c>
      <c r="R14" s="731">
        <f t="shared" si="5"/>
        <v>1.5716489856155784</v>
      </c>
      <c r="S14" s="732"/>
      <c r="T14" s="730"/>
      <c r="U14" s="730">
        <f t="shared" si="6"/>
        <v>141.55102786011605</v>
      </c>
      <c r="V14" s="733"/>
      <c r="W14" s="733">
        <f t="shared" si="7"/>
        <v>0</v>
      </c>
      <c r="X14" s="733">
        <f t="shared" si="8"/>
        <v>32.096482764568897</v>
      </c>
      <c r="Y14" s="730"/>
      <c r="Z14" s="734">
        <f t="shared" si="9"/>
        <v>135.85462706877883</v>
      </c>
      <c r="AA14" s="735">
        <f t="shared" si="10"/>
        <v>111.47339786509457</v>
      </c>
      <c r="AB14" s="648">
        <f t="shared" si="11"/>
        <v>75</v>
      </c>
      <c r="AC14" s="648">
        <v>0</v>
      </c>
      <c r="AD14" s="648">
        <f t="shared" si="12"/>
        <v>3.4472215664116406</v>
      </c>
      <c r="AE14" s="648">
        <v>4.58</v>
      </c>
      <c r="AF14" s="736">
        <f t="shared" si="13"/>
        <v>112.67000000000002</v>
      </c>
      <c r="AG14" s="250"/>
      <c r="AH14" s="250"/>
      <c r="AI14" s="35"/>
      <c r="AJ14" s="30"/>
      <c r="AK14" s="67"/>
      <c r="AL14" s="67"/>
      <c r="AM14" s="67"/>
      <c r="AN14" s="68"/>
      <c r="AO14" s="67"/>
      <c r="AP14" s="68"/>
      <c r="AQ14" s="35"/>
      <c r="AR14" s="70"/>
      <c r="AS14" s="35"/>
    </row>
    <row r="15" spans="1:45" s="59" customFormat="1" x14ac:dyDescent="0.25">
      <c r="A15" s="270">
        <v>10</v>
      </c>
      <c r="B15" s="271" t="s">
        <v>99</v>
      </c>
      <c r="C15" s="739">
        <v>1993</v>
      </c>
      <c r="D15" s="739">
        <v>1</v>
      </c>
      <c r="E15" s="739">
        <v>1</v>
      </c>
      <c r="F15" s="740">
        <v>5</v>
      </c>
      <c r="G15" s="741">
        <v>92</v>
      </c>
      <c r="H15" s="741">
        <v>0</v>
      </c>
      <c r="I15" s="741">
        <v>0</v>
      </c>
      <c r="J15" s="742">
        <v>1685.46</v>
      </c>
      <c r="K15" s="742">
        <v>2388.5</v>
      </c>
      <c r="L15" s="728">
        <f t="shared" si="0"/>
        <v>1685.46</v>
      </c>
      <c r="M15" s="728">
        <f t="shared" si="1"/>
        <v>2388.5</v>
      </c>
      <c r="N15" s="729">
        <f t="shared" si="2"/>
        <v>1268.5744211424551</v>
      </c>
      <c r="O15" s="742"/>
      <c r="P15" s="730">
        <f t="shared" si="3"/>
        <v>58.316480272930249</v>
      </c>
      <c r="Q15" s="731">
        <f t="shared" si="4"/>
        <v>46.895675090321909</v>
      </c>
      <c r="R15" s="731">
        <f t="shared" si="5"/>
        <v>5.8777116535216756</v>
      </c>
      <c r="S15" s="743"/>
      <c r="T15" s="742"/>
      <c r="U15" s="730">
        <f t="shared" si="6"/>
        <v>529.37471247251085</v>
      </c>
      <c r="V15" s="733"/>
      <c r="W15" s="733">
        <f t="shared" si="7"/>
        <v>0</v>
      </c>
      <c r="X15" s="733">
        <f t="shared" si="8"/>
        <v>120.03562659920075</v>
      </c>
      <c r="Y15" s="730"/>
      <c r="Z15" s="734">
        <f t="shared" si="9"/>
        <v>508.07421505396957</v>
      </c>
      <c r="AA15" s="735">
        <f t="shared" si="10"/>
        <v>416.88557885754494</v>
      </c>
      <c r="AB15" s="648">
        <f t="shared" si="11"/>
        <v>141.71205486929384</v>
      </c>
      <c r="AC15" s="648">
        <v>0</v>
      </c>
      <c r="AD15" s="648">
        <f t="shared" si="12"/>
        <v>3.4472131009305844</v>
      </c>
      <c r="AE15" s="744">
        <v>4.58</v>
      </c>
      <c r="AF15" s="736">
        <f t="shared" si="13"/>
        <v>-703.04</v>
      </c>
      <c r="AG15" s="250"/>
      <c r="AH15" s="250"/>
      <c r="AI15" s="35"/>
      <c r="AJ15" s="30"/>
      <c r="AK15" s="67"/>
      <c r="AL15" s="67"/>
      <c r="AM15" s="67"/>
      <c r="AN15" s="68"/>
      <c r="AO15" s="67"/>
      <c r="AP15" s="68"/>
      <c r="AQ15" s="35"/>
      <c r="AR15" s="70"/>
      <c r="AS15" s="35"/>
    </row>
    <row r="16" spans="1:45" s="59" customFormat="1" x14ac:dyDescent="0.25">
      <c r="A16" s="19">
        <v>11</v>
      </c>
      <c r="B16" s="55" t="s">
        <v>100</v>
      </c>
      <c r="C16" s="745">
        <v>1980</v>
      </c>
      <c r="D16" s="745">
        <v>3</v>
      </c>
      <c r="E16" s="745">
        <v>24</v>
      </c>
      <c r="F16" s="349">
        <v>59</v>
      </c>
      <c r="G16" s="741">
        <v>1440.6</v>
      </c>
      <c r="H16" s="741">
        <v>3261.48</v>
      </c>
      <c r="I16" s="741">
        <v>1952.96</v>
      </c>
      <c r="J16" s="728">
        <v>54397</v>
      </c>
      <c r="K16" s="728">
        <v>49993.01</v>
      </c>
      <c r="L16" s="728">
        <f t="shared" si="0"/>
        <v>57658.48</v>
      </c>
      <c r="M16" s="728">
        <f t="shared" si="1"/>
        <v>51945.97</v>
      </c>
      <c r="N16" s="729">
        <f t="shared" si="2"/>
        <v>52148.977280007275</v>
      </c>
      <c r="O16" s="730">
        <v>371.94</v>
      </c>
      <c r="P16" s="730">
        <f t="shared" si="3"/>
        <v>913.16001609981868</v>
      </c>
      <c r="Q16" s="731">
        <f t="shared" si="4"/>
        <v>734.32510364258405</v>
      </c>
      <c r="R16" s="731">
        <f t="shared" si="5"/>
        <v>92.037297913731791</v>
      </c>
      <c r="S16" s="732"/>
      <c r="T16" s="730">
        <v>1657.6</v>
      </c>
      <c r="U16" s="730">
        <f t="shared" si="6"/>
        <v>17085.185192390902</v>
      </c>
      <c r="V16" s="733">
        <f>171536.74/13841.67*G16</f>
        <v>17853.035626770466</v>
      </c>
      <c r="W16" s="733">
        <f>V16*0.202</f>
        <v>3606.3131966076344</v>
      </c>
      <c r="X16" s="733">
        <f t="shared" si="8"/>
        <v>1879.6013443348759</v>
      </c>
      <c r="Y16" s="730"/>
      <c r="Z16" s="734">
        <f t="shared" si="9"/>
        <v>7955.7795022472665</v>
      </c>
      <c r="AA16" s="735">
        <f t="shared" si="10"/>
        <v>5509.5027199927281</v>
      </c>
      <c r="AB16" s="648">
        <f t="shared" si="11"/>
        <v>91.903983675570345</v>
      </c>
      <c r="AC16" s="648">
        <f t="shared" ref="AC16:AC41" si="14">I16/H16*100</f>
        <v>59.879563878975198</v>
      </c>
      <c r="AD16" s="648">
        <f t="shared" si="12"/>
        <v>9.0498711092612929</v>
      </c>
      <c r="AE16" s="648">
        <v>9.44</v>
      </c>
      <c r="AF16" s="736">
        <f t="shared" si="13"/>
        <v>5712.510000000002</v>
      </c>
      <c r="AG16" s="250"/>
      <c r="AH16" s="250"/>
      <c r="AI16" s="35"/>
      <c r="AJ16" s="30"/>
      <c r="AK16" s="67"/>
      <c r="AL16" s="67"/>
      <c r="AM16" s="67"/>
      <c r="AN16" s="68"/>
      <c r="AO16" s="67"/>
      <c r="AP16" s="68"/>
      <c r="AQ16" s="35"/>
      <c r="AR16" s="70"/>
      <c r="AS16" s="35"/>
    </row>
    <row r="17" spans="1:45" s="59" customFormat="1" x14ac:dyDescent="0.25">
      <c r="A17" s="19">
        <v>12</v>
      </c>
      <c r="B17" s="55" t="s">
        <v>101</v>
      </c>
      <c r="C17" s="745">
        <v>1978</v>
      </c>
      <c r="D17" s="745">
        <v>3</v>
      </c>
      <c r="E17" s="745">
        <v>24</v>
      </c>
      <c r="F17" s="708">
        <v>71</v>
      </c>
      <c r="G17" s="741">
        <v>1449.9</v>
      </c>
      <c r="H17" s="741">
        <v>3323.07</v>
      </c>
      <c r="I17" s="741">
        <v>1571.36</v>
      </c>
      <c r="J17" s="728">
        <v>54748.2</v>
      </c>
      <c r="K17" s="728">
        <v>47221.58</v>
      </c>
      <c r="L17" s="728">
        <f t="shared" si="0"/>
        <v>58071.27</v>
      </c>
      <c r="M17" s="728">
        <f t="shared" si="1"/>
        <v>48792.94</v>
      </c>
      <c r="N17" s="729">
        <f t="shared" si="2"/>
        <v>53715.190662808905</v>
      </c>
      <c r="O17" s="730">
        <v>1995.32</v>
      </c>
      <c r="P17" s="730">
        <f t="shared" si="3"/>
        <v>919.05505160566929</v>
      </c>
      <c r="Q17" s="731">
        <f t="shared" si="4"/>
        <v>739.06564471149716</v>
      </c>
      <c r="R17" s="731">
        <f t="shared" si="5"/>
        <v>92.631457896098667</v>
      </c>
      <c r="S17" s="732"/>
      <c r="T17" s="730">
        <v>1276.8699999999999</v>
      </c>
      <c r="U17" s="730">
        <f t="shared" si="6"/>
        <v>17195.49122102424</v>
      </c>
      <c r="V17" s="733">
        <f t="shared" ref="V17:V22" si="15">171536.74/13841.67*G17</f>
        <v>17968.288459846248</v>
      </c>
      <c r="W17" s="733">
        <f t="shared" ref="W17:W40" si="16">V17*0.202</f>
        <v>3629.5942688889422</v>
      </c>
      <c r="X17" s="733">
        <f t="shared" si="8"/>
        <v>1891.7353805019693</v>
      </c>
      <c r="Y17" s="730"/>
      <c r="Z17" s="734">
        <f t="shared" si="9"/>
        <v>8007.1391783342451</v>
      </c>
      <c r="AA17" s="735">
        <f t="shared" si="10"/>
        <v>4356.0793371910913</v>
      </c>
      <c r="AB17" s="648">
        <f t="shared" si="11"/>
        <v>86.252296879166806</v>
      </c>
      <c r="AC17" s="648">
        <f t="shared" si="14"/>
        <v>47.286394809618812</v>
      </c>
      <c r="AD17" s="648">
        <f t="shared" si="12"/>
        <v>9.2618785196925479</v>
      </c>
      <c r="AE17" s="648">
        <v>9.44</v>
      </c>
      <c r="AF17" s="736">
        <f t="shared" si="13"/>
        <v>9278.3299999999945</v>
      </c>
      <c r="AG17" s="250"/>
      <c r="AH17" s="250"/>
      <c r="AI17" s="35"/>
      <c r="AJ17" s="30"/>
      <c r="AK17" s="67"/>
      <c r="AL17" s="67"/>
      <c r="AM17" s="67"/>
      <c r="AN17" s="68"/>
      <c r="AO17" s="67"/>
      <c r="AP17" s="68"/>
      <c r="AQ17" s="35"/>
      <c r="AR17" s="70"/>
      <c r="AS17" s="35"/>
    </row>
    <row r="18" spans="1:45" s="59" customFormat="1" x14ac:dyDescent="0.25">
      <c r="A18" s="19">
        <v>13</v>
      </c>
      <c r="B18" s="55" t="s">
        <v>102</v>
      </c>
      <c r="C18" s="745">
        <v>1979</v>
      </c>
      <c r="D18" s="745">
        <v>3</v>
      </c>
      <c r="E18" s="745">
        <v>24</v>
      </c>
      <c r="F18" s="349">
        <v>79</v>
      </c>
      <c r="G18" s="741">
        <v>1460.41</v>
      </c>
      <c r="H18" s="741">
        <v>3330.51</v>
      </c>
      <c r="I18" s="741">
        <v>2076.79</v>
      </c>
      <c r="J18" s="521">
        <v>55141.36</v>
      </c>
      <c r="K18" s="728">
        <v>55112.68</v>
      </c>
      <c r="L18" s="728">
        <f t="shared" si="0"/>
        <v>58471.87</v>
      </c>
      <c r="M18" s="728">
        <f t="shared" si="1"/>
        <v>57189.47</v>
      </c>
      <c r="N18" s="729">
        <f t="shared" si="2"/>
        <v>52140.319364673298</v>
      </c>
      <c r="O18" s="730">
        <v>371.94</v>
      </c>
      <c r="P18" s="730">
        <f t="shared" si="3"/>
        <v>925.71707560206607</v>
      </c>
      <c r="Q18" s="731">
        <f t="shared" si="4"/>
        <v>744.42296585496763</v>
      </c>
      <c r="R18" s="731">
        <f t="shared" si="5"/>
        <v>93.302922564343376</v>
      </c>
      <c r="S18" s="732"/>
      <c r="T18" s="730">
        <v>960.89</v>
      </c>
      <c r="U18" s="730">
        <f t="shared" si="6"/>
        <v>17318.976181780174</v>
      </c>
      <c r="V18" s="733">
        <f t="shared" si="15"/>
        <v>18098.536553999627</v>
      </c>
      <c r="W18" s="733">
        <f t="shared" si="16"/>
        <v>3655.904383907925</v>
      </c>
      <c r="X18" s="733">
        <f t="shared" si="8"/>
        <v>1905.4481461058563</v>
      </c>
      <c r="Y18" s="730"/>
      <c r="Z18" s="734">
        <f t="shared" si="9"/>
        <v>8065.1811348583451</v>
      </c>
      <c r="AA18" s="735">
        <f t="shared" si="10"/>
        <v>6331.5506353267047</v>
      </c>
      <c r="AB18" s="648">
        <f t="shared" si="11"/>
        <v>99.947988225172537</v>
      </c>
      <c r="AC18" s="648">
        <f t="shared" si="14"/>
        <v>62.356515969025764</v>
      </c>
      <c r="AD18" s="648">
        <f t="shared" si="12"/>
        <v>8.9256303648758379</v>
      </c>
      <c r="AE18" s="648">
        <v>9.44</v>
      </c>
      <c r="AF18" s="736">
        <f t="shared" si="13"/>
        <v>1282.4000000000015</v>
      </c>
      <c r="AG18" s="250"/>
      <c r="AH18" s="250"/>
      <c r="AI18" s="35"/>
      <c r="AJ18" s="30"/>
      <c r="AK18" s="67"/>
      <c r="AL18" s="67"/>
      <c r="AM18" s="67"/>
      <c r="AN18" s="68"/>
      <c r="AO18" s="67"/>
      <c r="AP18" s="68"/>
      <c r="AQ18" s="35"/>
      <c r="AR18" s="70"/>
      <c r="AS18" s="35"/>
    </row>
    <row r="19" spans="1:45" s="59" customFormat="1" x14ac:dyDescent="0.25">
      <c r="A19" s="19">
        <v>14</v>
      </c>
      <c r="B19" s="55" t="s">
        <v>103</v>
      </c>
      <c r="C19" s="745">
        <v>1986</v>
      </c>
      <c r="D19" s="745">
        <v>3</v>
      </c>
      <c r="E19" s="745">
        <v>24</v>
      </c>
      <c r="F19" s="746">
        <v>63</v>
      </c>
      <c r="G19" s="741">
        <v>1454.3</v>
      </c>
      <c r="H19" s="741">
        <v>3352.92</v>
      </c>
      <c r="I19" s="741">
        <v>1813.38</v>
      </c>
      <c r="J19" s="728">
        <v>54914.400000000001</v>
      </c>
      <c r="K19" s="728">
        <v>51188.69</v>
      </c>
      <c r="L19" s="728">
        <f t="shared" si="0"/>
        <v>58267.32</v>
      </c>
      <c r="M19" s="728">
        <f t="shared" si="1"/>
        <v>53002.07</v>
      </c>
      <c r="N19" s="729">
        <f t="shared" si="2"/>
        <v>51887.487247319943</v>
      </c>
      <c r="O19" s="730">
        <v>371.94</v>
      </c>
      <c r="P19" s="730">
        <f t="shared" si="3"/>
        <v>921.84410066220073</v>
      </c>
      <c r="Q19" s="731">
        <f t="shared" si="4"/>
        <v>741.3084813462516</v>
      </c>
      <c r="R19" s="731">
        <f t="shared" si="5"/>
        <v>92.912565844745345</v>
      </c>
      <c r="S19" s="732"/>
      <c r="T19" s="730">
        <v>919.45</v>
      </c>
      <c r="U19" s="730">
        <f t="shared" si="6"/>
        <v>17247.691853025553</v>
      </c>
      <c r="V19" s="733">
        <f t="shared" si="15"/>
        <v>18022.816681946613</v>
      </c>
      <c r="W19" s="733">
        <f t="shared" si="16"/>
        <v>3640.6089697532161</v>
      </c>
      <c r="X19" s="733">
        <f t="shared" si="8"/>
        <v>1897.476214817583</v>
      </c>
      <c r="Y19" s="730"/>
      <c r="Z19" s="734">
        <f t="shared" si="9"/>
        <v>8031.4383799237821</v>
      </c>
      <c r="AA19" s="735">
        <f t="shared" si="10"/>
        <v>6379.8327526800567</v>
      </c>
      <c r="AB19" s="648">
        <f t="shared" si="11"/>
        <v>93.21542254854829</v>
      </c>
      <c r="AC19" s="648">
        <f t="shared" si="14"/>
        <v>54.083604738556247</v>
      </c>
      <c r="AD19" s="648">
        <f t="shared" si="12"/>
        <v>8.9196670644502412</v>
      </c>
      <c r="AE19" s="648">
        <v>9.44</v>
      </c>
      <c r="AF19" s="736">
        <f t="shared" si="13"/>
        <v>5265.25</v>
      </c>
      <c r="AG19" s="250"/>
      <c r="AH19" s="250"/>
      <c r="AI19" s="35"/>
      <c r="AJ19" s="30"/>
      <c r="AK19" s="67"/>
      <c r="AL19" s="67"/>
      <c r="AM19" s="67"/>
      <c r="AN19" s="68"/>
      <c r="AO19" s="67"/>
      <c r="AP19" s="68"/>
      <c r="AQ19" s="35"/>
      <c r="AR19" s="70"/>
      <c r="AS19" s="35"/>
    </row>
    <row r="20" spans="1:45" s="59" customFormat="1" x14ac:dyDescent="0.25">
      <c r="A20" s="19">
        <v>15</v>
      </c>
      <c r="B20" s="55" t="s">
        <v>104</v>
      </c>
      <c r="C20" s="745">
        <v>1985</v>
      </c>
      <c r="D20" s="745">
        <v>3</v>
      </c>
      <c r="E20" s="745">
        <v>24</v>
      </c>
      <c r="F20" s="708">
        <v>88</v>
      </c>
      <c r="G20" s="741">
        <v>1464.7</v>
      </c>
      <c r="H20" s="741">
        <v>3354.78</v>
      </c>
      <c r="I20" s="741">
        <v>1959.96</v>
      </c>
      <c r="J20" s="728">
        <v>55291.96</v>
      </c>
      <c r="K20" s="728">
        <v>57584.77</v>
      </c>
      <c r="L20" s="728">
        <f t="shared" si="0"/>
        <v>58646.74</v>
      </c>
      <c r="M20" s="728">
        <f t="shared" si="1"/>
        <v>59544.729999999996</v>
      </c>
      <c r="N20" s="729">
        <f t="shared" si="2"/>
        <v>52612.333852061012</v>
      </c>
      <c r="O20" s="730">
        <v>371.94</v>
      </c>
      <c r="P20" s="730">
        <f t="shared" si="3"/>
        <v>928.43639843218421</v>
      </c>
      <c r="Q20" s="731">
        <f t="shared" si="4"/>
        <v>746.6097315738532</v>
      </c>
      <c r="R20" s="731">
        <f t="shared" si="5"/>
        <v>93.577002814273897</v>
      </c>
      <c r="S20" s="732"/>
      <c r="T20" s="730">
        <v>1287.23</v>
      </c>
      <c r="U20" s="730">
        <f t="shared" si="6"/>
        <v>17366.277115470893</v>
      </c>
      <c r="V20" s="733">
        <f t="shared" si="15"/>
        <v>18151.701570547484</v>
      </c>
      <c r="W20" s="733">
        <f t="shared" si="16"/>
        <v>3666.6437172505921</v>
      </c>
      <c r="X20" s="733">
        <f t="shared" si="8"/>
        <v>1911.0454595635797</v>
      </c>
      <c r="Y20" s="730"/>
      <c r="Z20" s="734">
        <f t="shared" si="9"/>
        <v>8088.8728564081439</v>
      </c>
      <c r="AA20" s="735">
        <f t="shared" si="10"/>
        <v>6034.4061479389857</v>
      </c>
      <c r="AB20" s="648">
        <f t="shared" si="11"/>
        <v>104.14673308741452</v>
      </c>
      <c r="AC20" s="648">
        <f t="shared" si="14"/>
        <v>58.422907016257398</v>
      </c>
      <c r="AD20" s="648">
        <f t="shared" si="12"/>
        <v>8.9800528866083518</v>
      </c>
      <c r="AE20" s="648">
        <v>9.44</v>
      </c>
      <c r="AF20" s="736">
        <f t="shared" si="13"/>
        <v>-897.98999999999796</v>
      </c>
      <c r="AG20" s="250"/>
      <c r="AH20" s="250"/>
      <c r="AI20" s="35"/>
      <c r="AJ20" s="30"/>
      <c r="AK20" s="67"/>
      <c r="AL20" s="67"/>
      <c r="AM20" s="67"/>
      <c r="AN20" s="68"/>
      <c r="AO20" s="67"/>
      <c r="AP20" s="68"/>
      <c r="AQ20" s="35"/>
      <c r="AR20" s="70"/>
      <c r="AS20" s="35"/>
    </row>
    <row r="21" spans="1:45" s="59" customFormat="1" x14ac:dyDescent="0.25">
      <c r="A21" s="19">
        <v>16</v>
      </c>
      <c r="B21" s="55" t="s">
        <v>105</v>
      </c>
      <c r="C21" s="745">
        <v>1976</v>
      </c>
      <c r="D21" s="745">
        <v>2</v>
      </c>
      <c r="E21" s="745">
        <v>18</v>
      </c>
      <c r="F21" s="349">
        <v>35</v>
      </c>
      <c r="G21" s="741">
        <v>766.9</v>
      </c>
      <c r="H21" s="741">
        <v>1010.79</v>
      </c>
      <c r="I21" s="741">
        <v>624.66</v>
      </c>
      <c r="J21" s="728">
        <v>27209.68</v>
      </c>
      <c r="K21" s="728">
        <v>27852.81</v>
      </c>
      <c r="L21" s="728">
        <f t="shared" si="0"/>
        <v>28220.47</v>
      </c>
      <c r="M21" s="728">
        <f t="shared" si="1"/>
        <v>28477.47</v>
      </c>
      <c r="N21" s="729">
        <f t="shared" si="2"/>
        <v>27759.549951130761</v>
      </c>
      <c r="O21" s="730">
        <v>280.94</v>
      </c>
      <c r="P21" s="730">
        <f t="shared" si="3"/>
        <v>486.11857305771969</v>
      </c>
      <c r="Q21" s="731">
        <f t="shared" si="4"/>
        <v>390.91623072573771</v>
      </c>
      <c r="R21" s="731">
        <f t="shared" si="5"/>
        <v>48.995837685714918</v>
      </c>
      <c r="S21" s="732"/>
      <c r="T21" s="730">
        <v>1346.8</v>
      </c>
      <c r="U21" s="730">
        <f t="shared" si="6"/>
        <v>8546.1040466513768</v>
      </c>
      <c r="V21" s="733">
        <f t="shared" si="15"/>
        <v>9504.0212565391303</v>
      </c>
      <c r="W21" s="733">
        <f t="shared" si="16"/>
        <v>1919.8122938209044</v>
      </c>
      <c r="X21" s="733">
        <f t="shared" si="8"/>
        <v>1000.6013265100767</v>
      </c>
      <c r="Y21" s="730"/>
      <c r="Z21" s="734">
        <f t="shared" si="9"/>
        <v>4235.2403861401008</v>
      </c>
      <c r="AA21" s="735">
        <f t="shared" si="10"/>
        <v>460.92004886924042</v>
      </c>
      <c r="AB21" s="648">
        <f t="shared" si="11"/>
        <v>102.36360736326191</v>
      </c>
      <c r="AC21" s="648">
        <f t="shared" si="14"/>
        <v>61.799186774700978</v>
      </c>
      <c r="AD21" s="648">
        <f t="shared" si="12"/>
        <v>9.049273031402647</v>
      </c>
      <c r="AE21" s="648">
        <v>8.8699999999999992</v>
      </c>
      <c r="AF21" s="736">
        <f t="shared" si="13"/>
        <v>-257</v>
      </c>
      <c r="AG21" s="250"/>
      <c r="AH21" s="250"/>
      <c r="AI21" s="35"/>
      <c r="AJ21" s="30"/>
      <c r="AK21" s="67"/>
      <c r="AL21" s="67"/>
      <c r="AM21" s="67"/>
      <c r="AN21" s="68"/>
      <c r="AO21" s="67"/>
      <c r="AP21" s="68"/>
      <c r="AQ21" s="35"/>
      <c r="AR21" s="70"/>
      <c r="AS21" s="35"/>
    </row>
    <row r="22" spans="1:45" s="59" customFormat="1" x14ac:dyDescent="0.25">
      <c r="A22" s="19">
        <v>17</v>
      </c>
      <c r="B22" s="55" t="s">
        <v>106</v>
      </c>
      <c r="C22" s="745">
        <v>1975</v>
      </c>
      <c r="D22" s="745">
        <v>2</v>
      </c>
      <c r="E22" s="745">
        <v>18</v>
      </c>
      <c r="F22" s="708">
        <v>49</v>
      </c>
      <c r="G22" s="741">
        <v>778.78</v>
      </c>
      <c r="H22" s="741">
        <v>1010.7</v>
      </c>
      <c r="I22" s="741">
        <v>525.1</v>
      </c>
      <c r="J22" s="728">
        <v>27302.2</v>
      </c>
      <c r="K22" s="728">
        <v>24038.48</v>
      </c>
      <c r="L22" s="728">
        <f t="shared" si="0"/>
        <v>28312.9</v>
      </c>
      <c r="M22" s="728">
        <f t="shared" si="1"/>
        <v>24563.579999999998</v>
      </c>
      <c r="N22" s="729">
        <f t="shared" si="2"/>
        <v>28061.008002887538</v>
      </c>
      <c r="O22" s="730">
        <v>280.92</v>
      </c>
      <c r="P22" s="730">
        <f t="shared" si="3"/>
        <v>493.64900551035458</v>
      </c>
      <c r="Q22" s="731">
        <f t="shared" si="4"/>
        <v>396.9718896395749</v>
      </c>
      <c r="R22" s="731">
        <f t="shared" si="5"/>
        <v>49.754829147060981</v>
      </c>
      <c r="S22" s="732"/>
      <c r="T22" s="730">
        <v>1346.8</v>
      </c>
      <c r="U22" s="730">
        <f t="shared" si="6"/>
        <v>8575.1630266318898</v>
      </c>
      <c r="V22" s="733">
        <f t="shared" si="15"/>
        <v>9651.2474562101252</v>
      </c>
      <c r="W22" s="733">
        <f t="shared" si="16"/>
        <v>1949.5519861544453</v>
      </c>
      <c r="X22" s="733">
        <f t="shared" si="8"/>
        <v>1016.1015791622343</v>
      </c>
      <c r="Y22" s="730"/>
      <c r="Z22" s="734">
        <f t="shared" si="9"/>
        <v>4300.8482304318522</v>
      </c>
      <c r="AA22" s="735">
        <f t="shared" si="10"/>
        <v>251.89199711246329</v>
      </c>
      <c r="AB22" s="648">
        <f t="shared" si="11"/>
        <v>88.045945015420003</v>
      </c>
      <c r="AC22" s="648">
        <f t="shared" si="14"/>
        <v>51.954091223904221</v>
      </c>
      <c r="AD22" s="648">
        <f t="shared" si="12"/>
        <v>9.0080022608719847</v>
      </c>
      <c r="AE22" s="648">
        <v>8.86</v>
      </c>
      <c r="AF22" s="736">
        <f t="shared" si="13"/>
        <v>3749.3200000000033</v>
      </c>
      <c r="AG22" s="250"/>
      <c r="AH22" s="250"/>
      <c r="AI22" s="35"/>
      <c r="AJ22" s="30"/>
      <c r="AK22" s="67"/>
      <c r="AL22" s="67"/>
      <c r="AM22" s="67"/>
      <c r="AN22" s="68"/>
      <c r="AO22" s="67"/>
      <c r="AP22" s="68"/>
      <c r="AQ22" s="35"/>
      <c r="AR22" s="70"/>
      <c r="AS22" s="35"/>
    </row>
    <row r="23" spans="1:45" s="59" customFormat="1" x14ac:dyDescent="0.25">
      <c r="A23" s="19">
        <v>18</v>
      </c>
      <c r="B23" s="55" t="s">
        <v>107</v>
      </c>
      <c r="C23" s="745">
        <v>1987</v>
      </c>
      <c r="D23" s="745">
        <v>1</v>
      </c>
      <c r="E23" s="745">
        <v>2</v>
      </c>
      <c r="F23" s="349">
        <v>10</v>
      </c>
      <c r="G23" s="747">
        <v>126.2</v>
      </c>
      <c r="H23" s="747">
        <v>0</v>
      </c>
      <c r="I23" s="747">
        <v>0</v>
      </c>
      <c r="J23" s="728">
        <v>3877.92</v>
      </c>
      <c r="K23" s="728">
        <v>4554.3100000000004</v>
      </c>
      <c r="L23" s="728">
        <f t="shared" si="0"/>
        <v>3877.92</v>
      </c>
      <c r="M23" s="728">
        <f t="shared" si="1"/>
        <v>4554.3100000000004</v>
      </c>
      <c r="N23" s="729">
        <f t="shared" si="2"/>
        <v>2231.9787856278308</v>
      </c>
      <c r="O23" s="730"/>
      <c r="P23" s="730">
        <f t="shared" si="3"/>
        <v>79.994997939606506</v>
      </c>
      <c r="Q23" s="731">
        <f t="shared" si="4"/>
        <v>64.328632569550265</v>
      </c>
      <c r="R23" s="731">
        <f t="shared" si="5"/>
        <v>8.0626870725482114</v>
      </c>
      <c r="S23" s="732"/>
      <c r="T23" s="730"/>
      <c r="U23" s="730">
        <f t="shared" si="6"/>
        <v>1217.9896200392766</v>
      </c>
      <c r="V23" s="733"/>
      <c r="W23" s="733">
        <f t="shared" si="16"/>
        <v>0</v>
      </c>
      <c r="X23" s="733">
        <f t="shared" si="8"/>
        <v>164.6575660523819</v>
      </c>
      <c r="Y23" s="730"/>
      <c r="Z23" s="734">
        <f t="shared" si="9"/>
        <v>696.94528195446696</v>
      </c>
      <c r="AA23" s="735">
        <f t="shared" si="10"/>
        <v>1645.9412143721693</v>
      </c>
      <c r="AB23" s="648">
        <f t="shared" si="11"/>
        <v>117.44208235342658</v>
      </c>
      <c r="AC23" s="648">
        <v>0</v>
      </c>
      <c r="AD23" s="648">
        <f t="shared" si="12"/>
        <v>4.4215110650313605</v>
      </c>
      <c r="AE23" s="648">
        <v>8.9499999999999993</v>
      </c>
      <c r="AF23" s="736">
        <f t="shared" si="13"/>
        <v>-676.39000000000033</v>
      </c>
      <c r="AG23" s="250"/>
      <c r="AH23" s="250"/>
      <c r="AI23" s="35"/>
      <c r="AJ23" s="30"/>
      <c r="AK23" s="67"/>
      <c r="AL23" s="67"/>
      <c r="AM23" s="67"/>
      <c r="AN23" s="68"/>
      <c r="AO23" s="67"/>
      <c r="AP23" s="68"/>
      <c r="AQ23" s="35"/>
      <c r="AR23" s="70"/>
      <c r="AS23" s="35"/>
    </row>
    <row r="24" spans="1:45" s="59" customFormat="1" x14ac:dyDescent="0.25">
      <c r="A24" s="19">
        <v>19</v>
      </c>
      <c r="B24" s="55" t="s">
        <v>108</v>
      </c>
      <c r="C24" s="745">
        <v>1987</v>
      </c>
      <c r="D24" s="745">
        <v>1</v>
      </c>
      <c r="E24" s="745">
        <v>2</v>
      </c>
      <c r="F24" s="708">
        <v>11</v>
      </c>
      <c r="G24" s="747">
        <v>125.8</v>
      </c>
      <c r="H24" s="747">
        <v>0</v>
      </c>
      <c r="I24" s="747">
        <v>0</v>
      </c>
      <c r="J24" s="728">
        <v>4498.6000000000004</v>
      </c>
      <c r="K24" s="728">
        <v>4498.6000000000004</v>
      </c>
      <c r="L24" s="728">
        <f t="shared" si="0"/>
        <v>4498.6000000000004</v>
      </c>
      <c r="M24" s="728">
        <f t="shared" si="1"/>
        <v>4498.6000000000004</v>
      </c>
      <c r="N24" s="729">
        <f t="shared" si="2"/>
        <v>2423.7100499675771</v>
      </c>
      <c r="O24" s="730"/>
      <c r="P24" s="730">
        <f t="shared" si="3"/>
        <v>79.741448025376371</v>
      </c>
      <c r="Q24" s="731">
        <f t="shared" si="4"/>
        <v>64.124738330027128</v>
      </c>
      <c r="R24" s="731">
        <f t="shared" si="5"/>
        <v>8.0371318044894213</v>
      </c>
      <c r="S24" s="732"/>
      <c r="T24" s="730"/>
      <c r="U24" s="730">
        <f t="shared" si="6"/>
        <v>1412.934796155849</v>
      </c>
      <c r="V24" s="733"/>
      <c r="W24" s="733">
        <f t="shared" si="16"/>
        <v>0</v>
      </c>
      <c r="X24" s="733">
        <f t="shared" si="8"/>
        <v>164.13567202368972</v>
      </c>
      <c r="Y24" s="730"/>
      <c r="Z24" s="734">
        <f t="shared" si="9"/>
        <v>694.73626362814537</v>
      </c>
      <c r="AA24" s="735">
        <f t="shared" si="10"/>
        <v>2074.8899500324233</v>
      </c>
      <c r="AB24" s="648">
        <f t="shared" si="11"/>
        <v>100</v>
      </c>
      <c r="AC24" s="648">
        <v>0</v>
      </c>
      <c r="AD24" s="648">
        <f t="shared" si="12"/>
        <v>4.8165938989816715</v>
      </c>
      <c r="AE24" s="648">
        <v>8.94</v>
      </c>
      <c r="AF24" s="736">
        <f t="shared" si="13"/>
        <v>0</v>
      </c>
      <c r="AG24" s="250"/>
      <c r="AH24" s="250"/>
      <c r="AI24" s="35"/>
      <c r="AJ24" s="30"/>
      <c r="AK24" s="67"/>
      <c r="AL24" s="67"/>
      <c r="AM24" s="67"/>
      <c r="AN24" s="68"/>
      <c r="AO24" s="67"/>
      <c r="AP24" s="68"/>
      <c r="AQ24" s="35"/>
      <c r="AR24" s="70"/>
      <c r="AS24" s="35"/>
    </row>
    <row r="25" spans="1:45" s="59" customFormat="1" ht="15" customHeight="1" x14ac:dyDescent="0.25">
      <c r="A25" s="3">
        <v>20</v>
      </c>
      <c r="B25" s="43" t="s">
        <v>109</v>
      </c>
      <c r="C25" s="737">
        <v>1985</v>
      </c>
      <c r="D25" s="737">
        <v>1</v>
      </c>
      <c r="E25" s="737">
        <v>2</v>
      </c>
      <c r="F25" s="708">
        <v>5</v>
      </c>
      <c r="G25" s="738">
        <v>125.6</v>
      </c>
      <c r="H25" s="738"/>
      <c r="I25" s="738"/>
      <c r="J25" s="728">
        <v>3855.18</v>
      </c>
      <c r="K25" s="728">
        <v>5313.05</v>
      </c>
      <c r="L25" s="728">
        <f t="shared" si="0"/>
        <v>3855.18</v>
      </c>
      <c r="M25" s="728">
        <f t="shared" si="1"/>
        <v>5313.05</v>
      </c>
      <c r="N25" s="729">
        <f t="shared" si="2"/>
        <v>2220.0156654252278</v>
      </c>
      <c r="O25" s="730"/>
      <c r="P25" s="730">
        <f t="shared" si="3"/>
        <v>79.614673068261297</v>
      </c>
      <c r="Q25" s="731">
        <f t="shared" si="4"/>
        <v>64.022791210265552</v>
      </c>
      <c r="R25" s="731">
        <f t="shared" si="5"/>
        <v>8.0243541704600254</v>
      </c>
      <c r="S25" s="732"/>
      <c r="T25" s="730"/>
      <c r="U25" s="730">
        <f t="shared" si="6"/>
        <v>1210.8473675019129</v>
      </c>
      <c r="V25" s="733"/>
      <c r="W25" s="733">
        <f t="shared" si="16"/>
        <v>0</v>
      </c>
      <c r="X25" s="733">
        <f t="shared" si="8"/>
        <v>163.87472500934362</v>
      </c>
      <c r="Y25" s="730"/>
      <c r="Z25" s="734">
        <f t="shared" si="9"/>
        <v>693.63175446498451</v>
      </c>
      <c r="AA25" s="735">
        <f t="shared" si="10"/>
        <v>1635.1643345747721</v>
      </c>
      <c r="AB25" s="648">
        <f t="shared" si="11"/>
        <v>137.81587370758305</v>
      </c>
      <c r="AC25" s="648">
        <v>0</v>
      </c>
      <c r="AD25" s="648">
        <f t="shared" si="12"/>
        <v>4.4188209900979851</v>
      </c>
      <c r="AE25" s="648">
        <v>8.94</v>
      </c>
      <c r="AF25" s="736">
        <f t="shared" si="13"/>
        <v>-1457.8700000000003</v>
      </c>
      <c r="AG25" s="250"/>
      <c r="AH25" s="250"/>
      <c r="AI25" s="35"/>
      <c r="AJ25" s="30"/>
      <c r="AK25" s="67"/>
      <c r="AL25" s="67"/>
      <c r="AM25" s="67"/>
      <c r="AN25" s="68"/>
      <c r="AO25" s="67"/>
      <c r="AP25" s="68"/>
      <c r="AQ25" s="35"/>
      <c r="AR25" s="70"/>
      <c r="AS25" s="35"/>
    </row>
    <row r="26" spans="1:45" s="59" customFormat="1" x14ac:dyDescent="0.25">
      <c r="A26" s="6">
        <v>21</v>
      </c>
      <c r="B26" s="43" t="s">
        <v>110</v>
      </c>
      <c r="C26" s="737">
        <v>1990</v>
      </c>
      <c r="D26" s="737">
        <v>1</v>
      </c>
      <c r="E26" s="737">
        <v>1</v>
      </c>
      <c r="F26" s="661">
        <v>8</v>
      </c>
      <c r="G26" s="738">
        <v>127.7</v>
      </c>
      <c r="H26" s="738">
        <v>0</v>
      </c>
      <c r="I26" s="738">
        <v>0</v>
      </c>
      <c r="J26" s="728">
        <v>2339.48</v>
      </c>
      <c r="K26" s="728">
        <v>2339.48</v>
      </c>
      <c r="L26" s="728">
        <f t="shared" si="0"/>
        <v>2339.48</v>
      </c>
      <c r="M26" s="728">
        <f t="shared" si="1"/>
        <v>2339.48</v>
      </c>
      <c r="N26" s="729">
        <f t="shared" si="2"/>
        <v>1760.8327580635</v>
      </c>
      <c r="O26" s="730"/>
      <c r="P26" s="730">
        <f t="shared" si="3"/>
        <v>80.945810117969501</v>
      </c>
      <c r="Q26" s="731">
        <f t="shared" si="4"/>
        <v>65.093235967762041</v>
      </c>
      <c r="R26" s="731">
        <f t="shared" si="5"/>
        <v>8.1585193277686727</v>
      </c>
      <c r="S26" s="732"/>
      <c r="T26" s="730"/>
      <c r="U26" s="730">
        <f t="shared" si="6"/>
        <v>734.79142331184937</v>
      </c>
      <c r="V26" s="733"/>
      <c r="W26" s="733">
        <f t="shared" si="16"/>
        <v>0</v>
      </c>
      <c r="X26" s="733">
        <f t="shared" si="8"/>
        <v>166.61466865997755</v>
      </c>
      <c r="Y26" s="730"/>
      <c r="Z26" s="734">
        <f t="shared" si="9"/>
        <v>705.22910067817304</v>
      </c>
      <c r="AA26" s="735">
        <f t="shared" si="10"/>
        <v>578.6472419365</v>
      </c>
      <c r="AB26" s="648">
        <f t="shared" si="11"/>
        <v>100</v>
      </c>
      <c r="AC26" s="648">
        <v>0</v>
      </c>
      <c r="AD26" s="648">
        <f t="shared" si="12"/>
        <v>3.4472058693490601</v>
      </c>
      <c r="AE26" s="648">
        <v>4.58</v>
      </c>
      <c r="AF26" s="736">
        <f t="shared" si="13"/>
        <v>0</v>
      </c>
      <c r="AG26" s="250"/>
      <c r="AH26" s="250"/>
      <c r="AI26" s="35"/>
      <c r="AJ26" s="30"/>
      <c r="AK26" s="67"/>
      <c r="AL26" s="67"/>
      <c r="AM26" s="67"/>
      <c r="AN26" s="68"/>
      <c r="AO26" s="67"/>
      <c r="AP26" s="68"/>
      <c r="AQ26" s="35"/>
      <c r="AR26" s="70"/>
      <c r="AS26" s="35"/>
    </row>
    <row r="27" spans="1:45" s="59" customFormat="1" x14ac:dyDescent="0.25">
      <c r="A27" s="6">
        <v>22</v>
      </c>
      <c r="B27" s="43" t="s">
        <v>111</v>
      </c>
      <c r="C27" s="737">
        <v>1981</v>
      </c>
      <c r="D27" s="737">
        <v>1</v>
      </c>
      <c r="E27" s="737">
        <v>1</v>
      </c>
      <c r="F27" s="708">
        <v>6</v>
      </c>
      <c r="G27" s="738">
        <v>83.6</v>
      </c>
      <c r="H27" s="738">
        <v>0</v>
      </c>
      <c r="I27" s="738">
        <v>0</v>
      </c>
      <c r="J27" s="728">
        <v>1531.56</v>
      </c>
      <c r="K27" s="728">
        <v>1531.56</v>
      </c>
      <c r="L27" s="728">
        <f t="shared" si="0"/>
        <v>1531.56</v>
      </c>
      <c r="M27" s="728">
        <f t="shared" si="1"/>
        <v>1531.56</v>
      </c>
      <c r="N27" s="729">
        <f t="shared" si="2"/>
        <v>1152.7448654957673</v>
      </c>
      <c r="O27" s="730"/>
      <c r="P27" s="730">
        <f t="shared" si="3"/>
        <v>52.991932074097484</v>
      </c>
      <c r="Q27" s="731">
        <f t="shared" si="4"/>
        <v>42.613896060335989</v>
      </c>
      <c r="R27" s="731">
        <f t="shared" si="5"/>
        <v>5.3410510242870872</v>
      </c>
      <c r="S27" s="732"/>
      <c r="T27" s="730"/>
      <c r="U27" s="730">
        <f t="shared" si="6"/>
        <v>481.03730413916594</v>
      </c>
      <c r="V27" s="733"/>
      <c r="W27" s="733">
        <f t="shared" si="16"/>
        <v>0</v>
      </c>
      <c r="X27" s="733">
        <f t="shared" si="8"/>
        <v>109.07585199666502</v>
      </c>
      <c r="Y27" s="730"/>
      <c r="Z27" s="734">
        <f t="shared" si="9"/>
        <v>461.68483020121579</v>
      </c>
      <c r="AA27" s="735">
        <f t="shared" si="10"/>
        <v>378.81513450423267</v>
      </c>
      <c r="AB27" s="648">
        <f t="shared" si="11"/>
        <v>100</v>
      </c>
      <c r="AC27" s="648">
        <v>0</v>
      </c>
      <c r="AD27" s="648">
        <f t="shared" si="12"/>
        <v>3.4472035451428451</v>
      </c>
      <c r="AE27" s="648">
        <v>4.58</v>
      </c>
      <c r="AF27" s="736">
        <f t="shared" si="13"/>
        <v>0</v>
      </c>
      <c r="AG27" s="250"/>
      <c r="AH27" s="250"/>
      <c r="AI27" s="35"/>
      <c r="AJ27" s="30"/>
      <c r="AK27" s="67"/>
      <c r="AL27" s="67"/>
      <c r="AM27" s="67"/>
      <c r="AN27" s="68"/>
      <c r="AO27" s="67"/>
      <c r="AP27" s="68"/>
      <c r="AQ27" s="35"/>
      <c r="AR27" s="70"/>
      <c r="AS27" s="35"/>
    </row>
    <row r="28" spans="1:45" s="59" customFormat="1" x14ac:dyDescent="0.25">
      <c r="A28" s="20">
        <v>23</v>
      </c>
      <c r="B28" s="43" t="s">
        <v>112</v>
      </c>
      <c r="C28" s="737">
        <v>1970</v>
      </c>
      <c r="D28" s="737">
        <v>1</v>
      </c>
      <c r="E28" s="737">
        <v>5</v>
      </c>
      <c r="F28" s="708">
        <v>15</v>
      </c>
      <c r="G28" s="738">
        <v>259.72000000000003</v>
      </c>
      <c r="H28" s="738">
        <v>0</v>
      </c>
      <c r="I28" s="738">
        <v>0</v>
      </c>
      <c r="J28" s="728">
        <v>9034.52</v>
      </c>
      <c r="K28" s="728">
        <v>10027.030000000001</v>
      </c>
      <c r="L28" s="728">
        <f t="shared" si="0"/>
        <v>9034.52</v>
      </c>
      <c r="M28" s="728">
        <f t="shared" si="1"/>
        <v>10027.030000000001</v>
      </c>
      <c r="N28" s="729">
        <f t="shared" si="2"/>
        <v>4924.3840949631367</v>
      </c>
      <c r="O28" s="730"/>
      <c r="P28" s="730">
        <f t="shared" si="3"/>
        <v>164.62995930962441</v>
      </c>
      <c r="Q28" s="731">
        <f t="shared" si="4"/>
        <v>132.38852972237399</v>
      </c>
      <c r="R28" s="731">
        <f t="shared" si="5"/>
        <v>16.593035550572278</v>
      </c>
      <c r="S28" s="732"/>
      <c r="T28" s="730"/>
      <c r="U28" s="730">
        <f t="shared" si="6"/>
        <v>2837.5911782701155</v>
      </c>
      <c r="V28" s="733"/>
      <c r="W28" s="733">
        <f t="shared" si="16"/>
        <v>0</v>
      </c>
      <c r="X28" s="733">
        <f t="shared" si="8"/>
        <v>338.86579282983064</v>
      </c>
      <c r="Y28" s="730"/>
      <c r="Z28" s="734">
        <f t="shared" si="9"/>
        <v>1434.3155992806196</v>
      </c>
      <c r="AA28" s="735">
        <f t="shared" si="10"/>
        <v>4110.1359050368637</v>
      </c>
      <c r="AB28" s="648">
        <f t="shared" si="11"/>
        <v>110.98575242514268</v>
      </c>
      <c r="AC28" s="648">
        <v>0</v>
      </c>
      <c r="AD28" s="648">
        <f t="shared" si="12"/>
        <v>4.7400894183766518</v>
      </c>
      <c r="AE28" s="648">
        <v>8.84</v>
      </c>
      <c r="AF28" s="736">
        <f t="shared" si="13"/>
        <v>-992.51000000000022</v>
      </c>
      <c r="AG28" s="250"/>
      <c r="AH28" s="250"/>
      <c r="AI28" s="35"/>
      <c r="AJ28" s="30"/>
      <c r="AK28" s="67"/>
      <c r="AL28" s="67"/>
      <c r="AM28" s="67"/>
      <c r="AN28" s="68"/>
      <c r="AO28" s="67"/>
      <c r="AP28" s="68"/>
      <c r="AQ28" s="35"/>
      <c r="AR28" s="70"/>
      <c r="AS28" s="35"/>
    </row>
    <row r="29" spans="1:45" s="59" customFormat="1" x14ac:dyDescent="0.25">
      <c r="A29" s="21">
        <v>24</v>
      </c>
      <c r="B29" s="55" t="s">
        <v>113</v>
      </c>
      <c r="C29" s="745">
        <v>1973</v>
      </c>
      <c r="D29" s="745">
        <v>2</v>
      </c>
      <c r="E29" s="745">
        <v>16</v>
      </c>
      <c r="F29" s="349">
        <v>32</v>
      </c>
      <c r="G29" s="741">
        <v>722.8</v>
      </c>
      <c r="H29" s="741">
        <v>671.34</v>
      </c>
      <c r="I29" s="741">
        <v>377.05</v>
      </c>
      <c r="J29" s="728">
        <v>27409.360000000001</v>
      </c>
      <c r="K29" s="728">
        <v>27307.06</v>
      </c>
      <c r="L29" s="728">
        <f t="shared" si="0"/>
        <v>28080.7</v>
      </c>
      <c r="M29" s="728">
        <f t="shared" si="1"/>
        <v>27684.11</v>
      </c>
      <c r="N29" s="729">
        <f t="shared" si="2"/>
        <v>26355.173474579315</v>
      </c>
      <c r="O29" s="730">
        <v>280.94</v>
      </c>
      <c r="P29" s="730">
        <f t="shared" si="3"/>
        <v>458.16469501384768</v>
      </c>
      <c r="Q29" s="731">
        <f t="shared" si="4"/>
        <v>368.43689081831167</v>
      </c>
      <c r="R29" s="731">
        <f t="shared" si="5"/>
        <v>46.178369382233335</v>
      </c>
      <c r="S29" s="732"/>
      <c r="T29" s="730">
        <v>890.96</v>
      </c>
      <c r="U29" s="730">
        <f t="shared" si="6"/>
        <v>8608.8201850269597</v>
      </c>
      <c r="V29" s="733">
        <f t="shared" ref="V29:V30" si="17">171536.74/13841.67*G29</f>
        <v>8957.4997577604427</v>
      </c>
      <c r="W29" s="733">
        <f t="shared" si="16"/>
        <v>1809.4149510676095</v>
      </c>
      <c r="X29" s="733">
        <f t="shared" si="8"/>
        <v>943.0625098467641</v>
      </c>
      <c r="Y29" s="730"/>
      <c r="Z29" s="734">
        <f t="shared" si="9"/>
        <v>3991.6961156631432</v>
      </c>
      <c r="AA29" s="735">
        <f t="shared" si="10"/>
        <v>1725.5265254206861</v>
      </c>
      <c r="AB29" s="648">
        <f t="shared" si="11"/>
        <v>99.626769833370787</v>
      </c>
      <c r="AC29" s="648">
        <f t="shared" si="14"/>
        <v>56.163791819346379</v>
      </c>
      <c r="AD29" s="648">
        <f t="shared" si="12"/>
        <v>9.1156521425634054</v>
      </c>
      <c r="AE29" s="648">
        <v>9.48</v>
      </c>
      <c r="AF29" s="736">
        <f t="shared" si="13"/>
        <v>396.59000000000015</v>
      </c>
      <c r="AG29" s="250"/>
      <c r="AH29" s="250"/>
      <c r="AI29" s="35"/>
      <c r="AJ29" s="30"/>
      <c r="AK29" s="67"/>
      <c r="AL29" s="67"/>
      <c r="AM29" s="67"/>
      <c r="AN29" s="68"/>
      <c r="AO29" s="67"/>
      <c r="AP29" s="68"/>
      <c r="AQ29" s="35"/>
      <c r="AR29" s="70"/>
      <c r="AS29" s="35"/>
    </row>
    <row r="30" spans="1:45" s="59" customFormat="1" x14ac:dyDescent="0.25">
      <c r="A30" s="21">
        <v>25</v>
      </c>
      <c r="B30" s="55" t="s">
        <v>114</v>
      </c>
      <c r="C30" s="745">
        <v>1973</v>
      </c>
      <c r="D30" s="745">
        <v>2</v>
      </c>
      <c r="E30" s="745">
        <v>16</v>
      </c>
      <c r="F30" s="708">
        <v>46</v>
      </c>
      <c r="G30" s="741">
        <v>714.4</v>
      </c>
      <c r="H30" s="741">
        <v>671.25</v>
      </c>
      <c r="I30" s="741">
        <v>454.81</v>
      </c>
      <c r="J30" s="728">
        <v>27086.28</v>
      </c>
      <c r="K30" s="728">
        <v>32442.81</v>
      </c>
      <c r="L30" s="728">
        <f t="shared" si="0"/>
        <v>27757.53</v>
      </c>
      <c r="M30" s="728">
        <f t="shared" si="1"/>
        <v>32897.620000000003</v>
      </c>
      <c r="N30" s="729">
        <f t="shared" si="2"/>
        <v>26061.079920533655</v>
      </c>
      <c r="O30" s="730">
        <v>280.94</v>
      </c>
      <c r="P30" s="730">
        <f t="shared" si="3"/>
        <v>452.84014681501492</v>
      </c>
      <c r="Q30" s="731">
        <f t="shared" si="4"/>
        <v>364.15511178832577</v>
      </c>
      <c r="R30" s="731">
        <f t="shared" si="5"/>
        <v>45.641708752998746</v>
      </c>
      <c r="S30" s="732"/>
      <c r="T30" s="730">
        <v>890.96</v>
      </c>
      <c r="U30" s="730">
        <f t="shared" si="6"/>
        <v>8507.346176681689</v>
      </c>
      <c r="V30" s="733">
        <f t="shared" si="17"/>
        <v>8853.4004246597415</v>
      </c>
      <c r="W30" s="733">
        <f t="shared" si="16"/>
        <v>1788.3868857812679</v>
      </c>
      <c r="X30" s="733">
        <f t="shared" si="8"/>
        <v>932.10273524422837</v>
      </c>
      <c r="Y30" s="730"/>
      <c r="Z30" s="734">
        <f t="shared" si="9"/>
        <v>3945.30673081039</v>
      </c>
      <c r="AA30" s="735">
        <f t="shared" si="10"/>
        <v>1696.4500794663436</v>
      </c>
      <c r="AB30" s="648">
        <f t="shared" si="11"/>
        <v>119.77580531545861</v>
      </c>
      <c r="AC30" s="648">
        <f t="shared" si="14"/>
        <v>67.755679702048425</v>
      </c>
      <c r="AD30" s="648">
        <f t="shared" si="12"/>
        <v>9.1199187851811505</v>
      </c>
      <c r="AE30" s="648">
        <v>9.48</v>
      </c>
      <c r="AF30" s="736">
        <f t="shared" si="13"/>
        <v>-5140.0900000000038</v>
      </c>
      <c r="AG30" s="250"/>
      <c r="AH30" s="250"/>
      <c r="AI30" s="35"/>
      <c r="AJ30" s="30"/>
      <c r="AK30" s="67"/>
      <c r="AL30" s="67"/>
      <c r="AM30" s="67"/>
      <c r="AN30" s="68"/>
      <c r="AO30" s="67"/>
      <c r="AP30" s="68"/>
      <c r="AQ30" s="35"/>
      <c r="AR30" s="70"/>
      <c r="AS30" s="35"/>
    </row>
    <row r="31" spans="1:45" s="59" customFormat="1" x14ac:dyDescent="0.25">
      <c r="A31" s="21">
        <v>26</v>
      </c>
      <c r="B31" s="55" t="s">
        <v>115</v>
      </c>
      <c r="C31" s="745">
        <v>1961</v>
      </c>
      <c r="D31" s="745">
        <v>1</v>
      </c>
      <c r="E31" s="745">
        <v>4</v>
      </c>
      <c r="F31" s="349">
        <v>10</v>
      </c>
      <c r="G31" s="741">
        <v>61.68</v>
      </c>
      <c r="H31" s="741">
        <v>0</v>
      </c>
      <c r="I31" s="741">
        <v>0</v>
      </c>
      <c r="J31" s="728">
        <v>542.6</v>
      </c>
      <c r="K31" s="728">
        <v>333.6</v>
      </c>
      <c r="L31" s="728">
        <f t="shared" si="0"/>
        <v>542.6</v>
      </c>
      <c r="M31" s="728">
        <f t="shared" si="1"/>
        <v>333.6</v>
      </c>
      <c r="N31" s="729">
        <f t="shared" si="2"/>
        <v>666.00675389215212</v>
      </c>
      <c r="O31" s="730"/>
      <c r="P31" s="730">
        <f t="shared" si="3"/>
        <v>39.097396774286281</v>
      </c>
      <c r="Q31" s="731">
        <f t="shared" si="4"/>
        <v>31.44049173446799</v>
      </c>
      <c r="R31" s="731">
        <f t="shared" si="5"/>
        <v>3.9406223346654015</v>
      </c>
      <c r="S31" s="732"/>
      <c r="T31" s="730"/>
      <c r="U31" s="730">
        <f t="shared" si="6"/>
        <v>170.42155790560702</v>
      </c>
      <c r="V31" s="733"/>
      <c r="W31" s="733">
        <f t="shared" si="16"/>
        <v>0</v>
      </c>
      <c r="X31" s="733">
        <f t="shared" si="8"/>
        <v>80.476059224333724</v>
      </c>
      <c r="Y31" s="730"/>
      <c r="Z31" s="734">
        <f t="shared" si="9"/>
        <v>340.63062591879179</v>
      </c>
      <c r="AA31" s="735">
        <f t="shared" si="10"/>
        <v>-123.4067538921521</v>
      </c>
      <c r="AB31" s="648">
        <f t="shared" si="11"/>
        <v>61.481754515296714</v>
      </c>
      <c r="AC31" s="648">
        <v>0</v>
      </c>
      <c r="AD31" s="648">
        <f t="shared" si="12"/>
        <v>2.6994437171374517</v>
      </c>
      <c r="AE31" s="648">
        <v>2.2000000000000002</v>
      </c>
      <c r="AF31" s="736">
        <f t="shared" si="13"/>
        <v>209</v>
      </c>
      <c r="AG31" s="250"/>
      <c r="AH31" s="250"/>
      <c r="AI31" s="35"/>
      <c r="AJ31" s="30"/>
      <c r="AK31" s="67"/>
      <c r="AL31" s="67"/>
      <c r="AM31" s="67"/>
      <c r="AN31" s="68"/>
      <c r="AO31" s="67"/>
      <c r="AP31" s="68"/>
      <c r="AQ31" s="35"/>
      <c r="AR31" s="70"/>
      <c r="AS31" s="35"/>
    </row>
    <row r="32" spans="1:45" s="59" customFormat="1" x14ac:dyDescent="0.25">
      <c r="A32" s="21">
        <v>27</v>
      </c>
      <c r="B32" s="55" t="s">
        <v>116</v>
      </c>
      <c r="C32" s="745">
        <v>1961</v>
      </c>
      <c r="D32" s="745">
        <v>1</v>
      </c>
      <c r="E32" s="745">
        <v>2</v>
      </c>
      <c r="F32" s="708">
        <v>3</v>
      </c>
      <c r="G32" s="741">
        <v>40</v>
      </c>
      <c r="H32" s="741">
        <v>0</v>
      </c>
      <c r="I32" s="741">
        <v>0</v>
      </c>
      <c r="J32" s="728">
        <v>1352</v>
      </c>
      <c r="K32" s="728">
        <v>1352</v>
      </c>
      <c r="L32" s="728">
        <f t="shared" si="0"/>
        <v>1352</v>
      </c>
      <c r="M32" s="728">
        <f t="shared" si="1"/>
        <v>1352</v>
      </c>
      <c r="N32" s="729">
        <f t="shared" si="2"/>
        <v>746.03169793393101</v>
      </c>
      <c r="O32" s="730"/>
      <c r="P32" s="730">
        <f t="shared" si="3"/>
        <v>25.354991423013153</v>
      </c>
      <c r="Q32" s="731">
        <f t="shared" si="4"/>
        <v>20.389423952313873</v>
      </c>
      <c r="R32" s="731">
        <f t="shared" si="5"/>
        <v>2.5555268058789893</v>
      </c>
      <c r="S32" s="732"/>
      <c r="T32" s="730"/>
      <c r="U32" s="730">
        <f t="shared" si="6"/>
        <v>424.64052025134657</v>
      </c>
      <c r="V32" s="733"/>
      <c r="W32" s="733">
        <f t="shared" si="16"/>
        <v>0</v>
      </c>
      <c r="X32" s="733">
        <f t="shared" si="8"/>
        <v>52.189402869217716</v>
      </c>
      <c r="Y32" s="730"/>
      <c r="Z32" s="734">
        <f t="shared" si="9"/>
        <v>220.90183263216068</v>
      </c>
      <c r="AA32" s="735">
        <f t="shared" si="10"/>
        <v>605.96830206606899</v>
      </c>
      <c r="AB32" s="648">
        <f t="shared" si="11"/>
        <v>100</v>
      </c>
      <c r="AC32" s="648">
        <v>0</v>
      </c>
      <c r="AD32" s="648">
        <f t="shared" si="12"/>
        <v>4.6626981120870692</v>
      </c>
      <c r="AE32" s="648">
        <v>8.4499999999999993</v>
      </c>
      <c r="AF32" s="736">
        <f t="shared" si="13"/>
        <v>0</v>
      </c>
      <c r="AG32" s="250"/>
      <c r="AH32" s="250"/>
      <c r="AI32" s="35"/>
      <c r="AJ32" s="30"/>
      <c r="AK32" s="67"/>
      <c r="AL32" s="67"/>
      <c r="AM32" s="67"/>
      <c r="AN32" s="68"/>
      <c r="AO32" s="67"/>
      <c r="AP32" s="68"/>
      <c r="AQ32" s="35"/>
      <c r="AR32" s="70"/>
      <c r="AS32" s="35"/>
    </row>
    <row r="33" spans="1:46" s="59" customFormat="1" x14ac:dyDescent="0.25">
      <c r="A33" s="21">
        <v>28</v>
      </c>
      <c r="B33" s="55" t="s">
        <v>117</v>
      </c>
      <c r="C33" s="745">
        <v>1969</v>
      </c>
      <c r="D33" s="745">
        <v>2</v>
      </c>
      <c r="E33" s="745">
        <v>16</v>
      </c>
      <c r="F33" s="349">
        <v>37</v>
      </c>
      <c r="G33" s="741">
        <v>716.27</v>
      </c>
      <c r="H33" s="741">
        <v>671.34</v>
      </c>
      <c r="I33" s="741">
        <v>392.45</v>
      </c>
      <c r="J33" s="728">
        <v>27160.959999999999</v>
      </c>
      <c r="K33" s="728">
        <v>25202.23</v>
      </c>
      <c r="L33" s="728">
        <f t="shared" si="0"/>
        <v>27832.3</v>
      </c>
      <c r="M33" s="728">
        <f t="shared" si="1"/>
        <v>25594.68</v>
      </c>
      <c r="N33" s="729">
        <f t="shared" si="2"/>
        <v>26127.416435596122</v>
      </c>
      <c r="O33" s="730">
        <v>280.94</v>
      </c>
      <c r="P33" s="730">
        <f t="shared" si="3"/>
        <v>454.02549266404077</v>
      </c>
      <c r="Q33" s="731">
        <f t="shared" si="4"/>
        <v>365.10831735809643</v>
      </c>
      <c r="R33" s="731">
        <f t="shared" si="5"/>
        <v>45.76117963117359</v>
      </c>
      <c r="S33" s="732"/>
      <c r="T33" s="730">
        <v>890.96</v>
      </c>
      <c r="U33" s="730">
        <f t="shared" si="6"/>
        <v>8530.801911927525</v>
      </c>
      <c r="V33" s="733">
        <f t="shared" ref="V33" si="18">171536.74/13841.67*G33</f>
        <v>8876.5749190523966</v>
      </c>
      <c r="W33" s="733">
        <f t="shared" si="16"/>
        <v>1793.0681336485843</v>
      </c>
      <c r="X33" s="733">
        <f t="shared" si="8"/>
        <v>934.54258982836427</v>
      </c>
      <c r="Y33" s="730"/>
      <c r="Z33" s="734">
        <f t="shared" si="9"/>
        <v>3955.6338914859434</v>
      </c>
      <c r="AA33" s="735">
        <f t="shared" si="10"/>
        <v>1704.8835644038772</v>
      </c>
      <c r="AB33" s="648">
        <f t="shared" si="11"/>
        <v>92.788436049388537</v>
      </c>
      <c r="AC33" s="648">
        <f t="shared" si="14"/>
        <v>58.457711442786064</v>
      </c>
      <c r="AD33" s="648">
        <f t="shared" si="12"/>
        <v>9.1192624413964438</v>
      </c>
      <c r="AE33" s="648">
        <v>9.48</v>
      </c>
      <c r="AF33" s="736">
        <f t="shared" si="13"/>
        <v>2237.619999999999</v>
      </c>
      <c r="AG33" s="250"/>
      <c r="AH33" s="250"/>
      <c r="AI33" s="35"/>
      <c r="AJ33" s="30"/>
      <c r="AK33" s="67"/>
      <c r="AL33" s="67"/>
      <c r="AM33" s="67"/>
      <c r="AN33" s="68"/>
      <c r="AO33" s="67"/>
      <c r="AP33" s="68"/>
      <c r="AQ33" s="35"/>
      <c r="AR33" s="70"/>
      <c r="AS33" s="35"/>
    </row>
    <row r="34" spans="1:46" s="59" customFormat="1" x14ac:dyDescent="0.25">
      <c r="A34" s="21">
        <v>29</v>
      </c>
      <c r="B34" s="55" t="s">
        <v>118</v>
      </c>
      <c r="C34" s="745">
        <v>1964</v>
      </c>
      <c r="D34" s="745">
        <v>1</v>
      </c>
      <c r="E34" s="745">
        <v>2</v>
      </c>
      <c r="F34" s="708">
        <v>11</v>
      </c>
      <c r="G34" s="741">
        <v>84.5</v>
      </c>
      <c r="H34" s="741">
        <v>0</v>
      </c>
      <c r="I34" s="741">
        <v>0</v>
      </c>
      <c r="J34" s="728">
        <v>2852.72</v>
      </c>
      <c r="K34" s="728">
        <v>1080.68</v>
      </c>
      <c r="L34" s="728">
        <f t="shared" si="0"/>
        <v>2852.72</v>
      </c>
      <c r="M34" s="728">
        <f t="shared" si="1"/>
        <v>1080.68</v>
      </c>
      <c r="N34" s="729">
        <f t="shared" si="2"/>
        <v>1574.9303605848008</v>
      </c>
      <c r="O34" s="730"/>
      <c r="P34" s="730">
        <f t="shared" si="3"/>
        <v>53.562419381115284</v>
      </c>
      <c r="Q34" s="731">
        <f t="shared" si="4"/>
        <v>43.072658099263052</v>
      </c>
      <c r="R34" s="731">
        <f t="shared" si="5"/>
        <v>5.3985503774193653</v>
      </c>
      <c r="S34" s="732"/>
      <c r="T34" s="730"/>
      <c r="U34" s="730">
        <f t="shared" si="6"/>
        <v>895.99149773034128</v>
      </c>
      <c r="V34" s="733"/>
      <c r="W34" s="733">
        <f t="shared" si="16"/>
        <v>0</v>
      </c>
      <c r="X34" s="733">
        <f t="shared" si="8"/>
        <v>110.25011356122242</v>
      </c>
      <c r="Y34" s="730"/>
      <c r="Z34" s="734">
        <f t="shared" si="9"/>
        <v>466.65512143543947</v>
      </c>
      <c r="AA34" s="735">
        <f t="shared" si="10"/>
        <v>1277.789639415199</v>
      </c>
      <c r="AB34" s="648">
        <f t="shared" si="11"/>
        <v>37.882442020247346</v>
      </c>
      <c r="AC34" s="648">
        <v>0</v>
      </c>
      <c r="AD34" s="648">
        <f t="shared" si="12"/>
        <v>4.6595572798366884</v>
      </c>
      <c r="AE34" s="648">
        <v>8.44</v>
      </c>
      <c r="AF34" s="736">
        <f t="shared" si="13"/>
        <v>1772.0399999999997</v>
      </c>
      <c r="AG34" s="250"/>
      <c r="AH34" s="250"/>
      <c r="AI34" s="35"/>
      <c r="AJ34" s="30"/>
      <c r="AK34" s="67"/>
      <c r="AL34" s="67"/>
      <c r="AM34" s="67"/>
      <c r="AN34" s="68"/>
      <c r="AO34" s="67"/>
      <c r="AP34" s="68"/>
      <c r="AQ34" s="35"/>
      <c r="AR34" s="70"/>
      <c r="AS34" s="35"/>
    </row>
    <row r="35" spans="1:46" s="59" customFormat="1" x14ac:dyDescent="0.25">
      <c r="A35" s="21">
        <v>30</v>
      </c>
      <c r="B35" s="55" t="s">
        <v>119</v>
      </c>
      <c r="C35" s="745">
        <v>1968</v>
      </c>
      <c r="D35" s="745">
        <v>2</v>
      </c>
      <c r="E35" s="745">
        <v>16</v>
      </c>
      <c r="F35" s="349">
        <v>54</v>
      </c>
      <c r="G35" s="741">
        <v>714.5</v>
      </c>
      <c r="H35" s="741">
        <v>671.37</v>
      </c>
      <c r="I35" s="741">
        <v>345.08</v>
      </c>
      <c r="J35" s="728">
        <v>27093.88</v>
      </c>
      <c r="K35" s="728">
        <v>22420.61</v>
      </c>
      <c r="L35" s="728">
        <f t="shared" si="0"/>
        <v>27765.25</v>
      </c>
      <c r="M35" s="728">
        <f t="shared" si="1"/>
        <v>22765.690000000002</v>
      </c>
      <c r="N35" s="729">
        <f t="shared" si="2"/>
        <v>26065.760042873706</v>
      </c>
      <c r="O35" s="730">
        <v>280.94</v>
      </c>
      <c r="P35" s="730">
        <f t="shared" si="3"/>
        <v>452.90353429357248</v>
      </c>
      <c r="Q35" s="731">
        <f t="shared" si="4"/>
        <v>364.20608534820656</v>
      </c>
      <c r="R35" s="731">
        <f t="shared" si="5"/>
        <v>45.648097570013448</v>
      </c>
      <c r="S35" s="732"/>
      <c r="T35" s="730">
        <v>890.96</v>
      </c>
      <c r="U35" s="730">
        <f t="shared" si="6"/>
        <v>8509.7332091919779</v>
      </c>
      <c r="V35" s="733">
        <f t="shared" ref="V35" si="19">171536.74/13841.67*G35</f>
        <v>8854.6397024347498</v>
      </c>
      <c r="W35" s="733">
        <f t="shared" si="16"/>
        <v>1788.6372198918195</v>
      </c>
      <c r="X35" s="733">
        <f t="shared" si="8"/>
        <v>932.23320875140143</v>
      </c>
      <c r="Y35" s="730"/>
      <c r="Z35" s="734">
        <f t="shared" si="9"/>
        <v>3945.8589853919702</v>
      </c>
      <c r="AA35" s="735">
        <f t="shared" si="10"/>
        <v>1699.489957126294</v>
      </c>
      <c r="AB35" s="648">
        <f t="shared" si="11"/>
        <v>82.751566036315211</v>
      </c>
      <c r="AC35" s="648">
        <f t="shared" si="14"/>
        <v>51.399377392495936</v>
      </c>
      <c r="AD35" s="648">
        <f t="shared" si="12"/>
        <v>9.1202799310264897</v>
      </c>
      <c r="AE35" s="648">
        <v>9.48</v>
      </c>
      <c r="AF35" s="736">
        <f t="shared" si="13"/>
        <v>4999.5599999999977</v>
      </c>
      <c r="AG35" s="250"/>
      <c r="AH35" s="250"/>
      <c r="AI35" s="35"/>
      <c r="AJ35" s="30"/>
      <c r="AK35" s="67"/>
      <c r="AL35" s="67"/>
      <c r="AM35" s="67"/>
      <c r="AN35" s="68"/>
      <c r="AO35" s="67"/>
      <c r="AP35" s="68"/>
      <c r="AQ35" s="35"/>
      <c r="AR35" s="70"/>
      <c r="AS35" s="35"/>
    </row>
    <row r="36" spans="1:46" s="59" customFormat="1" x14ac:dyDescent="0.25">
      <c r="A36" s="21">
        <v>31</v>
      </c>
      <c r="B36" s="55" t="s">
        <v>120</v>
      </c>
      <c r="C36" s="745">
        <v>1981</v>
      </c>
      <c r="D36" s="745">
        <v>1</v>
      </c>
      <c r="E36" s="745">
        <v>2</v>
      </c>
      <c r="F36" s="708">
        <v>3</v>
      </c>
      <c r="G36" s="741">
        <v>45.37</v>
      </c>
      <c r="H36" s="741">
        <v>0</v>
      </c>
      <c r="I36" s="741">
        <v>0</v>
      </c>
      <c r="J36" s="728">
        <v>1544.4</v>
      </c>
      <c r="K36" s="728">
        <v>1158.3</v>
      </c>
      <c r="L36" s="728">
        <f t="shared" si="0"/>
        <v>1544.4</v>
      </c>
      <c r="M36" s="728">
        <f t="shared" si="1"/>
        <v>1158.3</v>
      </c>
      <c r="N36" s="729">
        <f t="shared" si="2"/>
        <v>849.60807603512501</v>
      </c>
      <c r="O36" s="730"/>
      <c r="P36" s="730">
        <f t="shared" si="3"/>
        <v>28.758899021552669</v>
      </c>
      <c r="Q36" s="731">
        <f t="shared" si="4"/>
        <v>23.126704117912009</v>
      </c>
      <c r="R36" s="731">
        <f t="shared" si="5"/>
        <v>2.8986062795682432</v>
      </c>
      <c r="S36" s="732"/>
      <c r="T36" s="730"/>
      <c r="U36" s="730">
        <f t="shared" si="6"/>
        <v>485.07013274865363</v>
      </c>
      <c r="V36" s="733"/>
      <c r="W36" s="733">
        <f t="shared" si="16"/>
        <v>0</v>
      </c>
      <c r="X36" s="733">
        <f t="shared" si="8"/>
        <v>59.195830204410193</v>
      </c>
      <c r="Y36" s="730"/>
      <c r="Z36" s="734">
        <f t="shared" si="9"/>
        <v>250.55790366302824</v>
      </c>
      <c r="AA36" s="735">
        <f t="shared" si="10"/>
        <v>694.79192396487508</v>
      </c>
      <c r="AB36" s="648">
        <f t="shared" si="11"/>
        <v>74.999999999999986</v>
      </c>
      <c r="AC36" s="648">
        <v>0</v>
      </c>
      <c r="AD36" s="648">
        <f t="shared" si="12"/>
        <v>4.6815521051086897</v>
      </c>
      <c r="AE36" s="648">
        <v>8.51</v>
      </c>
      <c r="AF36" s="736">
        <f t="shared" si="13"/>
        <v>386.10000000000014</v>
      </c>
      <c r="AG36" s="250"/>
      <c r="AH36" s="250"/>
      <c r="AI36" s="35"/>
      <c r="AJ36" s="30"/>
      <c r="AK36" s="67"/>
      <c r="AL36" s="67"/>
      <c r="AM36" s="67"/>
      <c r="AN36" s="68"/>
      <c r="AO36" s="67"/>
      <c r="AP36" s="68"/>
      <c r="AQ36" s="35"/>
      <c r="AR36" s="70"/>
      <c r="AS36" s="35"/>
    </row>
    <row r="37" spans="1:46" s="59" customFormat="1" x14ac:dyDescent="0.25">
      <c r="A37" s="21">
        <v>32</v>
      </c>
      <c r="B37" s="55" t="s">
        <v>121</v>
      </c>
      <c r="C37" s="745">
        <v>1970</v>
      </c>
      <c r="D37" s="745">
        <v>2</v>
      </c>
      <c r="E37" s="745">
        <v>16</v>
      </c>
      <c r="F37" s="349">
        <v>35</v>
      </c>
      <c r="G37" s="741">
        <v>714.01</v>
      </c>
      <c r="H37" s="741">
        <v>671.37</v>
      </c>
      <c r="I37" s="741">
        <v>385.59</v>
      </c>
      <c r="J37" s="728">
        <v>27109.4</v>
      </c>
      <c r="K37" s="728">
        <v>29082.94</v>
      </c>
      <c r="L37" s="728">
        <f t="shared" si="0"/>
        <v>27780.77</v>
      </c>
      <c r="M37" s="728">
        <f t="shared" si="1"/>
        <v>29468.53</v>
      </c>
      <c r="N37" s="729">
        <f t="shared" si="2"/>
        <v>26059.398474360445</v>
      </c>
      <c r="O37" s="730">
        <v>280.94</v>
      </c>
      <c r="P37" s="730">
        <f t="shared" si="3"/>
        <v>452.59293564864055</v>
      </c>
      <c r="Q37" s="731">
        <f t="shared" si="4"/>
        <v>363.9563149047907</v>
      </c>
      <c r="R37" s="731">
        <f t="shared" si="5"/>
        <v>45.616792366641427</v>
      </c>
      <c r="S37" s="732"/>
      <c r="T37" s="730">
        <v>890.96</v>
      </c>
      <c r="U37" s="730">
        <f t="shared" si="6"/>
        <v>8514.607780844568</v>
      </c>
      <c r="V37" s="733">
        <f t="shared" ref="V37" si="20">171536.74/13841.67*G37</f>
        <v>8848.5672413372085</v>
      </c>
      <c r="W37" s="733">
        <f t="shared" si="16"/>
        <v>1787.4105827501162</v>
      </c>
      <c r="X37" s="733">
        <f t="shared" si="8"/>
        <v>931.59388856625355</v>
      </c>
      <c r="Y37" s="730"/>
      <c r="Z37" s="734">
        <f t="shared" si="9"/>
        <v>3943.1529379422263</v>
      </c>
      <c r="AA37" s="735">
        <f t="shared" si="10"/>
        <v>1721.3715256395553</v>
      </c>
      <c r="AB37" s="648">
        <f t="shared" si="11"/>
        <v>107.2799102894199</v>
      </c>
      <c r="AC37" s="648">
        <f t="shared" si="14"/>
        <v>57.433308011975505</v>
      </c>
      <c r="AD37" s="648">
        <f t="shared" si="12"/>
        <v>9.1243114502459512</v>
      </c>
      <c r="AE37" s="648">
        <v>9.48</v>
      </c>
      <c r="AF37" s="736">
        <f t="shared" si="13"/>
        <v>-1687.7599999999984</v>
      </c>
      <c r="AG37" s="250"/>
      <c r="AH37" s="250"/>
      <c r="AI37" s="35"/>
      <c r="AJ37" s="30"/>
      <c r="AK37" s="67"/>
      <c r="AL37" s="67"/>
      <c r="AM37" s="67"/>
      <c r="AN37" s="68"/>
      <c r="AO37" s="67"/>
      <c r="AP37" s="68"/>
      <c r="AQ37" s="35"/>
      <c r="AR37" s="70"/>
      <c r="AS37" s="35"/>
    </row>
    <row r="38" spans="1:46" s="59" customFormat="1" x14ac:dyDescent="0.25">
      <c r="A38" s="21">
        <v>33</v>
      </c>
      <c r="B38" s="55" t="s">
        <v>122</v>
      </c>
      <c r="C38" s="745">
        <v>1962</v>
      </c>
      <c r="D38" s="745">
        <v>1</v>
      </c>
      <c r="E38" s="745">
        <v>2</v>
      </c>
      <c r="F38" s="708">
        <v>5</v>
      </c>
      <c r="G38" s="741">
        <v>77.209999999999994</v>
      </c>
      <c r="H38" s="741">
        <v>0</v>
      </c>
      <c r="I38" s="741">
        <v>0</v>
      </c>
      <c r="J38" s="728">
        <v>2606.6</v>
      </c>
      <c r="K38" s="728">
        <v>2606.6</v>
      </c>
      <c r="L38" s="728">
        <f t="shared" si="0"/>
        <v>2606.6</v>
      </c>
      <c r="M38" s="728">
        <f t="shared" si="1"/>
        <v>2606.6</v>
      </c>
      <c r="N38" s="729">
        <f t="shared" si="2"/>
        <v>1439.0546551058026</v>
      </c>
      <c r="O38" s="730"/>
      <c r="P38" s="730">
        <f t="shared" si="3"/>
        <v>48.941472194271135</v>
      </c>
      <c r="Q38" s="731">
        <f t="shared" si="4"/>
        <v>39.356685583953848</v>
      </c>
      <c r="R38" s="731">
        <f t="shared" si="5"/>
        <v>4.9328056170479186</v>
      </c>
      <c r="S38" s="732"/>
      <c r="T38" s="730"/>
      <c r="U38" s="730">
        <f t="shared" si="6"/>
        <v>818.68933438399404</v>
      </c>
      <c r="V38" s="733"/>
      <c r="W38" s="733">
        <f t="shared" si="16"/>
        <v>0</v>
      </c>
      <c r="X38" s="733">
        <f t="shared" si="8"/>
        <v>100.73859488830749</v>
      </c>
      <c r="Y38" s="730"/>
      <c r="Z38" s="734">
        <f t="shared" si="9"/>
        <v>426.39576243822813</v>
      </c>
      <c r="AA38" s="735">
        <f t="shared" si="10"/>
        <v>1167.5453448941973</v>
      </c>
      <c r="AB38" s="648">
        <f t="shared" si="11"/>
        <v>100</v>
      </c>
      <c r="AC38" s="648">
        <v>0</v>
      </c>
      <c r="AD38" s="648">
        <f t="shared" si="12"/>
        <v>4.6595475168559863</v>
      </c>
      <c r="AE38" s="648">
        <v>8.44</v>
      </c>
      <c r="AF38" s="736">
        <f t="shared" si="13"/>
        <v>0</v>
      </c>
      <c r="AG38" s="250"/>
      <c r="AH38" s="250"/>
      <c r="AI38" s="35"/>
      <c r="AJ38" s="30"/>
      <c r="AK38" s="67"/>
      <c r="AL38" s="67"/>
      <c r="AM38" s="67"/>
      <c r="AN38" s="68"/>
      <c r="AO38" s="67"/>
      <c r="AP38" s="68"/>
      <c r="AQ38" s="35"/>
      <c r="AR38" s="70"/>
      <c r="AS38" s="35"/>
    </row>
    <row r="39" spans="1:46" s="59" customFormat="1" x14ac:dyDescent="0.25">
      <c r="A39" s="19">
        <v>34</v>
      </c>
      <c r="B39" s="55" t="s">
        <v>123</v>
      </c>
      <c r="C39" s="745">
        <v>1990</v>
      </c>
      <c r="D39" s="745">
        <v>3</v>
      </c>
      <c r="E39" s="745">
        <v>24</v>
      </c>
      <c r="F39" s="349">
        <v>61</v>
      </c>
      <c r="G39" s="741">
        <v>1444.1</v>
      </c>
      <c r="H39" s="741">
        <v>2224.77</v>
      </c>
      <c r="I39" s="741">
        <v>1243.71</v>
      </c>
      <c r="J39" s="728">
        <v>54510.44</v>
      </c>
      <c r="K39" s="728">
        <v>48546.720000000001</v>
      </c>
      <c r="L39" s="728">
        <f t="shared" si="0"/>
        <v>56735.21</v>
      </c>
      <c r="M39" s="728">
        <f t="shared" si="1"/>
        <v>49790.43</v>
      </c>
      <c r="N39" s="729">
        <f t="shared" si="2"/>
        <v>55279.325025097416</v>
      </c>
      <c r="O39" s="730">
        <v>581.42999999999995</v>
      </c>
      <c r="P39" s="730">
        <f t="shared" si="3"/>
        <v>915.37857784933226</v>
      </c>
      <c r="Q39" s="731">
        <f t="shared" si="4"/>
        <v>736.10917823841157</v>
      </c>
      <c r="R39" s="731">
        <f t="shared" si="5"/>
        <v>92.260906509246212</v>
      </c>
      <c r="S39" s="732"/>
      <c r="T39" s="730">
        <v>4462.57</v>
      </c>
      <c r="U39" s="730">
        <f t="shared" si="6"/>
        <v>17120.814793439211</v>
      </c>
      <c r="V39" s="733">
        <f t="shared" ref="V39" si="21">171536.74/13841.67*G39</f>
        <v>17896.410348895759</v>
      </c>
      <c r="W39" s="733">
        <f t="shared" si="16"/>
        <v>3615.0748904769434</v>
      </c>
      <c r="X39" s="733">
        <f t="shared" si="8"/>
        <v>1884.1679170859325</v>
      </c>
      <c r="Y39" s="730"/>
      <c r="Z39" s="734">
        <f t="shared" si="9"/>
        <v>7975.1084126025808</v>
      </c>
      <c r="AA39" s="735">
        <f t="shared" si="10"/>
        <v>1455.8849749025831</v>
      </c>
      <c r="AB39" s="648">
        <f t="shared" si="11"/>
        <v>89.059490255444643</v>
      </c>
      <c r="AC39" s="648">
        <f t="shared" si="14"/>
        <v>55.902857374020684</v>
      </c>
      <c r="AD39" s="648">
        <f t="shared" si="12"/>
        <v>9.5698575280620144</v>
      </c>
      <c r="AE39" s="648">
        <v>9.44</v>
      </c>
      <c r="AF39" s="736">
        <f t="shared" si="13"/>
        <v>6944.7799999999988</v>
      </c>
      <c r="AG39" s="250"/>
      <c r="AH39" s="250"/>
      <c r="AI39" s="35"/>
      <c r="AJ39" s="30"/>
      <c r="AK39" s="67"/>
      <c r="AL39" s="67"/>
      <c r="AM39" s="67"/>
      <c r="AN39" s="68"/>
      <c r="AO39" s="67"/>
      <c r="AP39" s="71"/>
      <c r="AQ39" s="35"/>
      <c r="AR39" s="70"/>
      <c r="AS39" s="35"/>
    </row>
    <row r="40" spans="1:46" s="59" customFormat="1" x14ac:dyDescent="0.25">
      <c r="A40" s="251">
        <v>35</v>
      </c>
      <c r="B40" s="252" t="s">
        <v>124</v>
      </c>
      <c r="C40" s="748">
        <v>1980</v>
      </c>
      <c r="D40" s="748">
        <v>1</v>
      </c>
      <c r="E40" s="748">
        <v>1</v>
      </c>
      <c r="F40" s="749">
        <v>3</v>
      </c>
      <c r="G40" s="750">
        <v>36</v>
      </c>
      <c r="H40" s="750">
        <v>0</v>
      </c>
      <c r="I40" s="750">
        <v>0</v>
      </c>
      <c r="J40" s="751">
        <v>659.52</v>
      </c>
      <c r="K40" s="751">
        <v>331.1</v>
      </c>
      <c r="L40" s="728">
        <f t="shared" si="0"/>
        <v>659.52</v>
      </c>
      <c r="M40" s="728">
        <f t="shared" si="1"/>
        <v>331.1</v>
      </c>
      <c r="N40" s="729">
        <f t="shared" si="2"/>
        <v>496.39622849137345</v>
      </c>
      <c r="O40" s="752"/>
      <c r="P40" s="730">
        <f t="shared" si="3"/>
        <v>22.819492280711838</v>
      </c>
      <c r="Q40" s="731">
        <f t="shared" si="4"/>
        <v>18.350481557082485</v>
      </c>
      <c r="R40" s="731">
        <f t="shared" si="5"/>
        <v>2.2999741252910901</v>
      </c>
      <c r="S40" s="753"/>
      <c r="T40" s="752"/>
      <c r="U40" s="730">
        <f t="shared" si="6"/>
        <v>207.14416857704742</v>
      </c>
      <c r="V40" s="733"/>
      <c r="W40" s="733">
        <f t="shared" si="16"/>
        <v>0</v>
      </c>
      <c r="X40" s="733">
        <f t="shared" si="8"/>
        <v>46.970462582295944</v>
      </c>
      <c r="Y40" s="730"/>
      <c r="Z40" s="734">
        <f t="shared" si="9"/>
        <v>198.81164936894461</v>
      </c>
      <c r="AA40" s="735">
        <f t="shared" si="10"/>
        <v>163.12377150862653</v>
      </c>
      <c r="AB40" s="648">
        <f t="shared" si="11"/>
        <v>50.203178068898602</v>
      </c>
      <c r="AC40" s="648">
        <v>0</v>
      </c>
      <c r="AD40" s="648">
        <f t="shared" si="12"/>
        <v>3.4471960311900935</v>
      </c>
      <c r="AE40" s="754">
        <v>4.58</v>
      </c>
      <c r="AF40" s="736">
        <f t="shared" si="13"/>
        <v>328.41999999999996</v>
      </c>
      <c r="AG40" s="250"/>
      <c r="AH40" s="250"/>
      <c r="AI40" s="35"/>
      <c r="AJ40" s="30"/>
      <c r="AK40" s="67"/>
      <c r="AL40" s="67"/>
      <c r="AM40" s="67"/>
      <c r="AN40" s="68"/>
      <c r="AO40" s="67"/>
      <c r="AP40" s="71"/>
      <c r="AQ40" s="35"/>
      <c r="AR40" s="70"/>
      <c r="AS40" s="35"/>
    </row>
    <row r="41" spans="1:46" s="59" customFormat="1" x14ac:dyDescent="0.25">
      <c r="A41" s="19"/>
      <c r="B41" s="392" t="s">
        <v>23</v>
      </c>
      <c r="C41" s="745"/>
      <c r="D41" s="745"/>
      <c r="E41" s="755">
        <f>SUM(E5:E40)</f>
        <v>301</v>
      </c>
      <c r="F41" s="755">
        <f>SUM(F5:F40)</f>
        <v>837</v>
      </c>
      <c r="G41" s="755">
        <f>SUM(G5:G40)</f>
        <v>15652.350000000002</v>
      </c>
      <c r="H41" s="756">
        <f>SUM(H6:H40)</f>
        <v>24225.690000000002</v>
      </c>
      <c r="I41" s="756">
        <f>SUM(I6:I40)</f>
        <v>13722.900000000001</v>
      </c>
      <c r="J41" s="757">
        <f>SUM(J6:J40)</f>
        <v>564520.98</v>
      </c>
      <c r="K41" s="757">
        <f>SUM(K6:K40)</f>
        <v>543482.82999999984</v>
      </c>
      <c r="L41" s="757">
        <f t="shared" ref="L41:M41" si="22">SUM(L6:L40)</f>
        <v>588746.66999999993</v>
      </c>
      <c r="M41" s="757">
        <f t="shared" si="22"/>
        <v>557205.73</v>
      </c>
      <c r="N41" s="758">
        <f t="shared" si="2"/>
        <v>533000.99147999997</v>
      </c>
      <c r="O41" s="640">
        <f t="shared" ref="O41:V41" si="23">SUM(O6:O40)</f>
        <v>6031.0699999999988</v>
      </c>
      <c r="P41" s="759">
        <f t="shared" si="23"/>
        <v>9921.630000000001</v>
      </c>
      <c r="Q41" s="759">
        <f t="shared" si="23"/>
        <v>7978.5599999999995</v>
      </c>
      <c r="R41" s="760">
        <f t="shared" si="23"/>
        <v>1000</v>
      </c>
      <c r="S41" s="640">
        <f t="shared" si="23"/>
        <v>0</v>
      </c>
      <c r="T41" s="640">
        <f t="shared" si="23"/>
        <v>17713.009999999995</v>
      </c>
      <c r="U41" s="640">
        <f t="shared" si="23"/>
        <v>177306.57</v>
      </c>
      <c r="V41" s="640">
        <f t="shared" si="23"/>
        <v>171536.74</v>
      </c>
      <c r="W41" s="761">
        <f>SUM(W6:W40)</f>
        <v>34650.421479999997</v>
      </c>
      <c r="X41" s="761">
        <f>SUM(X6:X40)</f>
        <v>20422.169999999998</v>
      </c>
      <c r="Y41" s="761">
        <f t="shared" ref="Y41:Z41" si="24">SUM(Y6:Y40)</f>
        <v>0</v>
      </c>
      <c r="Z41" s="761">
        <f t="shared" si="24"/>
        <v>86440.820000000022</v>
      </c>
      <c r="AA41" s="761">
        <f>SUM(AA6:AA40)</f>
        <v>55745.678520000009</v>
      </c>
      <c r="AB41" s="644">
        <f t="shared" si="11"/>
        <v>96.273274024288668</v>
      </c>
      <c r="AC41" s="644">
        <f t="shared" si="14"/>
        <v>56.646064570297071</v>
      </c>
      <c r="AD41" s="644">
        <f t="shared" si="12"/>
        <v>8.5131145080451169</v>
      </c>
      <c r="AE41" s="762"/>
      <c r="AF41" s="762">
        <f t="shared" si="13"/>
        <v>31540.939999999944</v>
      </c>
      <c r="AG41" s="250" t="s">
        <v>180</v>
      </c>
      <c r="AH41" s="250"/>
      <c r="AI41" s="72"/>
      <c r="AJ41" s="72"/>
      <c r="AK41" s="72"/>
      <c r="AL41" s="72"/>
      <c r="AM41" s="72"/>
      <c r="AN41" s="72"/>
      <c r="AO41" s="72"/>
      <c r="AP41" s="72"/>
      <c r="AQ41" s="72"/>
      <c r="AR41" s="73"/>
      <c r="AS41" s="72"/>
    </row>
    <row r="42" spans="1:46" x14ac:dyDescent="0.25">
      <c r="C42" s="375"/>
      <c r="D42" s="375"/>
      <c r="E42" s="375"/>
      <c r="F42" s="375"/>
      <c r="G42" s="375"/>
      <c r="H42" s="375"/>
      <c r="I42" s="375"/>
      <c r="J42" s="375" t="s">
        <v>180</v>
      </c>
      <c r="K42" s="375"/>
      <c r="L42" s="375"/>
      <c r="M42" s="375"/>
      <c r="N42" s="375" t="s">
        <v>180</v>
      </c>
      <c r="O42" s="763">
        <f>O41+P41</f>
        <v>15952.7</v>
      </c>
      <c r="P42" s="375"/>
      <c r="Q42" s="375"/>
      <c r="R42" s="375"/>
      <c r="S42" s="375"/>
      <c r="T42" s="375"/>
      <c r="U42" s="375"/>
      <c r="V42" s="763">
        <f>V41+W41</f>
        <v>206187.16147999998</v>
      </c>
      <c r="W42" s="375"/>
      <c r="X42" s="375"/>
      <c r="Y42" s="375"/>
      <c r="Z42" s="375"/>
      <c r="AA42" s="375"/>
      <c r="AB42" s="375"/>
      <c r="AC42" s="375"/>
      <c r="AD42" s="375"/>
      <c r="AE42" s="764"/>
      <c r="AF42" s="375"/>
      <c r="AG42" s="250"/>
      <c r="AH42" s="250"/>
    </row>
    <row r="43" spans="1:46" x14ac:dyDescent="0.25">
      <c r="B43" s="81" t="s">
        <v>587</v>
      </c>
      <c r="C43" s="375"/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375"/>
      <c r="R43" s="375"/>
      <c r="S43" s="375"/>
      <c r="T43" s="375"/>
      <c r="U43" s="764"/>
      <c r="V43" s="375"/>
      <c r="W43" s="375"/>
      <c r="X43" s="375"/>
      <c r="Y43" s="375"/>
      <c r="Z43" s="375"/>
      <c r="AA43" s="375"/>
      <c r="AB43" s="375"/>
      <c r="AC43" s="375"/>
      <c r="AD43" s="375"/>
      <c r="AE43" s="375"/>
      <c r="AF43" s="375"/>
      <c r="AG43" s="250"/>
      <c r="AH43" s="250"/>
    </row>
    <row r="44" spans="1:46" x14ac:dyDescent="0.25"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5"/>
      <c r="AD44" s="375"/>
      <c r="AE44" s="375"/>
      <c r="AF44" s="375"/>
      <c r="AG44" s="250"/>
      <c r="AH44" s="250"/>
    </row>
    <row r="45" spans="1:46" x14ac:dyDescent="0.25">
      <c r="A45" s="9"/>
      <c r="B45" s="9"/>
      <c r="C45" s="349"/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49"/>
      <c r="S45" s="349"/>
      <c r="T45" s="349"/>
      <c r="U45" s="349"/>
      <c r="V45" s="349"/>
      <c r="W45" s="349"/>
      <c r="X45" s="349"/>
      <c r="Y45" s="349"/>
      <c r="Z45" s="349"/>
      <c r="AA45" s="349"/>
      <c r="AB45" s="349"/>
      <c r="AC45" s="349"/>
      <c r="AD45" s="349"/>
      <c r="AE45" s="349"/>
      <c r="AF45" s="375"/>
      <c r="AG45" s="250"/>
      <c r="AH45" s="250"/>
      <c r="AI45" s="9"/>
      <c r="AJ45" s="9"/>
      <c r="AK45" s="9"/>
      <c r="AL45" s="9"/>
      <c r="AM45" s="9"/>
      <c r="AN45" s="9"/>
      <c r="AO45" s="9"/>
      <c r="AP45" s="9"/>
      <c r="AQ45" s="9"/>
      <c r="AR45" s="77"/>
      <c r="AS45" s="9"/>
      <c r="AT45" s="9"/>
    </row>
    <row r="46" spans="1:46" ht="18.75" x14ac:dyDescent="0.3">
      <c r="B46" s="74" t="s">
        <v>583</v>
      </c>
      <c r="C46" s="765"/>
      <c r="D46" s="765"/>
      <c r="E46" s="765"/>
      <c r="F46" s="765"/>
      <c r="G46" s="765"/>
      <c r="H46" s="765"/>
      <c r="I46" s="765"/>
      <c r="J46" s="765"/>
      <c r="K46" s="765"/>
      <c r="L46" s="765"/>
      <c r="M46" s="765"/>
      <c r="N46" s="766"/>
      <c r="O46" s="766"/>
      <c r="P46" s="375"/>
      <c r="Q46" s="375"/>
      <c r="R46" s="375"/>
      <c r="S46" s="375"/>
      <c r="T46" s="375"/>
      <c r="U46" s="375"/>
      <c r="V46" s="375"/>
      <c r="W46" s="375"/>
      <c r="X46" s="375"/>
      <c r="Y46" s="375"/>
      <c r="Z46" s="375"/>
      <c r="AA46" s="375"/>
      <c r="AB46" s="375"/>
      <c r="AC46" s="375"/>
      <c r="AD46" s="375"/>
      <c r="AE46" s="375"/>
      <c r="AF46" s="375"/>
      <c r="AG46" s="250"/>
      <c r="AH46" s="250"/>
      <c r="AI46" s="9"/>
      <c r="AJ46" s="9"/>
      <c r="AK46" s="9"/>
      <c r="AL46" s="9"/>
      <c r="AM46" s="9"/>
      <c r="AN46" s="9"/>
      <c r="AO46" s="9"/>
      <c r="AP46" s="9"/>
      <c r="AQ46" s="9"/>
      <c r="AR46" s="77"/>
      <c r="AS46" s="9"/>
      <c r="AT46" s="9"/>
    </row>
    <row r="47" spans="1:46" ht="14.25" customHeight="1" x14ac:dyDescent="0.25">
      <c r="A47" s="17"/>
      <c r="B47" s="1"/>
      <c r="C47" s="766"/>
      <c r="D47" s="766"/>
      <c r="E47" s="766"/>
      <c r="F47" s="766"/>
      <c r="G47" s="766"/>
      <c r="H47" s="766"/>
      <c r="I47" s="766"/>
      <c r="J47" s="766"/>
      <c r="K47" s="766"/>
      <c r="L47" s="766"/>
      <c r="M47" s="766"/>
      <c r="N47" s="766"/>
      <c r="O47" s="766"/>
      <c r="P47" s="375"/>
      <c r="Q47" s="375"/>
      <c r="R47" s="375"/>
      <c r="S47" s="375"/>
      <c r="T47" s="375"/>
      <c r="U47" s="375"/>
      <c r="V47" s="375"/>
      <c r="W47" s="375"/>
      <c r="X47" s="375"/>
      <c r="Y47" s="375"/>
      <c r="Z47" s="375"/>
      <c r="AA47" s="375"/>
      <c r="AB47" s="375"/>
      <c r="AC47" s="375"/>
      <c r="AD47" s="375"/>
      <c r="AE47" s="375"/>
      <c r="AF47" s="375"/>
      <c r="AG47" s="250"/>
      <c r="AH47" s="250"/>
      <c r="AI47" s="9"/>
      <c r="AJ47" s="9"/>
      <c r="AK47" s="9"/>
      <c r="AL47" s="9"/>
      <c r="AM47" s="9"/>
      <c r="AN47" s="9"/>
      <c r="AO47" s="9"/>
      <c r="AP47" s="9"/>
      <c r="AQ47" s="9"/>
      <c r="AR47" s="77"/>
      <c r="AS47" s="9"/>
      <c r="AT47" s="9"/>
    </row>
    <row r="48" spans="1:46" ht="18" customHeight="1" x14ac:dyDescent="0.25">
      <c r="A48" s="17"/>
      <c r="B48" s="1"/>
      <c r="C48" s="766"/>
      <c r="D48" s="766"/>
      <c r="E48" s="766"/>
      <c r="F48" s="766"/>
      <c r="G48" s="766"/>
      <c r="H48" s="766"/>
      <c r="I48" s="766"/>
      <c r="J48" s="766"/>
      <c r="K48" s="766"/>
      <c r="L48" s="766"/>
      <c r="M48" s="766"/>
      <c r="N48" s="766"/>
      <c r="O48" s="766"/>
      <c r="P48" s="375"/>
      <c r="Q48" s="375"/>
      <c r="R48" s="375"/>
      <c r="S48" s="375"/>
      <c r="T48" s="375"/>
      <c r="U48" s="375"/>
      <c r="V48" s="375"/>
      <c r="W48" s="375"/>
      <c r="X48" s="375"/>
      <c r="Y48" s="375"/>
      <c r="Z48" s="375"/>
      <c r="AA48" s="375"/>
      <c r="AB48" s="375"/>
      <c r="AC48" s="375"/>
      <c r="AD48" s="375"/>
      <c r="AE48" s="375"/>
      <c r="AF48" s="375"/>
      <c r="AG48" s="250"/>
      <c r="AH48" s="250"/>
      <c r="AI48" s="249"/>
      <c r="AJ48" s="249"/>
      <c r="AK48" s="249"/>
      <c r="AL48" s="249"/>
      <c r="AM48" s="249"/>
      <c r="AN48" s="249"/>
      <c r="AO48" s="249"/>
      <c r="AP48" s="9"/>
      <c r="AQ48" s="9"/>
      <c r="AR48" s="77"/>
      <c r="AS48" s="9"/>
      <c r="AT48" s="9"/>
    </row>
    <row r="49" spans="1:46" ht="20.25" customHeight="1" x14ac:dyDescent="0.25">
      <c r="A49" s="2020" t="s">
        <v>0</v>
      </c>
      <c r="B49" s="2020" t="s">
        <v>184</v>
      </c>
      <c r="C49" s="2228" t="s">
        <v>54</v>
      </c>
      <c r="D49" s="2228" t="s">
        <v>55</v>
      </c>
      <c r="E49" s="2228" t="s">
        <v>56</v>
      </c>
      <c r="F49" s="2228" t="s">
        <v>57</v>
      </c>
      <c r="G49" s="2232" t="s">
        <v>6</v>
      </c>
      <c r="H49" s="979"/>
      <c r="I49" s="979"/>
      <c r="J49" s="2087" t="s">
        <v>284</v>
      </c>
      <c r="K49" s="2088"/>
      <c r="L49" s="943"/>
      <c r="M49" s="943"/>
      <c r="N49" s="2074" t="s">
        <v>181</v>
      </c>
      <c r="O49" s="2074" t="s">
        <v>332</v>
      </c>
      <c r="P49" s="2074" t="s">
        <v>333</v>
      </c>
      <c r="Q49" s="2230" t="s">
        <v>314</v>
      </c>
      <c r="R49" s="2230" t="s">
        <v>462</v>
      </c>
      <c r="S49" s="2074" t="s">
        <v>371</v>
      </c>
      <c r="T49" s="2074" t="s">
        <v>175</v>
      </c>
      <c r="U49" s="2074" t="s">
        <v>183</v>
      </c>
      <c r="V49" s="2080" t="s">
        <v>182</v>
      </c>
      <c r="W49" s="2226" t="s">
        <v>544</v>
      </c>
      <c r="X49" s="2184" t="s">
        <v>566</v>
      </c>
      <c r="Y49" s="375"/>
      <c r="Z49" s="375"/>
      <c r="AA49" s="375"/>
      <c r="AB49" s="375"/>
      <c r="AC49" s="375"/>
      <c r="AD49" s="375"/>
      <c r="AE49" s="375"/>
      <c r="AF49" s="375"/>
      <c r="AG49" s="250"/>
      <c r="AH49" s="250"/>
      <c r="AI49" s="249"/>
      <c r="AJ49" s="249"/>
      <c r="AK49" s="249"/>
      <c r="AL49" s="249"/>
      <c r="AM49" s="249"/>
      <c r="AN49" s="249"/>
      <c r="AO49" s="249"/>
      <c r="AP49" s="76"/>
      <c r="AQ49" s="76"/>
      <c r="AR49" s="2240"/>
      <c r="AS49" s="2208"/>
      <c r="AT49" s="9"/>
    </row>
    <row r="50" spans="1:46" ht="32.25" customHeight="1" x14ac:dyDescent="0.25">
      <c r="A50" s="2021"/>
      <c r="B50" s="2021"/>
      <c r="C50" s="2229"/>
      <c r="D50" s="2229"/>
      <c r="E50" s="2229"/>
      <c r="F50" s="2229"/>
      <c r="G50" s="2233"/>
      <c r="H50" s="980"/>
      <c r="I50" s="980"/>
      <c r="J50" s="767" t="s">
        <v>15</v>
      </c>
      <c r="K50" s="768" t="s">
        <v>16</v>
      </c>
      <c r="L50" s="944"/>
      <c r="M50" s="944"/>
      <c r="N50" s="2075"/>
      <c r="O50" s="2075"/>
      <c r="P50" s="2075"/>
      <c r="Q50" s="2231"/>
      <c r="R50" s="2231"/>
      <c r="S50" s="2075"/>
      <c r="T50" s="2075"/>
      <c r="U50" s="2075"/>
      <c r="V50" s="2079"/>
      <c r="W50" s="2227"/>
      <c r="X50" s="2185"/>
      <c r="Y50" s="375"/>
      <c r="Z50" s="375"/>
      <c r="AA50" s="375"/>
      <c r="AB50" s="375"/>
      <c r="AC50" s="375"/>
      <c r="AD50" s="375"/>
      <c r="AE50" s="375"/>
      <c r="AF50" s="375"/>
      <c r="AG50" s="250"/>
      <c r="AH50" s="250"/>
      <c r="AI50" s="249"/>
      <c r="AJ50" s="249"/>
      <c r="AK50" s="249"/>
      <c r="AL50" s="249"/>
      <c r="AM50" s="249"/>
      <c r="AN50" s="249"/>
      <c r="AO50" s="249"/>
      <c r="AP50" s="75"/>
      <c r="AQ50" s="75"/>
      <c r="AR50" s="2240"/>
      <c r="AS50" s="2208"/>
      <c r="AT50" s="9"/>
    </row>
    <row r="51" spans="1:46" s="59" customFormat="1" x14ac:dyDescent="0.25">
      <c r="A51" s="19">
        <v>1</v>
      </c>
      <c r="B51" s="55" t="s">
        <v>100</v>
      </c>
      <c r="C51" s="675">
        <v>1980</v>
      </c>
      <c r="D51" s="675">
        <v>3</v>
      </c>
      <c r="E51" s="675">
        <v>24</v>
      </c>
      <c r="F51" s="769">
        <v>59</v>
      </c>
      <c r="G51" s="770">
        <v>1440.6</v>
      </c>
      <c r="H51" s="951"/>
      <c r="I51" s="951"/>
      <c r="J51" s="521">
        <v>34574.400000000001</v>
      </c>
      <c r="K51" s="521">
        <v>31775.24</v>
      </c>
      <c r="L51" s="982"/>
      <c r="M51" s="982"/>
      <c r="N51" s="771">
        <f t="shared" ref="N51:N63" si="25">O51+P51+Q51+R51+S51</f>
        <v>1484.6489229617414</v>
      </c>
      <c r="O51" s="730">
        <v>1456.54</v>
      </c>
      <c r="P51" s="657">
        <f>270/13837.67*G51</f>
        <v>28.108922961741388</v>
      </c>
      <c r="Q51" s="772"/>
      <c r="R51" s="731"/>
      <c r="S51" s="773"/>
      <c r="T51" s="658">
        <f t="shared" ref="T51:T63" si="26">J51-N51</f>
        <v>33089.751077038258</v>
      </c>
      <c r="U51" s="773">
        <f t="shared" ref="U51:U64" si="27">K51/J51*100</f>
        <v>91.903952057013285</v>
      </c>
      <c r="V51" s="774">
        <f>N51/G51/4</f>
        <v>0.25764419737639549</v>
      </c>
      <c r="W51" s="730">
        <v>6</v>
      </c>
      <c r="X51" s="736">
        <f>J51-K51</f>
        <v>2799.16</v>
      </c>
      <c r="Y51" s="375"/>
      <c r="Z51" s="375"/>
      <c r="AA51" s="375"/>
      <c r="AB51" s="375"/>
      <c r="AC51" s="375"/>
      <c r="AD51" s="375"/>
      <c r="AE51" s="375"/>
      <c r="AF51" s="375"/>
      <c r="AG51" s="250"/>
      <c r="AH51" s="250"/>
      <c r="AI51" s="35"/>
      <c r="AJ51" s="35"/>
      <c r="AK51" s="30"/>
      <c r="AL51" s="67"/>
      <c r="AM51" s="67"/>
      <c r="AN51" s="68"/>
      <c r="AO51" s="67"/>
      <c r="AP51" s="68"/>
      <c r="AQ51" s="35"/>
      <c r="AR51" s="79"/>
      <c r="AS51" s="35"/>
      <c r="AT51" s="30"/>
    </row>
    <row r="52" spans="1:46" s="59" customFormat="1" x14ac:dyDescent="0.25">
      <c r="A52" s="19">
        <v>2</v>
      </c>
      <c r="B52" s="55" t="s">
        <v>101</v>
      </c>
      <c r="C52" s="775">
        <v>1978</v>
      </c>
      <c r="D52" s="775">
        <v>3</v>
      </c>
      <c r="E52" s="775">
        <v>24</v>
      </c>
      <c r="F52" s="672">
        <v>71</v>
      </c>
      <c r="G52" s="676">
        <v>1449.9</v>
      </c>
      <c r="H52" s="951"/>
      <c r="I52" s="951"/>
      <c r="J52" s="521">
        <v>34797.599999999999</v>
      </c>
      <c r="K52" s="521">
        <v>29258.99</v>
      </c>
      <c r="L52" s="982"/>
      <c r="M52" s="982"/>
      <c r="N52" s="771">
        <f t="shared" si="25"/>
        <v>28.290384147042097</v>
      </c>
      <c r="O52" s="730"/>
      <c r="P52" s="657">
        <f t="shared" ref="P52:P63" si="28">270/13837.67*G52</f>
        <v>28.290384147042097</v>
      </c>
      <c r="Q52" s="772"/>
      <c r="R52" s="731"/>
      <c r="S52" s="773"/>
      <c r="T52" s="658">
        <f t="shared" si="26"/>
        <v>34769.309615852959</v>
      </c>
      <c r="U52" s="773">
        <f t="shared" si="27"/>
        <v>84.08335632342461</v>
      </c>
      <c r="V52" s="774">
        <f t="shared" ref="V52:V63" si="29">N52/G52/4</f>
        <v>4.8779888521694762E-3</v>
      </c>
      <c r="W52" s="730">
        <v>6</v>
      </c>
      <c r="X52" s="736">
        <f t="shared" ref="X52:X63" si="30">J52-K52</f>
        <v>5538.6099999999969</v>
      </c>
      <c r="Y52" s="375"/>
      <c r="Z52" s="375"/>
      <c r="AA52" s="375"/>
      <c r="AB52" s="375"/>
      <c r="AC52" s="375"/>
      <c r="AD52" s="375"/>
      <c r="AE52" s="375"/>
      <c r="AF52" s="375"/>
      <c r="AG52" s="250"/>
      <c r="AH52" s="250"/>
      <c r="AI52" s="35"/>
      <c r="AJ52" s="35"/>
      <c r="AK52" s="30"/>
      <c r="AL52" s="67"/>
      <c r="AM52" s="67"/>
      <c r="AN52" s="68"/>
      <c r="AO52" s="67"/>
      <c r="AP52" s="68"/>
      <c r="AQ52" s="35"/>
      <c r="AR52" s="79"/>
      <c r="AS52" s="35"/>
      <c r="AT52" s="30"/>
    </row>
    <row r="53" spans="1:46" s="59" customFormat="1" x14ac:dyDescent="0.25">
      <c r="A53" s="19">
        <v>3</v>
      </c>
      <c r="B53" s="55" t="s">
        <v>102</v>
      </c>
      <c r="C53" s="775">
        <v>1979</v>
      </c>
      <c r="D53" s="775">
        <v>3</v>
      </c>
      <c r="E53" s="775">
        <v>24</v>
      </c>
      <c r="F53" s="672">
        <v>79</v>
      </c>
      <c r="G53" s="676">
        <v>1460.41</v>
      </c>
      <c r="H53" s="951"/>
      <c r="I53" s="951"/>
      <c r="J53" s="521">
        <v>35047.440000000002</v>
      </c>
      <c r="K53" s="521">
        <v>35029.18</v>
      </c>
      <c r="L53" s="982"/>
      <c r="M53" s="982"/>
      <c r="N53" s="771">
        <f t="shared" si="25"/>
        <v>28.4954547983873</v>
      </c>
      <c r="O53" s="730"/>
      <c r="P53" s="657">
        <f t="shared" si="28"/>
        <v>28.4954547983873</v>
      </c>
      <c r="Q53" s="772"/>
      <c r="R53" s="731"/>
      <c r="S53" s="773"/>
      <c r="T53" s="658">
        <f t="shared" si="26"/>
        <v>35018.944545201615</v>
      </c>
      <c r="U53" s="773">
        <f t="shared" si="27"/>
        <v>99.947899190354548</v>
      </c>
      <c r="V53" s="774">
        <f t="shared" si="29"/>
        <v>4.8779888521694762E-3</v>
      </c>
      <c r="W53" s="730">
        <v>6</v>
      </c>
      <c r="X53" s="736">
        <f t="shared" si="30"/>
        <v>18.260000000002037</v>
      </c>
      <c r="Y53" s="375"/>
      <c r="Z53" s="375"/>
      <c r="AA53" s="375"/>
      <c r="AB53" s="375"/>
      <c r="AC53" s="375"/>
      <c r="AD53" s="375"/>
      <c r="AE53" s="375"/>
      <c r="AF53" s="375"/>
      <c r="AG53" s="250"/>
      <c r="AH53" s="250"/>
      <c r="AI53" s="35"/>
      <c r="AJ53" s="35"/>
      <c r="AK53" s="30"/>
      <c r="AL53" s="67"/>
      <c r="AM53" s="67"/>
      <c r="AN53" s="68"/>
      <c r="AO53" s="67"/>
      <c r="AP53" s="68"/>
      <c r="AQ53" s="35"/>
      <c r="AR53" s="79"/>
      <c r="AS53" s="35"/>
      <c r="AT53" s="30"/>
    </row>
    <row r="54" spans="1:46" s="59" customFormat="1" x14ac:dyDescent="0.25">
      <c r="A54" s="19">
        <v>4</v>
      </c>
      <c r="B54" s="55" t="s">
        <v>103</v>
      </c>
      <c r="C54" s="775">
        <v>1986</v>
      </c>
      <c r="D54" s="775">
        <v>3</v>
      </c>
      <c r="E54" s="775">
        <v>24</v>
      </c>
      <c r="F54" s="672">
        <v>63</v>
      </c>
      <c r="G54" s="676">
        <v>1454.3</v>
      </c>
      <c r="H54" s="951"/>
      <c r="I54" s="951"/>
      <c r="J54" s="521">
        <v>34903.199999999997</v>
      </c>
      <c r="K54" s="521">
        <v>32366.31</v>
      </c>
      <c r="L54" s="982"/>
      <c r="M54" s="982"/>
      <c r="N54" s="771">
        <f t="shared" si="25"/>
        <v>2551.3762367508402</v>
      </c>
      <c r="O54" s="730">
        <v>2523</v>
      </c>
      <c r="P54" s="657">
        <f t="shared" si="28"/>
        <v>28.376236750840278</v>
      </c>
      <c r="Q54" s="772"/>
      <c r="R54" s="731"/>
      <c r="S54" s="773"/>
      <c r="T54" s="658">
        <f t="shared" si="26"/>
        <v>32351.823763249158</v>
      </c>
      <c r="U54" s="773">
        <f t="shared" si="27"/>
        <v>92.731640651860019</v>
      </c>
      <c r="V54" s="774">
        <f t="shared" si="29"/>
        <v>0.43859180305831674</v>
      </c>
      <c r="W54" s="730">
        <v>6</v>
      </c>
      <c r="X54" s="736">
        <f t="shared" si="30"/>
        <v>2536.8899999999958</v>
      </c>
      <c r="Y54" s="375"/>
      <c r="Z54" s="375"/>
      <c r="AA54" s="375"/>
      <c r="AB54" s="375"/>
      <c r="AC54" s="375"/>
      <c r="AD54" s="375"/>
      <c r="AE54" s="375"/>
      <c r="AF54" s="375"/>
      <c r="AG54" s="250"/>
      <c r="AH54" s="250"/>
      <c r="AI54" s="35"/>
      <c r="AJ54" s="35"/>
      <c r="AK54" s="30"/>
      <c r="AL54" s="67"/>
      <c r="AM54" s="67"/>
      <c r="AN54" s="68"/>
      <c r="AO54" s="67"/>
      <c r="AP54" s="68"/>
      <c r="AQ54" s="35"/>
      <c r="AR54" s="79"/>
      <c r="AS54" s="35"/>
      <c r="AT54" s="30"/>
    </row>
    <row r="55" spans="1:46" s="59" customFormat="1" x14ac:dyDescent="0.25">
      <c r="A55" s="19">
        <v>5</v>
      </c>
      <c r="B55" s="55" t="s">
        <v>104</v>
      </c>
      <c r="C55" s="775">
        <v>1985</v>
      </c>
      <c r="D55" s="775">
        <v>3</v>
      </c>
      <c r="E55" s="775">
        <v>24</v>
      </c>
      <c r="F55" s="672">
        <v>88</v>
      </c>
      <c r="G55" s="676">
        <v>1464.7</v>
      </c>
      <c r="H55" s="951"/>
      <c r="I55" s="951"/>
      <c r="J55" s="521">
        <v>35143.199999999997</v>
      </c>
      <c r="K55" s="521">
        <v>35848.57</v>
      </c>
      <c r="L55" s="982"/>
      <c r="M55" s="982"/>
      <c r="N55" s="771">
        <f t="shared" si="25"/>
        <v>28.579161087090529</v>
      </c>
      <c r="O55" s="730"/>
      <c r="P55" s="657">
        <f t="shared" si="28"/>
        <v>28.579161087090529</v>
      </c>
      <c r="Q55" s="772"/>
      <c r="R55" s="731"/>
      <c r="S55" s="773"/>
      <c r="T55" s="658">
        <f t="shared" si="26"/>
        <v>35114.62083891291</v>
      </c>
      <c r="U55" s="773">
        <f t="shared" si="27"/>
        <v>102.00713082473993</v>
      </c>
      <c r="V55" s="774">
        <f t="shared" si="29"/>
        <v>4.8779888521694762E-3</v>
      </c>
      <c r="W55" s="730">
        <v>6</v>
      </c>
      <c r="X55" s="736">
        <f t="shared" si="30"/>
        <v>-705.37000000000262</v>
      </c>
      <c r="Y55" s="375"/>
      <c r="Z55" s="375"/>
      <c r="AA55" s="375"/>
      <c r="AB55" s="375"/>
      <c r="AC55" s="375"/>
      <c r="AD55" s="375"/>
      <c r="AE55" s="375"/>
      <c r="AF55" s="375"/>
      <c r="AG55" s="250"/>
      <c r="AH55" s="250"/>
      <c r="AI55" s="35"/>
      <c r="AJ55" s="35"/>
      <c r="AK55" s="30"/>
      <c r="AL55" s="67"/>
      <c r="AM55" s="67"/>
      <c r="AN55" s="68"/>
      <c r="AO55" s="67"/>
      <c r="AP55" s="68"/>
      <c r="AQ55" s="35"/>
      <c r="AR55" s="79"/>
      <c r="AS55" s="35"/>
      <c r="AT55" s="30"/>
    </row>
    <row r="56" spans="1:46" s="59" customFormat="1" x14ac:dyDescent="0.25">
      <c r="A56" s="19">
        <v>6</v>
      </c>
      <c r="B56" s="55" t="s">
        <v>105</v>
      </c>
      <c r="C56" s="775">
        <v>12976</v>
      </c>
      <c r="D56" s="775">
        <v>23</v>
      </c>
      <c r="E56" s="775">
        <v>18</v>
      </c>
      <c r="F56" s="672">
        <v>35</v>
      </c>
      <c r="G56" s="676">
        <v>766.9</v>
      </c>
      <c r="H56" s="951"/>
      <c r="I56" s="951"/>
      <c r="J56" s="521">
        <v>18405.599999999999</v>
      </c>
      <c r="K56" s="521">
        <v>18739.34</v>
      </c>
      <c r="L56" s="982"/>
      <c r="M56" s="982"/>
      <c r="N56" s="771">
        <f t="shared" si="25"/>
        <v>14.963718602915085</v>
      </c>
      <c r="O56" s="730"/>
      <c r="P56" s="657">
        <f t="shared" si="28"/>
        <v>14.963718602915085</v>
      </c>
      <c r="Q56" s="772"/>
      <c r="R56" s="731"/>
      <c r="S56" s="773"/>
      <c r="T56" s="658">
        <f t="shared" si="26"/>
        <v>18390.636281397085</v>
      </c>
      <c r="U56" s="773">
        <f t="shared" si="27"/>
        <v>101.81325248837312</v>
      </c>
      <c r="V56" s="774">
        <f t="shared" si="29"/>
        <v>4.8779888521694762E-3</v>
      </c>
      <c r="W56" s="730">
        <v>6</v>
      </c>
      <c r="X56" s="736">
        <f t="shared" si="30"/>
        <v>-333.7400000000016</v>
      </c>
      <c r="Y56" s="375"/>
      <c r="Z56" s="375"/>
      <c r="AA56" s="375"/>
      <c r="AB56" s="375"/>
      <c r="AC56" s="375"/>
      <c r="AD56" s="375"/>
      <c r="AE56" s="375"/>
      <c r="AF56" s="375"/>
      <c r="AG56" s="250"/>
      <c r="AH56" s="250"/>
      <c r="AI56" s="35"/>
      <c r="AJ56" s="35"/>
      <c r="AK56" s="30"/>
      <c r="AL56" s="67"/>
      <c r="AM56" s="67"/>
      <c r="AN56" s="68"/>
      <c r="AO56" s="67"/>
      <c r="AP56" s="68"/>
      <c r="AQ56" s="35"/>
      <c r="AR56" s="79"/>
      <c r="AS56" s="35"/>
      <c r="AT56" s="30"/>
    </row>
    <row r="57" spans="1:46" s="59" customFormat="1" x14ac:dyDescent="0.25">
      <c r="A57" s="19">
        <v>7</v>
      </c>
      <c r="B57" s="55" t="s">
        <v>106</v>
      </c>
      <c r="C57" s="775">
        <v>1975</v>
      </c>
      <c r="D57" s="775">
        <v>2</v>
      </c>
      <c r="E57" s="775">
        <v>18</v>
      </c>
      <c r="F57" s="672">
        <v>49</v>
      </c>
      <c r="G57" s="676">
        <v>778.78</v>
      </c>
      <c r="H57" s="951"/>
      <c r="I57" s="951"/>
      <c r="J57" s="521">
        <v>18489.12</v>
      </c>
      <c r="K57" s="521">
        <v>16164.31</v>
      </c>
      <c r="L57" s="982"/>
      <c r="M57" s="982"/>
      <c r="N57" s="771">
        <f t="shared" si="25"/>
        <v>827.81552063317019</v>
      </c>
      <c r="O57" s="730">
        <v>812.62</v>
      </c>
      <c r="P57" s="657">
        <f t="shared" si="28"/>
        <v>15.195520633170178</v>
      </c>
      <c r="Q57" s="772"/>
      <c r="R57" s="731"/>
      <c r="S57" s="773"/>
      <c r="T57" s="658">
        <f t="shared" si="26"/>
        <v>17661.30447936683</v>
      </c>
      <c r="U57" s="773">
        <f t="shared" si="27"/>
        <v>87.426064626115249</v>
      </c>
      <c r="V57" s="774">
        <f t="shared" si="29"/>
        <v>0.26574113377114533</v>
      </c>
      <c r="W57" s="730">
        <v>6</v>
      </c>
      <c r="X57" s="736">
        <f t="shared" si="30"/>
        <v>2324.8099999999995</v>
      </c>
      <c r="Y57" s="375"/>
      <c r="Z57" s="375"/>
      <c r="AA57" s="375"/>
      <c r="AB57" s="375"/>
      <c r="AC57" s="375"/>
      <c r="AD57" s="375"/>
      <c r="AE57" s="375"/>
      <c r="AF57" s="375"/>
      <c r="AG57" s="250"/>
      <c r="AH57" s="250"/>
      <c r="AI57" s="35"/>
      <c r="AJ57" s="35"/>
      <c r="AK57" s="30"/>
      <c r="AL57" s="67"/>
      <c r="AM57" s="67"/>
      <c r="AN57" s="68"/>
      <c r="AO57" s="67"/>
      <c r="AP57" s="68"/>
      <c r="AQ57" s="35"/>
      <c r="AR57" s="79"/>
      <c r="AS57" s="35"/>
      <c r="AT57" s="30"/>
    </row>
    <row r="58" spans="1:46" s="59" customFormat="1" x14ac:dyDescent="0.25">
      <c r="A58" s="21">
        <v>8</v>
      </c>
      <c r="B58" s="55" t="s">
        <v>113</v>
      </c>
      <c r="C58" s="775">
        <v>1973</v>
      </c>
      <c r="D58" s="775">
        <v>2</v>
      </c>
      <c r="E58" s="775">
        <v>16</v>
      </c>
      <c r="F58" s="672">
        <v>32</v>
      </c>
      <c r="G58" s="676">
        <v>722.8</v>
      </c>
      <c r="H58" s="951"/>
      <c r="I58" s="951"/>
      <c r="J58" s="521">
        <v>17347.68</v>
      </c>
      <c r="K58" s="521">
        <v>17337.599999999999</v>
      </c>
      <c r="L58" s="982"/>
      <c r="M58" s="982"/>
      <c r="N58" s="771">
        <f t="shared" si="25"/>
        <v>3939.0532413693923</v>
      </c>
      <c r="O58" s="730">
        <v>3924.95</v>
      </c>
      <c r="P58" s="657">
        <f t="shared" si="28"/>
        <v>14.103241369392389</v>
      </c>
      <c r="Q58" s="772"/>
      <c r="R58" s="731"/>
      <c r="S58" s="773"/>
      <c r="T58" s="658">
        <f t="shared" si="26"/>
        <v>13408.626758630608</v>
      </c>
      <c r="U58" s="773">
        <f t="shared" si="27"/>
        <v>99.941894247530499</v>
      </c>
      <c r="V58" s="774">
        <f t="shared" si="29"/>
        <v>1.3624284869152574</v>
      </c>
      <c r="W58" s="730">
        <v>6</v>
      </c>
      <c r="X58" s="736">
        <f t="shared" si="30"/>
        <v>10.080000000001746</v>
      </c>
      <c r="Y58" s="375"/>
      <c r="Z58" s="375"/>
      <c r="AA58" s="375"/>
      <c r="AB58" s="375"/>
      <c r="AC58" s="375"/>
      <c r="AD58" s="375"/>
      <c r="AE58" s="375"/>
      <c r="AF58" s="375"/>
      <c r="AG58" s="250"/>
      <c r="AH58" s="250"/>
      <c r="AI58" s="35"/>
      <c r="AJ58" s="35"/>
      <c r="AK58" s="30"/>
      <c r="AL58" s="67"/>
      <c r="AM58" s="67"/>
      <c r="AN58" s="68"/>
      <c r="AO58" s="67"/>
      <c r="AP58" s="68"/>
      <c r="AQ58" s="35"/>
      <c r="AR58" s="79"/>
      <c r="AS58" s="35"/>
      <c r="AT58" s="30"/>
    </row>
    <row r="59" spans="1:46" s="124" customFormat="1" x14ac:dyDescent="0.25">
      <c r="A59" s="21">
        <v>9</v>
      </c>
      <c r="B59" s="55" t="s">
        <v>114</v>
      </c>
      <c r="C59" s="775">
        <v>1973</v>
      </c>
      <c r="D59" s="775">
        <v>2</v>
      </c>
      <c r="E59" s="775">
        <v>16</v>
      </c>
      <c r="F59" s="672">
        <v>46</v>
      </c>
      <c r="G59" s="676">
        <v>714.4</v>
      </c>
      <c r="H59" s="951"/>
      <c r="I59" s="951"/>
      <c r="J59" s="521">
        <v>17143.2</v>
      </c>
      <c r="K59" s="521">
        <v>20055.97</v>
      </c>
      <c r="L59" s="982"/>
      <c r="M59" s="982"/>
      <c r="N59" s="771">
        <f t="shared" si="25"/>
        <v>13.939340943959495</v>
      </c>
      <c r="O59" s="730"/>
      <c r="P59" s="657">
        <f t="shared" si="28"/>
        <v>13.939340943959495</v>
      </c>
      <c r="Q59" s="772"/>
      <c r="R59" s="731"/>
      <c r="S59" s="773"/>
      <c r="T59" s="658">
        <f t="shared" si="26"/>
        <v>17129.260659056043</v>
      </c>
      <c r="U59" s="773">
        <f t="shared" si="27"/>
        <v>116.990818516963</v>
      </c>
      <c r="V59" s="774">
        <f t="shared" si="29"/>
        <v>4.8779888521694762E-3</v>
      </c>
      <c r="W59" s="730">
        <v>6</v>
      </c>
      <c r="X59" s="736">
        <f t="shared" si="30"/>
        <v>-2912.7700000000004</v>
      </c>
      <c r="Y59" s="375"/>
      <c r="Z59" s="375"/>
      <c r="AA59" s="375"/>
      <c r="AB59" s="375"/>
      <c r="AC59" s="375"/>
      <c r="AD59" s="375"/>
      <c r="AE59" s="375"/>
      <c r="AF59" s="375"/>
      <c r="AG59" s="250"/>
      <c r="AH59" s="250"/>
      <c r="AI59" s="35"/>
      <c r="AJ59" s="35"/>
      <c r="AK59" s="30"/>
      <c r="AL59" s="67"/>
      <c r="AM59" s="67"/>
      <c r="AN59" s="68"/>
      <c r="AO59" s="67"/>
      <c r="AP59" s="68"/>
      <c r="AQ59" s="35"/>
      <c r="AR59" s="79"/>
      <c r="AS59" s="35"/>
      <c r="AT59" s="30"/>
    </row>
    <row r="60" spans="1:46" s="124" customFormat="1" x14ac:dyDescent="0.25">
      <c r="A60" s="21">
        <v>10</v>
      </c>
      <c r="B60" s="55" t="s">
        <v>117</v>
      </c>
      <c r="C60" s="775">
        <v>1969</v>
      </c>
      <c r="D60" s="775">
        <v>2</v>
      </c>
      <c r="E60" s="775">
        <v>16</v>
      </c>
      <c r="F60" s="672">
        <v>37</v>
      </c>
      <c r="G60" s="676">
        <v>716.27</v>
      </c>
      <c r="H60" s="951"/>
      <c r="I60" s="951"/>
      <c r="J60" s="521">
        <v>17190.48</v>
      </c>
      <c r="K60" s="521">
        <v>15950.79</v>
      </c>
      <c r="L60" s="982"/>
      <c r="M60" s="982"/>
      <c r="N60" s="771">
        <f t="shared" si="25"/>
        <v>13.975828300573722</v>
      </c>
      <c r="O60" s="730"/>
      <c r="P60" s="657">
        <f t="shared" si="28"/>
        <v>13.975828300573722</v>
      </c>
      <c r="Q60" s="772"/>
      <c r="R60" s="731"/>
      <c r="S60" s="773"/>
      <c r="T60" s="658">
        <f t="shared" si="26"/>
        <v>17176.504171699427</v>
      </c>
      <c r="U60" s="773">
        <f t="shared" si="27"/>
        <v>92.788508523322221</v>
      </c>
      <c r="V60" s="774">
        <f t="shared" si="29"/>
        <v>4.8779888521694762E-3</v>
      </c>
      <c r="W60" s="730">
        <v>6</v>
      </c>
      <c r="X60" s="736">
        <f t="shared" si="30"/>
        <v>1239.6899999999987</v>
      </c>
      <c r="Y60" s="375"/>
      <c r="Z60" s="375"/>
      <c r="AA60" s="375"/>
      <c r="AB60" s="375"/>
      <c r="AC60" s="375"/>
      <c r="AD60" s="375"/>
      <c r="AE60" s="375"/>
      <c r="AF60" s="375"/>
      <c r="AG60" s="250"/>
      <c r="AH60" s="250"/>
      <c r="AI60" s="35"/>
      <c r="AJ60" s="35"/>
      <c r="AK60" s="30"/>
      <c r="AL60" s="67"/>
      <c r="AM60" s="67"/>
      <c r="AN60" s="68"/>
      <c r="AO60" s="67"/>
      <c r="AP60" s="68"/>
      <c r="AQ60" s="35"/>
      <c r="AR60" s="79"/>
      <c r="AS60" s="35"/>
      <c r="AT60" s="30"/>
    </row>
    <row r="61" spans="1:46" s="124" customFormat="1" x14ac:dyDescent="0.25">
      <c r="A61" s="21">
        <v>11</v>
      </c>
      <c r="B61" s="55" t="s">
        <v>119</v>
      </c>
      <c r="C61" s="775">
        <v>1968</v>
      </c>
      <c r="D61" s="775">
        <v>2</v>
      </c>
      <c r="E61" s="775">
        <v>16</v>
      </c>
      <c r="F61" s="672">
        <v>54</v>
      </c>
      <c r="G61" s="676">
        <v>714.5</v>
      </c>
      <c r="H61" s="951"/>
      <c r="I61" s="951"/>
      <c r="J61" s="521">
        <v>17148</v>
      </c>
      <c r="K61" s="521">
        <v>14190.23</v>
      </c>
      <c r="L61" s="982"/>
      <c r="M61" s="982"/>
      <c r="N61" s="771">
        <f t="shared" si="25"/>
        <v>13.941292139500364</v>
      </c>
      <c r="O61" s="730"/>
      <c r="P61" s="657">
        <f t="shared" si="28"/>
        <v>13.941292139500364</v>
      </c>
      <c r="Q61" s="772"/>
      <c r="R61" s="731"/>
      <c r="S61" s="773"/>
      <c r="T61" s="658">
        <f t="shared" si="26"/>
        <v>17134.058707860499</v>
      </c>
      <c r="U61" s="773">
        <f t="shared" si="27"/>
        <v>82.751516211803121</v>
      </c>
      <c r="V61" s="774">
        <f t="shared" si="29"/>
        <v>4.8779888521694762E-3</v>
      </c>
      <c r="W61" s="730">
        <v>6</v>
      </c>
      <c r="X61" s="736">
        <f t="shared" si="30"/>
        <v>2957.7700000000004</v>
      </c>
      <c r="Y61" s="375"/>
      <c r="Z61" s="375"/>
      <c r="AA61" s="375"/>
      <c r="AB61" s="375"/>
      <c r="AC61" s="375"/>
      <c r="AD61" s="375"/>
      <c r="AE61" s="375"/>
      <c r="AF61" s="375"/>
      <c r="AG61" s="250"/>
      <c r="AH61" s="250"/>
      <c r="AI61" s="35"/>
      <c r="AJ61" s="35"/>
      <c r="AK61" s="30"/>
      <c r="AL61" s="67"/>
      <c r="AM61" s="67"/>
      <c r="AN61" s="68"/>
      <c r="AO61" s="67"/>
      <c r="AP61" s="68"/>
      <c r="AQ61" s="35"/>
      <c r="AR61" s="79"/>
      <c r="AS61" s="35"/>
      <c r="AT61" s="30"/>
    </row>
    <row r="62" spans="1:46" s="124" customFormat="1" x14ac:dyDescent="0.25">
      <c r="A62" s="263">
        <v>12</v>
      </c>
      <c r="B62" s="55" t="s">
        <v>121</v>
      </c>
      <c r="C62" s="776">
        <v>1970</v>
      </c>
      <c r="D62" s="776">
        <v>2</v>
      </c>
      <c r="E62" s="776">
        <v>16</v>
      </c>
      <c r="F62" s="777">
        <v>35</v>
      </c>
      <c r="G62" s="689">
        <v>714.01</v>
      </c>
      <c r="H62" s="971"/>
      <c r="I62" s="971"/>
      <c r="J62" s="527">
        <v>17157.84</v>
      </c>
      <c r="K62" s="527">
        <v>18024.48</v>
      </c>
      <c r="L62" s="983"/>
      <c r="M62" s="983"/>
      <c r="N62" s="771">
        <f t="shared" si="25"/>
        <v>158.9317312813501</v>
      </c>
      <c r="O62" s="752">
        <v>145</v>
      </c>
      <c r="P62" s="657">
        <f t="shared" si="28"/>
        <v>13.93173128135011</v>
      </c>
      <c r="Q62" s="778"/>
      <c r="R62" s="779"/>
      <c r="S62" s="773"/>
      <c r="T62" s="658">
        <f t="shared" si="26"/>
        <v>16998.908268718649</v>
      </c>
      <c r="U62" s="773">
        <f t="shared" si="27"/>
        <v>105.05098543872656</v>
      </c>
      <c r="V62" s="774">
        <f t="shared" si="29"/>
        <v>5.5647585916636357E-2</v>
      </c>
      <c r="W62" s="752">
        <v>6</v>
      </c>
      <c r="X62" s="736">
        <f t="shared" si="30"/>
        <v>-866.63999999999942</v>
      </c>
      <c r="Y62" s="375"/>
      <c r="Z62" s="375"/>
      <c r="AA62" s="375"/>
      <c r="AB62" s="375"/>
      <c r="AC62" s="375"/>
      <c r="AD62" s="375"/>
      <c r="AE62" s="375"/>
      <c r="AF62" s="375"/>
      <c r="AG62" s="250"/>
      <c r="AH62" s="250"/>
      <c r="AI62" s="35"/>
      <c r="AJ62" s="35"/>
      <c r="AK62" s="30"/>
      <c r="AL62" s="67"/>
      <c r="AM62" s="67"/>
      <c r="AN62" s="68"/>
      <c r="AO62" s="67"/>
      <c r="AP62" s="68"/>
      <c r="AQ62" s="35"/>
      <c r="AR62" s="79"/>
      <c r="AS62" s="35"/>
      <c r="AT62" s="30"/>
    </row>
    <row r="63" spans="1:46" s="59" customFormat="1" x14ac:dyDescent="0.25">
      <c r="A63" s="251">
        <v>13</v>
      </c>
      <c r="B63" s="252" t="s">
        <v>123</v>
      </c>
      <c r="C63" s="776">
        <v>1990</v>
      </c>
      <c r="D63" s="776">
        <v>3</v>
      </c>
      <c r="E63" s="776">
        <v>24</v>
      </c>
      <c r="F63" s="777">
        <v>61</v>
      </c>
      <c r="G63" s="689">
        <v>1440.1</v>
      </c>
      <c r="H63" s="971"/>
      <c r="I63" s="971"/>
      <c r="J63" s="527">
        <v>34646.400000000001</v>
      </c>
      <c r="K63" s="527">
        <v>30825.93</v>
      </c>
      <c r="L63" s="983"/>
      <c r="M63" s="983"/>
      <c r="N63" s="771">
        <f t="shared" si="25"/>
        <v>155.09916698403705</v>
      </c>
      <c r="O63" s="752">
        <v>127</v>
      </c>
      <c r="P63" s="657">
        <f t="shared" si="28"/>
        <v>28.099166984037048</v>
      </c>
      <c r="Q63" s="778"/>
      <c r="R63" s="779"/>
      <c r="S63" s="773"/>
      <c r="T63" s="658">
        <f t="shared" si="26"/>
        <v>34491.300833015965</v>
      </c>
      <c r="U63" s="773">
        <f t="shared" si="27"/>
        <v>88.97296688833471</v>
      </c>
      <c r="V63" s="774">
        <f t="shared" si="29"/>
        <v>2.6925068916053931E-2</v>
      </c>
      <c r="W63" s="752">
        <v>6</v>
      </c>
      <c r="X63" s="736">
        <f t="shared" si="30"/>
        <v>3820.4700000000012</v>
      </c>
      <c r="Y63" s="375"/>
      <c r="Z63" s="375"/>
      <c r="AA63" s="375"/>
      <c r="AB63" s="375"/>
      <c r="AC63" s="375"/>
      <c r="AD63" s="375"/>
      <c r="AE63" s="375"/>
      <c r="AF63" s="375"/>
      <c r="AG63" s="250"/>
      <c r="AH63" s="250"/>
      <c r="AI63" s="35"/>
      <c r="AJ63" s="35"/>
      <c r="AK63" s="30"/>
      <c r="AL63" s="67"/>
      <c r="AM63" s="67"/>
      <c r="AN63" s="68"/>
      <c r="AO63" s="67"/>
      <c r="AP63" s="68"/>
      <c r="AQ63" s="35"/>
      <c r="AR63" s="79"/>
      <c r="AS63" s="35"/>
      <c r="AT63" s="30"/>
    </row>
    <row r="64" spans="1:46" s="59" customFormat="1" x14ac:dyDescent="0.25">
      <c r="A64" s="19"/>
      <c r="B64" s="396" t="s">
        <v>23</v>
      </c>
      <c r="C64" s="780"/>
      <c r="D64" s="780"/>
      <c r="E64" s="781">
        <f>SUM(E50:E63)</f>
        <v>260</v>
      </c>
      <c r="F64" s="781">
        <f>SUM(F50:F63)</f>
        <v>709</v>
      </c>
      <c r="G64" s="781">
        <f>SUM(G50:G63)</f>
        <v>13837.67</v>
      </c>
      <c r="H64" s="981"/>
      <c r="I64" s="981"/>
      <c r="J64" s="390">
        <f t="shared" ref="J64:T64" si="31">SUM(J51:J63)</f>
        <v>331994.16000000009</v>
      </c>
      <c r="K64" s="390">
        <f t="shared" si="31"/>
        <v>315566.94</v>
      </c>
      <c r="L64" s="984"/>
      <c r="M64" s="984"/>
      <c r="N64" s="390">
        <f t="shared" si="31"/>
        <v>9259.11</v>
      </c>
      <c r="O64" s="640">
        <f t="shared" si="31"/>
        <v>8989.11</v>
      </c>
      <c r="P64" s="390">
        <f t="shared" si="31"/>
        <v>270</v>
      </c>
      <c r="Q64" s="782">
        <f t="shared" si="31"/>
        <v>0</v>
      </c>
      <c r="R64" s="782">
        <f t="shared" si="31"/>
        <v>0</v>
      </c>
      <c r="S64" s="783">
        <f t="shared" si="31"/>
        <v>0</v>
      </c>
      <c r="T64" s="783">
        <f t="shared" si="31"/>
        <v>322735.04999999993</v>
      </c>
      <c r="U64" s="784">
        <f t="shared" si="27"/>
        <v>95.051955130776975</v>
      </c>
      <c r="V64" s="785">
        <f>N64/G64/4</f>
        <v>0.16728087170744788</v>
      </c>
      <c r="W64" s="640"/>
      <c r="X64" s="647">
        <f>SUM(X51:X63)</f>
        <v>16427.219999999994</v>
      </c>
      <c r="Y64" s="375"/>
      <c r="Z64" s="375"/>
      <c r="AA64" s="375"/>
      <c r="AB64" s="375"/>
      <c r="AC64" s="375"/>
      <c r="AD64" s="375"/>
      <c r="AE64" s="375"/>
      <c r="AF64" s="375"/>
      <c r="AG64" s="250"/>
      <c r="AH64" s="250"/>
      <c r="AI64" s="35"/>
      <c r="AJ64" s="35"/>
      <c r="AK64" s="30"/>
      <c r="AL64" s="67"/>
      <c r="AM64" s="67"/>
      <c r="AN64" s="68"/>
      <c r="AO64" s="67"/>
      <c r="AP64" s="68"/>
      <c r="AQ64" s="35"/>
      <c r="AR64" s="79"/>
      <c r="AS64" s="35"/>
      <c r="AT64" s="30"/>
    </row>
    <row r="65" spans="1:46" s="59" customFormat="1" x14ac:dyDescent="0.25">
      <c r="A65"/>
      <c r="B65"/>
      <c r="C65" s="375"/>
      <c r="D65" s="375"/>
      <c r="E65" s="375"/>
      <c r="F65" s="375"/>
      <c r="G65" s="375"/>
      <c r="H65" s="375"/>
      <c r="I65" s="375"/>
      <c r="J65" s="375" t="s">
        <v>180</v>
      </c>
      <c r="K65" s="375"/>
      <c r="L65" s="375"/>
      <c r="M65" s="375"/>
      <c r="N65" s="375"/>
      <c r="O65" s="786">
        <f>O64+P64</f>
        <v>9259.11</v>
      </c>
      <c r="P65" s="375"/>
      <c r="Q65" s="787"/>
      <c r="R65" s="375"/>
      <c r="S65" s="375"/>
      <c r="T65" s="375"/>
      <c r="U65" s="375"/>
      <c r="V65" s="375"/>
      <c r="W65" s="375"/>
      <c r="X65" s="375"/>
      <c r="Y65" s="375"/>
      <c r="Z65" s="375"/>
      <c r="AA65" s="375"/>
      <c r="AB65" s="375"/>
      <c r="AC65" s="375"/>
      <c r="AD65" s="375"/>
      <c r="AE65" s="375"/>
      <c r="AF65" s="375"/>
      <c r="AG65" s="66"/>
      <c r="AH65" s="66"/>
      <c r="AI65" s="35"/>
      <c r="AJ65" s="35"/>
      <c r="AK65" s="30"/>
      <c r="AL65" s="67"/>
      <c r="AM65" s="67"/>
      <c r="AN65" s="68"/>
      <c r="AO65" s="67"/>
      <c r="AP65" s="71"/>
      <c r="AQ65" s="35"/>
      <c r="AR65" s="79"/>
      <c r="AS65" s="35"/>
      <c r="AT65" s="30"/>
    </row>
    <row r="66" spans="1:46" s="59" customFormat="1" x14ac:dyDescent="0.25">
      <c r="A66" s="80"/>
      <c r="B66" s="81"/>
      <c r="C66" s="788"/>
      <c r="D66" s="788"/>
      <c r="E66" s="788"/>
      <c r="F66" s="349"/>
      <c r="G66" s="349"/>
      <c r="H66" s="349"/>
      <c r="I66" s="349"/>
      <c r="J66" s="789"/>
      <c r="K66" s="789"/>
      <c r="L66" s="789"/>
      <c r="M66" s="789"/>
      <c r="N66" s="789"/>
      <c r="O66" s="789"/>
      <c r="P66" s="789"/>
      <c r="Q66" s="789"/>
      <c r="R66" s="789"/>
      <c r="S66" s="790"/>
      <c r="T66" s="789"/>
      <c r="U66" s="789"/>
      <c r="V66" s="789"/>
      <c r="W66" s="789"/>
      <c r="X66" s="375"/>
      <c r="Y66" s="375"/>
      <c r="Z66" s="375"/>
      <c r="AA66" s="375"/>
      <c r="AB66" s="375"/>
      <c r="AC66" s="375"/>
      <c r="AD66" s="375"/>
      <c r="AE66" s="375"/>
      <c r="AF66" s="375"/>
      <c r="AG66" s="66"/>
      <c r="AH66" s="66"/>
      <c r="AI66" s="35"/>
      <c r="AJ66" s="35"/>
      <c r="AK66" s="30"/>
      <c r="AL66" s="67"/>
      <c r="AM66" s="67"/>
      <c r="AN66" s="68"/>
      <c r="AO66" s="67"/>
      <c r="AP66" s="71"/>
      <c r="AQ66" s="35"/>
      <c r="AR66" s="79"/>
      <c r="AS66" s="35"/>
      <c r="AT66" s="30"/>
    </row>
    <row r="67" spans="1:46" s="59" customFormat="1" x14ac:dyDescent="0.25">
      <c r="A67" s="80"/>
      <c r="B67" s="82"/>
      <c r="C67" s="788"/>
      <c r="D67" s="788"/>
      <c r="E67" s="791"/>
      <c r="F67" s="791"/>
      <c r="G67" s="791"/>
      <c r="H67" s="791"/>
      <c r="I67" s="791"/>
      <c r="J67" s="792"/>
      <c r="K67" s="792"/>
      <c r="L67" s="792"/>
      <c r="M67" s="792"/>
      <c r="N67" s="792"/>
      <c r="O67" s="792"/>
      <c r="P67" s="793"/>
      <c r="Q67" s="793"/>
      <c r="R67" s="793"/>
      <c r="S67" s="792"/>
      <c r="T67" s="792"/>
      <c r="U67" s="792"/>
      <c r="V67" s="792"/>
      <c r="W67" s="792"/>
      <c r="X67" s="375"/>
      <c r="Y67" s="375"/>
      <c r="Z67" s="375"/>
      <c r="AA67" s="375"/>
      <c r="AB67" s="375"/>
      <c r="AC67" s="375"/>
      <c r="AD67" s="375"/>
      <c r="AE67" s="375"/>
      <c r="AF67" s="375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3"/>
      <c r="AS67" s="72"/>
      <c r="AT67" s="30"/>
    </row>
    <row r="68" spans="1:46" ht="23.25" customHeight="1" x14ac:dyDescent="0.3">
      <c r="B68" s="74" t="s">
        <v>584</v>
      </c>
      <c r="C68" s="765"/>
      <c r="D68" s="765"/>
      <c r="E68" s="765"/>
      <c r="F68" s="765"/>
      <c r="G68" s="765"/>
      <c r="H68" s="765"/>
      <c r="I68" s="765"/>
      <c r="J68" s="765"/>
      <c r="K68" s="765"/>
      <c r="L68" s="765"/>
      <c r="M68" s="765"/>
      <c r="N68" s="766"/>
      <c r="O68" s="766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</row>
    <row r="69" spans="1:46" ht="18" x14ac:dyDescent="0.25">
      <c r="A69" s="17"/>
      <c r="B69" s="1"/>
      <c r="C69" s="766"/>
      <c r="D69" s="766"/>
      <c r="E69" s="766"/>
      <c r="F69" s="766"/>
      <c r="G69" s="766"/>
      <c r="H69" s="766"/>
      <c r="I69" s="766"/>
      <c r="J69" s="766"/>
      <c r="K69" s="766"/>
      <c r="L69" s="766"/>
      <c r="M69" s="766"/>
      <c r="N69" s="766"/>
      <c r="O69" s="766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  <c r="AD69" s="375"/>
      <c r="AE69" s="375"/>
      <c r="AF69" s="375"/>
    </row>
    <row r="70" spans="1:46" ht="18" x14ac:dyDescent="0.25">
      <c r="A70" s="17"/>
      <c r="B70" s="1"/>
      <c r="C70" s="766"/>
      <c r="D70" s="766"/>
      <c r="E70" s="766"/>
      <c r="F70" s="766"/>
      <c r="G70" s="766"/>
      <c r="H70" s="766"/>
      <c r="I70" s="766"/>
      <c r="J70" s="766"/>
      <c r="K70" s="766"/>
      <c r="L70" s="766"/>
      <c r="M70" s="766"/>
      <c r="N70" s="766"/>
      <c r="O70" s="766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5"/>
      <c r="AD70" s="375"/>
      <c r="AE70" s="375"/>
      <c r="AF70" s="375"/>
    </row>
    <row r="71" spans="1:46" ht="27" customHeight="1" x14ac:dyDescent="0.25">
      <c r="A71" s="2020" t="s">
        <v>0</v>
      </c>
      <c r="B71" s="2020" t="s">
        <v>184</v>
      </c>
      <c r="C71" s="2228" t="s">
        <v>54</v>
      </c>
      <c r="D71" s="2228" t="s">
        <v>55</v>
      </c>
      <c r="E71" s="2228" t="s">
        <v>56</v>
      </c>
      <c r="F71" s="2228" t="s">
        <v>57</v>
      </c>
      <c r="G71" s="2232" t="s">
        <v>6</v>
      </c>
      <c r="H71" s="979"/>
      <c r="I71" s="979"/>
      <c r="J71" s="2087" t="s">
        <v>290</v>
      </c>
      <c r="K71" s="2088"/>
      <c r="L71" s="943"/>
      <c r="M71" s="943"/>
      <c r="N71" s="2074" t="s">
        <v>181</v>
      </c>
      <c r="O71" s="2074" t="s">
        <v>332</v>
      </c>
      <c r="P71" s="2074" t="s">
        <v>333</v>
      </c>
      <c r="Q71" s="2236" t="s">
        <v>308</v>
      </c>
      <c r="R71" s="2236" t="s">
        <v>317</v>
      </c>
      <c r="S71" s="2234" t="s">
        <v>461</v>
      </c>
      <c r="T71" s="2230" t="s">
        <v>313</v>
      </c>
      <c r="U71" s="2093" t="s">
        <v>554</v>
      </c>
      <c r="V71" s="2074" t="s">
        <v>264</v>
      </c>
      <c r="W71" s="2074" t="s">
        <v>175</v>
      </c>
      <c r="X71" s="2074" t="s">
        <v>183</v>
      </c>
      <c r="Y71" s="2080" t="s">
        <v>182</v>
      </c>
      <c r="Z71" s="2080" t="s">
        <v>182</v>
      </c>
      <c r="AA71" s="2226" t="s">
        <v>544</v>
      </c>
      <c r="AB71" s="2184" t="s">
        <v>566</v>
      </c>
      <c r="AC71" s="1028"/>
      <c r="AD71" s="375"/>
      <c r="AE71" s="375"/>
      <c r="AF71" s="375"/>
    </row>
    <row r="72" spans="1:46" ht="32.25" customHeight="1" x14ac:dyDescent="0.25">
      <c r="A72" s="2021"/>
      <c r="B72" s="2021"/>
      <c r="C72" s="2229"/>
      <c r="D72" s="2229"/>
      <c r="E72" s="2229"/>
      <c r="F72" s="2229"/>
      <c r="G72" s="2233"/>
      <c r="H72" s="980"/>
      <c r="I72" s="980"/>
      <c r="J72" s="767" t="s">
        <v>15</v>
      </c>
      <c r="K72" s="768" t="s">
        <v>16</v>
      </c>
      <c r="L72" s="944"/>
      <c r="M72" s="944"/>
      <c r="N72" s="2075"/>
      <c r="O72" s="2075"/>
      <c r="P72" s="2075"/>
      <c r="Q72" s="2237"/>
      <c r="R72" s="2237"/>
      <c r="S72" s="2235"/>
      <c r="T72" s="2231"/>
      <c r="U72" s="2093"/>
      <c r="V72" s="2075"/>
      <c r="W72" s="2075"/>
      <c r="X72" s="2075"/>
      <c r="Y72" s="2079"/>
      <c r="Z72" s="2079"/>
      <c r="AA72" s="2227"/>
      <c r="AB72" s="2185"/>
      <c r="AC72" s="1028"/>
      <c r="AD72" s="375"/>
      <c r="AE72" s="375"/>
      <c r="AF72" s="375"/>
    </row>
    <row r="73" spans="1:46" x14ac:dyDescent="0.25">
      <c r="A73" s="19">
        <v>1</v>
      </c>
      <c r="B73" s="55" t="s">
        <v>100</v>
      </c>
      <c r="C73" s="745">
        <v>1980</v>
      </c>
      <c r="D73" s="745">
        <v>3</v>
      </c>
      <c r="E73" s="745">
        <v>24</v>
      </c>
      <c r="F73" s="349">
        <v>59</v>
      </c>
      <c r="G73" s="741">
        <v>1440.6</v>
      </c>
      <c r="H73" s="985"/>
      <c r="I73" s="985"/>
      <c r="J73" s="794">
        <v>13887.48</v>
      </c>
      <c r="K73" s="794">
        <v>11304.57</v>
      </c>
      <c r="L73" s="987"/>
      <c r="M73" s="987"/>
      <c r="N73" s="728">
        <f>O73+P73+Q73+R73+S73+T73+U73</f>
        <v>11317.298493875036</v>
      </c>
      <c r="O73" s="730">
        <v>87.85</v>
      </c>
      <c r="P73" s="730">
        <f>2763/8714.01*G73</f>
        <v>456.77911776552929</v>
      </c>
      <c r="Q73" s="795"/>
      <c r="R73" s="795"/>
      <c r="S73" s="796"/>
      <c r="T73" s="730">
        <f>54211.76/8714.01*G73</f>
        <v>8962.2873345336993</v>
      </c>
      <c r="U73" s="730">
        <f>T73*0.202</f>
        <v>1810.3820415758073</v>
      </c>
      <c r="V73" s="730">
        <v>174.9</v>
      </c>
      <c r="W73" s="730">
        <f t="shared" ref="W73:W79" si="32">J73-N73</f>
        <v>2570.1815061249636</v>
      </c>
      <c r="X73" s="730">
        <f>K73/J73*100</f>
        <v>81.401161333805703</v>
      </c>
      <c r="Y73" s="730">
        <f>N73/G73/11</f>
        <v>0.71417834070873476</v>
      </c>
      <c r="Z73" s="730">
        <f>N73/G73/4</f>
        <v>1.9639904369490206</v>
      </c>
      <c r="AA73" s="730">
        <v>2.41</v>
      </c>
      <c r="AB73" s="736">
        <f>J73-K73</f>
        <v>2582.91</v>
      </c>
      <c r="AC73" s="350"/>
      <c r="AD73" s="375"/>
      <c r="AE73" s="375"/>
      <c r="AF73" s="375"/>
    </row>
    <row r="74" spans="1:46" x14ac:dyDescent="0.25">
      <c r="A74" s="19">
        <v>2</v>
      </c>
      <c r="B74" s="55" t="s">
        <v>101</v>
      </c>
      <c r="C74" s="745">
        <v>1978</v>
      </c>
      <c r="D74" s="745">
        <v>3</v>
      </c>
      <c r="E74" s="745">
        <v>24</v>
      </c>
      <c r="F74" s="708">
        <v>71</v>
      </c>
      <c r="G74" s="741">
        <v>1449.9</v>
      </c>
      <c r="H74" s="985"/>
      <c r="I74" s="985"/>
      <c r="J74" s="794">
        <v>13977.08</v>
      </c>
      <c r="K74" s="794">
        <v>10800.05</v>
      </c>
      <c r="L74" s="987"/>
      <c r="M74" s="987"/>
      <c r="N74" s="728">
        <f t="shared" ref="N74:N79" si="33">O74+P74+Q74+R74+S74+T74+U74</f>
        <v>11389.791809849658</v>
      </c>
      <c r="O74" s="730">
        <v>87.85</v>
      </c>
      <c r="P74" s="730">
        <f t="shared" ref="P74:P78" si="34">2763/8714.01*G74</f>
        <v>459.72792089979242</v>
      </c>
      <c r="Q74" s="795"/>
      <c r="R74" s="795"/>
      <c r="S74" s="796"/>
      <c r="T74" s="730">
        <f t="shared" ref="T74:T78" si="35">54211.76/8714.01*G74</f>
        <v>9020.1446663476418</v>
      </c>
      <c r="U74" s="730">
        <f t="shared" ref="U74:U78" si="36">T74*0.202</f>
        <v>1822.0692226022238</v>
      </c>
      <c r="V74" s="730">
        <v>178.2</v>
      </c>
      <c r="W74" s="730">
        <f t="shared" si="32"/>
        <v>2587.2881901503424</v>
      </c>
      <c r="X74" s="730">
        <f t="shared" ref="X74:X78" si="37">K74/J74*100</f>
        <v>77.269715849090076</v>
      </c>
      <c r="Y74" s="730">
        <f t="shared" ref="Y74:Y78" si="38">N74/G74/11</f>
        <v>0.71414278162441647</v>
      </c>
      <c r="Z74" s="730">
        <f t="shared" ref="Z74:Z79" si="39">N74/G74/4</f>
        <v>1.9638926494671454</v>
      </c>
      <c r="AA74" s="730">
        <v>2.41</v>
      </c>
      <c r="AB74" s="736">
        <f t="shared" ref="AB74:AB78" si="40">J74-K74</f>
        <v>3177.0300000000007</v>
      </c>
      <c r="AC74" s="350"/>
      <c r="AD74" s="375"/>
      <c r="AE74" s="375"/>
      <c r="AF74" s="375"/>
    </row>
    <row r="75" spans="1:46" x14ac:dyDescent="0.25">
      <c r="A75" s="19">
        <v>3</v>
      </c>
      <c r="B75" s="55" t="s">
        <v>102</v>
      </c>
      <c r="C75" s="745">
        <v>1979</v>
      </c>
      <c r="D75" s="745">
        <v>3</v>
      </c>
      <c r="E75" s="745">
        <v>24</v>
      </c>
      <c r="F75" s="349">
        <v>79</v>
      </c>
      <c r="G75" s="741">
        <v>1460.41</v>
      </c>
      <c r="H75" s="985"/>
      <c r="I75" s="985"/>
      <c r="J75" s="794">
        <v>14077.36</v>
      </c>
      <c r="K75" s="794">
        <v>12487.67</v>
      </c>
      <c r="L75" s="987"/>
      <c r="M75" s="987"/>
      <c r="N75" s="728">
        <f t="shared" si="33"/>
        <v>11471.717051881191</v>
      </c>
      <c r="O75" s="730">
        <v>87.85</v>
      </c>
      <c r="P75" s="730">
        <f t="shared" si="34"/>
        <v>463.06038551711555</v>
      </c>
      <c r="Q75" s="795"/>
      <c r="R75" s="795"/>
      <c r="S75" s="796"/>
      <c r="T75" s="730">
        <f t="shared" si="35"/>
        <v>9085.5296725158696</v>
      </c>
      <c r="U75" s="730">
        <f t="shared" si="36"/>
        <v>1835.2769938482058</v>
      </c>
      <c r="V75" s="730">
        <v>178.6</v>
      </c>
      <c r="W75" s="730">
        <f t="shared" si="32"/>
        <v>2605.6429481188097</v>
      </c>
      <c r="X75" s="730">
        <f t="shared" si="37"/>
        <v>88.707470718941622</v>
      </c>
      <c r="Y75" s="730">
        <f t="shared" si="38"/>
        <v>0.71410314114038898</v>
      </c>
      <c r="Z75" s="730">
        <f t="shared" si="39"/>
        <v>1.9637836381360696</v>
      </c>
      <c r="AA75" s="730">
        <v>2.41</v>
      </c>
      <c r="AB75" s="736">
        <f t="shared" si="40"/>
        <v>1589.6900000000005</v>
      </c>
      <c r="AC75" s="350"/>
      <c r="AD75" s="375"/>
      <c r="AE75" s="375"/>
      <c r="AF75" s="375"/>
    </row>
    <row r="76" spans="1:46" x14ac:dyDescent="0.25">
      <c r="A76" s="19">
        <v>4</v>
      </c>
      <c r="B76" s="55" t="s">
        <v>103</v>
      </c>
      <c r="C76" s="745">
        <v>1986</v>
      </c>
      <c r="D76" s="745">
        <v>3</v>
      </c>
      <c r="E76" s="745">
        <v>24</v>
      </c>
      <c r="F76" s="746">
        <v>63</v>
      </c>
      <c r="G76" s="741">
        <v>1454.3</v>
      </c>
      <c r="H76" s="985"/>
      <c r="I76" s="985"/>
      <c r="J76" s="794">
        <v>13961.28</v>
      </c>
      <c r="K76" s="794">
        <v>13014.07</v>
      </c>
      <c r="L76" s="987"/>
      <c r="M76" s="987"/>
      <c r="N76" s="728">
        <f t="shared" si="33"/>
        <v>11424.089722783885</v>
      </c>
      <c r="O76" s="730">
        <v>87.85</v>
      </c>
      <c r="P76" s="730">
        <f t="shared" si="34"/>
        <v>461.12305356546523</v>
      </c>
      <c r="Q76" s="795"/>
      <c r="R76" s="795"/>
      <c r="S76" s="796"/>
      <c r="T76" s="730">
        <f t="shared" si="35"/>
        <v>9047.518027635957</v>
      </c>
      <c r="U76" s="730">
        <f t="shared" si="36"/>
        <v>1827.5986415824634</v>
      </c>
      <c r="V76" s="730">
        <v>179.8</v>
      </c>
      <c r="W76" s="730">
        <f t="shared" si="32"/>
        <v>2537.1902772161156</v>
      </c>
      <c r="X76" s="730">
        <f t="shared" si="37"/>
        <v>93.215450159297703</v>
      </c>
      <c r="Y76" s="730">
        <f t="shared" si="38"/>
        <v>0.71412611645614477</v>
      </c>
      <c r="Z76" s="730">
        <f t="shared" si="39"/>
        <v>1.9638468202543982</v>
      </c>
      <c r="AA76" s="730">
        <v>2.4</v>
      </c>
      <c r="AB76" s="736">
        <f t="shared" si="40"/>
        <v>947.21000000000095</v>
      </c>
      <c r="AC76" s="350"/>
      <c r="AD76" s="375"/>
      <c r="AE76" s="375"/>
      <c r="AF76" s="375"/>
    </row>
    <row r="77" spans="1:46" x14ac:dyDescent="0.25">
      <c r="A77" s="19">
        <v>5</v>
      </c>
      <c r="B77" s="55" t="s">
        <v>104</v>
      </c>
      <c r="C77" s="745">
        <v>1985</v>
      </c>
      <c r="D77" s="745">
        <v>3</v>
      </c>
      <c r="E77" s="745">
        <v>24</v>
      </c>
      <c r="F77" s="708">
        <v>88</v>
      </c>
      <c r="G77" s="741">
        <v>1464.7</v>
      </c>
      <c r="H77" s="985"/>
      <c r="I77" s="985"/>
      <c r="J77" s="794">
        <v>14057.28</v>
      </c>
      <c r="K77" s="794">
        <v>14640.2</v>
      </c>
      <c r="L77" s="987"/>
      <c r="M77" s="987"/>
      <c r="N77" s="728">
        <f t="shared" si="33"/>
        <v>11505.157516992062</v>
      </c>
      <c r="O77" s="730">
        <v>87.85</v>
      </c>
      <c r="P77" s="730">
        <f t="shared" si="34"/>
        <v>464.42063986614659</v>
      </c>
      <c r="Q77" s="797"/>
      <c r="R77" s="795"/>
      <c r="S77" s="796"/>
      <c r="T77" s="730">
        <f t="shared" si="35"/>
        <v>9112.2186997719764</v>
      </c>
      <c r="U77" s="730">
        <f t="shared" si="36"/>
        <v>1840.6681773539394</v>
      </c>
      <c r="V77" s="730">
        <v>179.9</v>
      </c>
      <c r="W77" s="730">
        <f t="shared" si="32"/>
        <v>2552.1224830079391</v>
      </c>
      <c r="X77" s="730">
        <f t="shared" si="37"/>
        <v>104.14674816180656</v>
      </c>
      <c r="Y77" s="730">
        <f t="shared" si="38"/>
        <v>0.714087124077041</v>
      </c>
      <c r="Z77" s="730">
        <f t="shared" si="39"/>
        <v>1.9637395912118627</v>
      </c>
      <c r="AA77" s="730">
        <v>2.4</v>
      </c>
      <c r="AB77" s="736">
        <f t="shared" si="40"/>
        <v>-582.92000000000007</v>
      </c>
      <c r="AC77" s="350"/>
      <c r="AD77" s="375"/>
      <c r="AE77" s="375"/>
      <c r="AF77" s="375"/>
    </row>
    <row r="78" spans="1:46" x14ac:dyDescent="0.25">
      <c r="A78" s="251">
        <v>6</v>
      </c>
      <c r="B78" s="252" t="s">
        <v>123</v>
      </c>
      <c r="C78" s="748">
        <v>1990</v>
      </c>
      <c r="D78" s="748">
        <v>3</v>
      </c>
      <c r="E78" s="748">
        <v>24</v>
      </c>
      <c r="F78" s="349">
        <v>61</v>
      </c>
      <c r="G78" s="798">
        <v>1444.1</v>
      </c>
      <c r="H78" s="986"/>
      <c r="I78" s="986"/>
      <c r="J78" s="799">
        <v>13858.56</v>
      </c>
      <c r="K78" s="799">
        <v>12342.37</v>
      </c>
      <c r="L78" s="988"/>
      <c r="M78" s="988"/>
      <c r="N78" s="751">
        <f t="shared" si="33"/>
        <v>11344.580924618173</v>
      </c>
      <c r="O78" s="752">
        <v>87.85</v>
      </c>
      <c r="P78" s="730">
        <f t="shared" si="34"/>
        <v>457.88888238595086</v>
      </c>
      <c r="Q78" s="800"/>
      <c r="R78" s="800"/>
      <c r="S78" s="801"/>
      <c r="T78" s="730">
        <f t="shared" si="35"/>
        <v>8984.0615991948598</v>
      </c>
      <c r="U78" s="730">
        <f t="shared" si="36"/>
        <v>1814.7804430373617</v>
      </c>
      <c r="V78" s="752">
        <v>119.3</v>
      </c>
      <c r="W78" s="730">
        <f t="shared" si="32"/>
        <v>2513.979075381827</v>
      </c>
      <c r="X78" s="730">
        <f t="shared" si="37"/>
        <v>89.059541539669354</v>
      </c>
      <c r="Y78" s="730">
        <f t="shared" si="38"/>
        <v>0.71416490450914205</v>
      </c>
      <c r="Z78" s="730">
        <f t="shared" si="39"/>
        <v>1.9639534874001408</v>
      </c>
      <c r="AA78" s="752">
        <v>2.4</v>
      </c>
      <c r="AB78" s="736">
        <f t="shared" si="40"/>
        <v>1516.1899999999987</v>
      </c>
      <c r="AC78" s="350"/>
      <c r="AD78" s="375"/>
      <c r="AE78" s="375"/>
      <c r="AF78" s="375"/>
    </row>
    <row r="79" spans="1:46" s="250" customFormat="1" x14ac:dyDescent="0.25">
      <c r="A79" s="19"/>
      <c r="B79" s="392" t="s">
        <v>23</v>
      </c>
      <c r="C79" s="745"/>
      <c r="D79" s="780"/>
      <c r="E79" s="781">
        <f>SUM(E72:E78)</f>
        <v>144</v>
      </c>
      <c r="F79" s="781">
        <f>SUM(F72:F78)</f>
        <v>421</v>
      </c>
      <c r="G79" s="781">
        <f>SUM(G72:G78)</f>
        <v>8714.01</v>
      </c>
      <c r="H79" s="981"/>
      <c r="I79" s="981"/>
      <c r="J79" s="639">
        <f>SUM(J73:J78)</f>
        <v>83819.039999999994</v>
      </c>
      <c r="K79" s="639">
        <f>SUM(K73:K78)</f>
        <v>74588.929999999993</v>
      </c>
      <c r="L79" s="989"/>
      <c r="M79" s="989"/>
      <c r="N79" s="639">
        <f t="shared" si="33"/>
        <v>68452.635520000011</v>
      </c>
      <c r="O79" s="640">
        <f>SUM(O73:O78)</f>
        <v>527.1</v>
      </c>
      <c r="P79" s="640">
        <f>SUM(P73:P78)</f>
        <v>2763</v>
      </c>
      <c r="Q79" s="802"/>
      <c r="R79" s="802"/>
      <c r="S79" s="803"/>
      <c r="T79" s="783">
        <f>SUM(T73:T78)</f>
        <v>54211.76</v>
      </c>
      <c r="U79" s="783">
        <f>SUM(U73:U78)</f>
        <v>10950.775520000003</v>
      </c>
      <c r="V79" s="640">
        <f>SUM(V73:V78)</f>
        <v>1010.6999999999999</v>
      </c>
      <c r="W79" s="640">
        <f t="shared" si="32"/>
        <v>15366.404479999983</v>
      </c>
      <c r="X79" s="783">
        <f t="shared" ref="X79" si="41">K79/J79*100</f>
        <v>88.988050924944972</v>
      </c>
      <c r="Y79" s="804">
        <f>N79/G79/11</f>
        <v>0.71413354649059924</v>
      </c>
      <c r="Z79" s="805">
        <f t="shared" si="39"/>
        <v>1.9638672528491479</v>
      </c>
      <c r="AA79" s="661"/>
      <c r="AB79" s="647">
        <f>SUM(AB73:AB78)</f>
        <v>9230.11</v>
      </c>
      <c r="AC79" s="1029"/>
      <c r="AD79" s="375"/>
      <c r="AE79" s="375"/>
      <c r="AF79" s="375"/>
      <c r="AR79" s="269"/>
    </row>
    <row r="80" spans="1:46" x14ac:dyDescent="0.25">
      <c r="C80" s="375"/>
      <c r="D80" s="375"/>
      <c r="E80" s="375"/>
      <c r="F80" s="375"/>
      <c r="G80" s="375"/>
      <c r="H80" s="375"/>
      <c r="I80" s="375"/>
      <c r="J80" s="375" t="s">
        <v>180</v>
      </c>
      <c r="K80" s="375"/>
      <c r="L80" s="375"/>
      <c r="M80" s="375"/>
      <c r="N80" s="375"/>
      <c r="O80" s="786">
        <f>O79+P79</f>
        <v>3290.1</v>
      </c>
      <c r="P80" s="349"/>
      <c r="Q80" s="806"/>
      <c r="R80" s="349"/>
      <c r="S80" s="375"/>
      <c r="T80" s="786">
        <f>T79+U79</f>
        <v>65162.535520000005</v>
      </c>
      <c r="U80" s="375"/>
      <c r="V80" s="375"/>
      <c r="W80" s="375"/>
      <c r="X80" s="375"/>
      <c r="Y80" s="375"/>
      <c r="Z80" s="375"/>
      <c r="AA80" s="375"/>
      <c r="AB80" s="375"/>
      <c r="AC80" s="375"/>
      <c r="AD80" s="375"/>
      <c r="AE80" s="375"/>
      <c r="AF80" s="375"/>
    </row>
    <row r="81" spans="1:32" x14ac:dyDescent="0.25">
      <c r="B81" s="395"/>
      <c r="C81" s="787"/>
      <c r="D81" s="787"/>
      <c r="E81" s="787"/>
      <c r="F81" s="787"/>
      <c r="G81" s="787"/>
      <c r="H81" s="787"/>
      <c r="I81" s="787"/>
      <c r="J81" s="807"/>
      <c r="K81" s="807"/>
      <c r="L81" s="807"/>
      <c r="M81" s="807"/>
      <c r="N81" s="375"/>
      <c r="O81" s="375"/>
      <c r="P81" s="349"/>
      <c r="Q81" s="349"/>
      <c r="R81" s="349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5"/>
      <c r="AD81" s="375"/>
      <c r="AE81" s="375"/>
      <c r="AF81" s="375"/>
    </row>
    <row r="82" spans="1:32" x14ac:dyDescent="0.25">
      <c r="B82" s="395"/>
      <c r="C82" s="787"/>
      <c r="D82" s="787"/>
      <c r="E82" s="787"/>
      <c r="F82" s="787"/>
      <c r="G82" s="787"/>
      <c r="H82" s="787"/>
      <c r="I82" s="787"/>
      <c r="J82" s="807"/>
      <c r="K82" s="807"/>
      <c r="L82" s="807"/>
      <c r="M82" s="807"/>
      <c r="N82" s="375"/>
      <c r="O82" s="375"/>
      <c r="P82" s="349"/>
      <c r="Q82" s="349"/>
      <c r="R82" s="349"/>
      <c r="S82" s="375"/>
      <c r="T82" s="375"/>
      <c r="U82" s="375"/>
      <c r="V82" s="375"/>
      <c r="W82" s="375"/>
      <c r="X82" s="375"/>
      <c r="Y82" s="375"/>
      <c r="Z82" s="375"/>
      <c r="AA82" s="375"/>
      <c r="AB82" s="375"/>
      <c r="AC82" s="375"/>
      <c r="AD82" s="375"/>
      <c r="AE82" s="375"/>
      <c r="AF82" s="375"/>
    </row>
    <row r="83" spans="1:32" x14ac:dyDescent="0.25">
      <c r="C83" s="375"/>
      <c r="D83" s="375"/>
      <c r="E83" s="375"/>
      <c r="F83" s="375"/>
      <c r="G83" s="375"/>
      <c r="H83" s="375"/>
      <c r="I83" s="375"/>
      <c r="J83" s="808"/>
      <c r="K83" s="808"/>
      <c r="L83" s="808"/>
      <c r="M83" s="808"/>
      <c r="N83" s="375"/>
      <c r="O83" s="375"/>
      <c r="P83" s="349"/>
      <c r="Q83" s="349"/>
      <c r="R83" s="349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  <c r="AE83" s="375"/>
      <c r="AF83" s="375"/>
    </row>
    <row r="84" spans="1:32" ht="18.75" x14ac:dyDescent="0.3">
      <c r="B84" s="74" t="s">
        <v>585</v>
      </c>
      <c r="C84" s="765"/>
      <c r="D84" s="765"/>
      <c r="E84" s="765"/>
      <c r="F84" s="765"/>
      <c r="G84" s="765"/>
      <c r="H84" s="765"/>
      <c r="I84" s="765"/>
      <c r="J84" s="765"/>
      <c r="K84" s="765"/>
      <c r="L84" s="765"/>
      <c r="M84" s="765"/>
      <c r="N84" s="766"/>
      <c r="O84" s="766"/>
      <c r="P84" s="375"/>
      <c r="Q84" s="375"/>
      <c r="R84" s="375"/>
      <c r="S84" s="375"/>
      <c r="T84" s="375"/>
      <c r="U84" s="375"/>
      <c r="V84" s="375"/>
      <c r="W84" s="375"/>
      <c r="X84" s="375"/>
      <c r="Y84" s="375"/>
      <c r="Z84" s="375"/>
      <c r="AA84" s="375"/>
      <c r="AB84" s="375"/>
      <c r="AC84" s="375"/>
      <c r="AD84" s="375"/>
      <c r="AE84" s="375"/>
      <c r="AF84" s="375"/>
    </row>
    <row r="85" spans="1:32" ht="18" x14ac:dyDescent="0.25">
      <c r="A85" s="17"/>
      <c r="B85" s="1"/>
      <c r="C85" s="766"/>
      <c r="D85" s="766"/>
      <c r="E85" s="766"/>
      <c r="F85" s="766"/>
      <c r="G85" s="766"/>
      <c r="H85" s="766"/>
      <c r="I85" s="766"/>
      <c r="J85" s="766"/>
      <c r="K85" s="766"/>
      <c r="L85" s="766"/>
      <c r="M85" s="766"/>
      <c r="N85" s="766"/>
      <c r="O85" s="766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  <c r="AE85" s="375"/>
      <c r="AF85" s="375"/>
    </row>
    <row r="86" spans="1:32" ht="18" x14ac:dyDescent="0.25">
      <c r="A86" s="17"/>
      <c r="B86" s="1"/>
      <c r="C86" s="766"/>
      <c r="D86" s="766"/>
      <c r="E86" s="766"/>
      <c r="F86" s="766"/>
      <c r="G86" s="766"/>
      <c r="H86" s="766"/>
      <c r="I86" s="766"/>
      <c r="J86" s="766"/>
      <c r="K86" s="766"/>
      <c r="L86" s="766"/>
      <c r="M86" s="766"/>
      <c r="N86" s="766"/>
      <c r="O86" s="766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  <c r="AD86" s="375"/>
      <c r="AE86" s="375"/>
      <c r="AF86" s="375"/>
    </row>
    <row r="87" spans="1:32" ht="21" customHeight="1" x14ac:dyDescent="0.25">
      <c r="A87" s="2020" t="s">
        <v>0</v>
      </c>
      <c r="B87" s="2020" t="s">
        <v>184</v>
      </c>
      <c r="C87" s="2228" t="s">
        <v>54</v>
      </c>
      <c r="D87" s="2228" t="s">
        <v>55</v>
      </c>
      <c r="E87" s="2228" t="s">
        <v>56</v>
      </c>
      <c r="F87" s="2228" t="s">
        <v>57</v>
      </c>
      <c r="G87" s="2232" t="s">
        <v>6</v>
      </c>
      <c r="H87" s="979"/>
      <c r="I87" s="979"/>
      <c r="J87" s="2087" t="s">
        <v>552</v>
      </c>
      <c r="K87" s="2088"/>
      <c r="L87" s="943"/>
      <c r="M87" s="943"/>
      <c r="N87" s="2074" t="s">
        <v>181</v>
      </c>
      <c r="O87" s="2074" t="s">
        <v>332</v>
      </c>
      <c r="P87" s="2074" t="s">
        <v>333</v>
      </c>
      <c r="Q87" s="2236" t="s">
        <v>308</v>
      </c>
      <c r="R87" s="2236" t="s">
        <v>317</v>
      </c>
      <c r="S87" s="2238" t="s">
        <v>588</v>
      </c>
      <c r="T87" s="2230" t="s">
        <v>313</v>
      </c>
      <c r="U87" s="2093" t="s">
        <v>554</v>
      </c>
      <c r="V87" s="2074"/>
      <c r="W87" s="2074" t="s">
        <v>175</v>
      </c>
      <c r="X87" s="2074" t="s">
        <v>183</v>
      </c>
      <c r="Y87" s="2080" t="s">
        <v>182</v>
      </c>
      <c r="Z87" s="2226" t="s">
        <v>544</v>
      </c>
      <c r="AA87" s="2184" t="s">
        <v>566</v>
      </c>
      <c r="AB87" s="375"/>
      <c r="AC87" s="375"/>
      <c r="AD87" s="375"/>
      <c r="AE87" s="375"/>
      <c r="AF87" s="375"/>
    </row>
    <row r="88" spans="1:32" ht="33" customHeight="1" x14ac:dyDescent="0.25">
      <c r="A88" s="2021"/>
      <c r="B88" s="2021"/>
      <c r="C88" s="2229"/>
      <c r="D88" s="2229"/>
      <c r="E88" s="2229"/>
      <c r="F88" s="2229"/>
      <c r="G88" s="2233"/>
      <c r="H88" s="980"/>
      <c r="I88" s="980"/>
      <c r="J88" s="767" t="s">
        <v>15</v>
      </c>
      <c r="K88" s="768" t="s">
        <v>16</v>
      </c>
      <c r="L88" s="944"/>
      <c r="M88" s="944"/>
      <c r="N88" s="2075"/>
      <c r="O88" s="2075"/>
      <c r="P88" s="2075"/>
      <c r="Q88" s="2237"/>
      <c r="R88" s="2237"/>
      <c r="S88" s="2239"/>
      <c r="T88" s="2231"/>
      <c r="U88" s="2093"/>
      <c r="V88" s="2075"/>
      <c r="W88" s="2075"/>
      <c r="X88" s="2075"/>
      <c r="Y88" s="2079"/>
      <c r="Z88" s="2227"/>
      <c r="AA88" s="2185"/>
      <c r="AB88" s="375"/>
      <c r="AC88" s="375"/>
      <c r="AD88" s="375"/>
      <c r="AE88" s="375"/>
      <c r="AF88" s="375"/>
    </row>
    <row r="89" spans="1:32" x14ac:dyDescent="0.25">
      <c r="A89" s="19">
        <v>1</v>
      </c>
      <c r="B89" s="55" t="s">
        <v>100</v>
      </c>
      <c r="C89" s="745">
        <v>1980</v>
      </c>
      <c r="D89" s="745">
        <v>3</v>
      </c>
      <c r="E89" s="745">
        <v>24</v>
      </c>
      <c r="F89" s="349">
        <v>59</v>
      </c>
      <c r="G89" s="741">
        <v>1440.6</v>
      </c>
      <c r="H89" s="985"/>
      <c r="I89" s="985"/>
      <c r="J89" s="794">
        <v>5762.4</v>
      </c>
      <c r="K89" s="794">
        <v>5295.88</v>
      </c>
      <c r="L89" s="987"/>
      <c r="M89" s="987"/>
      <c r="N89" s="728">
        <f>O89+P89+Q89+R89+S89+T89+U89</f>
        <v>260.19259236782847</v>
      </c>
      <c r="O89" s="730"/>
      <c r="P89" s="730"/>
      <c r="Q89" s="795"/>
      <c r="R89" s="795"/>
      <c r="S89" s="743">
        <f>2500/13841.67*G89</f>
        <v>260.19259236782847</v>
      </c>
      <c r="T89" s="730"/>
      <c r="U89" s="730"/>
      <c r="V89" s="730"/>
      <c r="W89" s="730">
        <f>J89-N89</f>
        <v>5502.2074076321715</v>
      </c>
      <c r="X89" s="730">
        <f>K89/J89*100</f>
        <v>91.904067749548815</v>
      </c>
      <c r="Y89" s="730"/>
      <c r="Z89" s="730">
        <v>1</v>
      </c>
      <c r="AA89" s="736">
        <f>J89-K89</f>
        <v>466.51999999999953</v>
      </c>
      <c r="AB89" s="375"/>
      <c r="AC89" s="375"/>
      <c r="AD89" s="375"/>
      <c r="AE89" s="375"/>
      <c r="AF89" s="375"/>
    </row>
    <row r="90" spans="1:32" x14ac:dyDescent="0.25">
      <c r="A90" s="19">
        <v>2</v>
      </c>
      <c r="B90" s="55" t="s">
        <v>101</v>
      </c>
      <c r="C90" s="745">
        <v>1978</v>
      </c>
      <c r="D90" s="745">
        <v>3</v>
      </c>
      <c r="E90" s="745">
        <v>24</v>
      </c>
      <c r="F90" s="708">
        <v>71</v>
      </c>
      <c r="G90" s="741">
        <v>1449.9</v>
      </c>
      <c r="H90" s="985"/>
      <c r="I90" s="985"/>
      <c r="J90" s="794">
        <v>5799.6</v>
      </c>
      <c r="K90" s="794">
        <v>5002.28</v>
      </c>
      <c r="L90" s="987"/>
      <c r="M90" s="987"/>
      <c r="N90" s="728">
        <f t="shared" ref="N90:N101" si="42">O90+P90+Q90+R90+S90+T90+U90</f>
        <v>261.87230298078197</v>
      </c>
      <c r="O90" s="730"/>
      <c r="P90" s="730"/>
      <c r="Q90" s="795"/>
      <c r="R90" s="795"/>
      <c r="S90" s="743">
        <f t="shared" ref="S90:S101" si="43">2500/13841.67*G90</f>
        <v>261.87230298078197</v>
      </c>
      <c r="T90" s="730"/>
      <c r="U90" s="730"/>
      <c r="V90" s="730"/>
      <c r="W90" s="730">
        <f t="shared" ref="W90:W102" si="44">J90-N90</f>
        <v>5537.7276970192188</v>
      </c>
      <c r="X90" s="730">
        <f t="shared" ref="X90:X102" si="45">K90/J90*100</f>
        <v>86.252155321056605</v>
      </c>
      <c r="Y90" s="730"/>
      <c r="Z90" s="730">
        <v>1</v>
      </c>
      <c r="AA90" s="736">
        <f t="shared" ref="AA90:AA101" si="46">J90-K90</f>
        <v>797.32000000000062</v>
      </c>
      <c r="AB90" s="375"/>
      <c r="AC90" s="375"/>
      <c r="AD90" s="375"/>
      <c r="AE90" s="375"/>
      <c r="AF90" s="375"/>
    </row>
    <row r="91" spans="1:32" x14ac:dyDescent="0.25">
      <c r="A91" s="19">
        <v>3</v>
      </c>
      <c r="B91" s="55" t="s">
        <v>102</v>
      </c>
      <c r="C91" s="745">
        <v>1979</v>
      </c>
      <c r="D91" s="745">
        <v>3</v>
      </c>
      <c r="E91" s="745">
        <v>24</v>
      </c>
      <c r="F91" s="349">
        <v>79</v>
      </c>
      <c r="G91" s="741">
        <v>1460.41</v>
      </c>
      <c r="H91" s="985"/>
      <c r="I91" s="985"/>
      <c r="J91" s="794">
        <v>5841.24</v>
      </c>
      <c r="K91" s="794">
        <v>5838.22</v>
      </c>
      <c r="L91" s="987"/>
      <c r="M91" s="987"/>
      <c r="N91" s="728">
        <f t="shared" si="42"/>
        <v>263.77055658746383</v>
      </c>
      <c r="O91" s="730"/>
      <c r="P91" s="730"/>
      <c r="Q91" s="795"/>
      <c r="R91" s="795"/>
      <c r="S91" s="743">
        <f t="shared" si="43"/>
        <v>263.77055658746383</v>
      </c>
      <c r="T91" s="730"/>
      <c r="U91" s="730"/>
      <c r="V91" s="730"/>
      <c r="W91" s="730">
        <f t="shared" si="44"/>
        <v>5577.4694434125358</v>
      </c>
      <c r="X91" s="730">
        <f t="shared" si="45"/>
        <v>99.948298648917017</v>
      </c>
      <c r="Y91" s="730"/>
      <c r="Z91" s="730">
        <v>1</v>
      </c>
      <c r="AA91" s="736">
        <f t="shared" si="46"/>
        <v>3.0199999999995271</v>
      </c>
      <c r="AB91" s="375"/>
      <c r="AC91" s="375"/>
      <c r="AD91" s="375"/>
      <c r="AE91" s="375"/>
      <c r="AF91" s="375"/>
    </row>
    <row r="92" spans="1:32" x14ac:dyDescent="0.25">
      <c r="A92" s="19">
        <v>4</v>
      </c>
      <c r="B92" s="55" t="s">
        <v>103</v>
      </c>
      <c r="C92" s="745">
        <v>1986</v>
      </c>
      <c r="D92" s="745">
        <v>3</v>
      </c>
      <c r="E92" s="745">
        <v>24</v>
      </c>
      <c r="F92" s="746">
        <v>63</v>
      </c>
      <c r="G92" s="741">
        <v>1454.3</v>
      </c>
      <c r="H92" s="985"/>
      <c r="I92" s="985"/>
      <c r="J92" s="794">
        <v>5817.2</v>
      </c>
      <c r="K92" s="794">
        <v>5422.52</v>
      </c>
      <c r="L92" s="987"/>
      <c r="M92" s="987"/>
      <c r="N92" s="728">
        <f t="shared" si="42"/>
        <v>262.6670047761578</v>
      </c>
      <c r="O92" s="730"/>
      <c r="P92" s="730"/>
      <c r="Q92" s="795"/>
      <c r="R92" s="795"/>
      <c r="S92" s="743">
        <f t="shared" si="43"/>
        <v>262.6670047761578</v>
      </c>
      <c r="T92" s="730"/>
      <c r="U92" s="730"/>
      <c r="V92" s="730"/>
      <c r="W92" s="730">
        <f t="shared" si="44"/>
        <v>5554.5329952238417</v>
      </c>
      <c r="X92" s="730">
        <f t="shared" si="45"/>
        <v>93.215292580622986</v>
      </c>
      <c r="Y92" s="730"/>
      <c r="Z92" s="730">
        <v>1</v>
      </c>
      <c r="AA92" s="736">
        <f t="shared" si="46"/>
        <v>394.67999999999938</v>
      </c>
      <c r="AB92" s="375"/>
      <c r="AC92" s="375"/>
      <c r="AD92" s="375"/>
      <c r="AE92" s="375"/>
      <c r="AF92" s="375"/>
    </row>
    <row r="93" spans="1:32" x14ac:dyDescent="0.25">
      <c r="A93" s="19">
        <v>5</v>
      </c>
      <c r="B93" s="55" t="s">
        <v>104</v>
      </c>
      <c r="C93" s="745">
        <v>1985</v>
      </c>
      <c r="D93" s="745">
        <v>3</v>
      </c>
      <c r="E93" s="745">
        <v>24</v>
      </c>
      <c r="F93" s="708">
        <v>88</v>
      </c>
      <c r="G93" s="741">
        <v>1464.7</v>
      </c>
      <c r="H93" s="985"/>
      <c r="I93" s="985"/>
      <c r="J93" s="794">
        <v>5857.2</v>
      </c>
      <c r="K93" s="794">
        <v>6100.09</v>
      </c>
      <c r="L93" s="987"/>
      <c r="M93" s="987"/>
      <c r="N93" s="728">
        <f t="shared" si="42"/>
        <v>264.54539083795527</v>
      </c>
      <c r="O93" s="730"/>
      <c r="P93" s="730"/>
      <c r="Q93" s="797"/>
      <c r="R93" s="795"/>
      <c r="S93" s="743">
        <f t="shared" si="43"/>
        <v>264.54539083795527</v>
      </c>
      <c r="T93" s="730"/>
      <c r="U93" s="730"/>
      <c r="V93" s="730"/>
      <c r="W93" s="730">
        <f t="shared" si="44"/>
        <v>5592.6546091620448</v>
      </c>
      <c r="X93" s="730">
        <f t="shared" si="45"/>
        <v>104.14686198183433</v>
      </c>
      <c r="Y93" s="730"/>
      <c r="Z93" s="730">
        <v>1</v>
      </c>
      <c r="AA93" s="736">
        <f t="shared" si="46"/>
        <v>-242.89000000000033</v>
      </c>
      <c r="AB93" s="375"/>
      <c r="AC93" s="375"/>
      <c r="AD93" s="375"/>
      <c r="AE93" s="375"/>
      <c r="AF93" s="375"/>
    </row>
    <row r="94" spans="1:32" x14ac:dyDescent="0.25">
      <c r="A94" s="251">
        <v>6</v>
      </c>
      <c r="B94" s="55" t="s">
        <v>105</v>
      </c>
      <c r="C94" s="745">
        <v>1976</v>
      </c>
      <c r="D94" s="745">
        <v>2</v>
      </c>
      <c r="E94" s="745">
        <v>18</v>
      </c>
      <c r="F94" s="708">
        <v>35</v>
      </c>
      <c r="G94" s="741">
        <v>766.9</v>
      </c>
      <c r="H94" s="986"/>
      <c r="I94" s="986"/>
      <c r="J94" s="799">
        <v>3067.6</v>
      </c>
      <c r="K94" s="799">
        <v>3140.11</v>
      </c>
      <c r="L94" s="988"/>
      <c r="M94" s="988"/>
      <c r="N94" s="728">
        <f t="shared" si="42"/>
        <v>138.51291065312205</v>
      </c>
      <c r="O94" s="752"/>
      <c r="P94" s="730"/>
      <c r="Q94" s="809"/>
      <c r="R94" s="800"/>
      <c r="S94" s="743">
        <f t="shared" si="43"/>
        <v>138.51291065312205</v>
      </c>
      <c r="T94" s="730"/>
      <c r="U94" s="730"/>
      <c r="V94" s="752"/>
      <c r="W94" s="730">
        <f t="shared" si="44"/>
        <v>2929.0870893468777</v>
      </c>
      <c r="X94" s="730">
        <f t="shared" si="45"/>
        <v>102.36373712348417</v>
      </c>
      <c r="Y94" s="752"/>
      <c r="Z94" s="752">
        <v>1</v>
      </c>
      <c r="AA94" s="736">
        <f t="shared" si="46"/>
        <v>-72.510000000000218</v>
      </c>
      <c r="AB94" s="375"/>
      <c r="AC94" s="375"/>
      <c r="AD94" s="375"/>
      <c r="AE94" s="375"/>
      <c r="AF94" s="375"/>
    </row>
    <row r="95" spans="1:32" x14ac:dyDescent="0.25">
      <c r="A95" s="251">
        <v>7</v>
      </c>
      <c r="B95" s="55" t="s">
        <v>106</v>
      </c>
      <c r="C95" s="745">
        <v>1975</v>
      </c>
      <c r="D95" s="745">
        <v>2</v>
      </c>
      <c r="E95" s="745">
        <v>18</v>
      </c>
      <c r="F95" s="661">
        <v>49</v>
      </c>
      <c r="G95" s="741">
        <v>778.78</v>
      </c>
      <c r="H95" s="986"/>
      <c r="I95" s="986"/>
      <c r="J95" s="799">
        <v>3081.52</v>
      </c>
      <c r="K95" s="799">
        <v>2713.17</v>
      </c>
      <c r="L95" s="988"/>
      <c r="M95" s="988"/>
      <c r="N95" s="728">
        <f t="shared" si="42"/>
        <v>140.65860550063684</v>
      </c>
      <c r="O95" s="752"/>
      <c r="P95" s="730"/>
      <c r="Q95" s="809"/>
      <c r="R95" s="800"/>
      <c r="S95" s="743">
        <f t="shared" si="43"/>
        <v>140.65860550063684</v>
      </c>
      <c r="T95" s="730"/>
      <c r="U95" s="730"/>
      <c r="V95" s="752"/>
      <c r="W95" s="730">
        <f t="shared" si="44"/>
        <v>2940.8613944993631</v>
      </c>
      <c r="X95" s="730">
        <f t="shared" si="45"/>
        <v>88.046483553570965</v>
      </c>
      <c r="Y95" s="752"/>
      <c r="Z95" s="752">
        <v>1</v>
      </c>
      <c r="AA95" s="736">
        <f t="shared" si="46"/>
        <v>368.34999999999991</v>
      </c>
      <c r="AB95" s="375"/>
      <c r="AC95" s="375"/>
      <c r="AD95" s="375"/>
      <c r="AE95" s="375"/>
      <c r="AF95" s="375"/>
    </row>
    <row r="96" spans="1:32" x14ac:dyDescent="0.25">
      <c r="A96" s="251">
        <v>8</v>
      </c>
      <c r="B96" s="252" t="s">
        <v>113</v>
      </c>
      <c r="C96" s="745">
        <v>1973</v>
      </c>
      <c r="D96" s="745">
        <v>2</v>
      </c>
      <c r="E96" s="745">
        <v>16</v>
      </c>
      <c r="F96" s="661">
        <v>32</v>
      </c>
      <c r="G96" s="741">
        <v>722.8</v>
      </c>
      <c r="H96" s="986"/>
      <c r="I96" s="986"/>
      <c r="J96" s="799">
        <v>2891.34</v>
      </c>
      <c r="K96" s="799">
        <v>3068.12</v>
      </c>
      <c r="L96" s="988"/>
      <c r="M96" s="988"/>
      <c r="N96" s="728">
        <f t="shared" si="42"/>
        <v>130.54783129492321</v>
      </c>
      <c r="O96" s="752"/>
      <c r="P96" s="730"/>
      <c r="Q96" s="809"/>
      <c r="R96" s="800"/>
      <c r="S96" s="743">
        <f t="shared" si="43"/>
        <v>130.54783129492321</v>
      </c>
      <c r="T96" s="730"/>
      <c r="U96" s="730"/>
      <c r="V96" s="752"/>
      <c r="W96" s="730">
        <f t="shared" si="44"/>
        <v>2760.7921687050771</v>
      </c>
      <c r="X96" s="730">
        <f t="shared" si="45"/>
        <v>106.11412009656422</v>
      </c>
      <c r="Y96" s="752"/>
      <c r="Z96" s="752">
        <v>1</v>
      </c>
      <c r="AA96" s="736">
        <f t="shared" si="46"/>
        <v>-176.77999999999975</v>
      </c>
      <c r="AB96" s="375"/>
      <c r="AC96" s="375"/>
      <c r="AD96" s="375"/>
      <c r="AE96" s="375"/>
      <c r="AF96" s="375"/>
    </row>
    <row r="97" spans="1:32" x14ac:dyDescent="0.25">
      <c r="A97" s="251">
        <v>9</v>
      </c>
      <c r="B97" s="252" t="s">
        <v>114</v>
      </c>
      <c r="C97" s="745">
        <v>1973</v>
      </c>
      <c r="D97" s="745">
        <v>2</v>
      </c>
      <c r="E97" s="745">
        <v>16</v>
      </c>
      <c r="F97" s="661">
        <v>46</v>
      </c>
      <c r="G97" s="741">
        <v>714.4</v>
      </c>
      <c r="H97" s="986"/>
      <c r="I97" s="986"/>
      <c r="J97" s="799">
        <v>2857.2</v>
      </c>
      <c r="K97" s="799">
        <v>3422.21</v>
      </c>
      <c r="L97" s="988"/>
      <c r="M97" s="988"/>
      <c r="N97" s="728">
        <f t="shared" si="42"/>
        <v>129.03067332193297</v>
      </c>
      <c r="O97" s="752"/>
      <c r="P97" s="730"/>
      <c r="Q97" s="809"/>
      <c r="R97" s="800"/>
      <c r="S97" s="743">
        <f t="shared" si="43"/>
        <v>129.03067332193297</v>
      </c>
      <c r="T97" s="730"/>
      <c r="U97" s="730"/>
      <c r="V97" s="752"/>
      <c r="W97" s="730">
        <f t="shared" si="44"/>
        <v>2728.1693266780667</v>
      </c>
      <c r="X97" s="730">
        <f t="shared" si="45"/>
        <v>119.77495450090998</v>
      </c>
      <c r="Y97" s="752"/>
      <c r="Z97" s="752">
        <v>1</v>
      </c>
      <c r="AA97" s="736">
        <f t="shared" si="46"/>
        <v>-565.01000000000022</v>
      </c>
      <c r="AB97" s="375"/>
      <c r="AC97" s="375"/>
      <c r="AD97" s="375"/>
      <c r="AE97" s="375"/>
      <c r="AF97" s="375"/>
    </row>
    <row r="98" spans="1:32" x14ac:dyDescent="0.25">
      <c r="A98" s="251">
        <v>10</v>
      </c>
      <c r="B98" s="252" t="s">
        <v>123</v>
      </c>
      <c r="C98" s="745">
        <v>1990</v>
      </c>
      <c r="D98" s="745">
        <v>3</v>
      </c>
      <c r="E98" s="745">
        <v>24</v>
      </c>
      <c r="F98" s="661">
        <v>61</v>
      </c>
      <c r="G98" s="741">
        <v>1444.1</v>
      </c>
      <c r="H98" s="986"/>
      <c r="I98" s="986"/>
      <c r="J98" s="799">
        <v>5774.4</v>
      </c>
      <c r="K98" s="799">
        <v>5142.66</v>
      </c>
      <c r="L98" s="988"/>
      <c r="M98" s="988"/>
      <c r="N98" s="728">
        <f t="shared" si="42"/>
        <v>260.82474152324107</v>
      </c>
      <c r="O98" s="752"/>
      <c r="P98" s="730"/>
      <c r="Q98" s="800"/>
      <c r="R98" s="800"/>
      <c r="S98" s="743">
        <f t="shared" si="43"/>
        <v>260.82474152324107</v>
      </c>
      <c r="T98" s="730"/>
      <c r="U98" s="730"/>
      <c r="V98" s="752"/>
      <c r="W98" s="730">
        <f t="shared" si="44"/>
        <v>5513.5752584767588</v>
      </c>
      <c r="X98" s="730">
        <f t="shared" si="45"/>
        <v>89.059642560265999</v>
      </c>
      <c r="Y98" s="752"/>
      <c r="Z98" s="752">
        <v>1</v>
      </c>
      <c r="AA98" s="736">
        <f t="shared" si="46"/>
        <v>631.73999999999978</v>
      </c>
      <c r="AB98" s="375"/>
      <c r="AC98" s="375"/>
      <c r="AD98" s="375"/>
      <c r="AE98" s="375"/>
      <c r="AF98" s="375"/>
    </row>
    <row r="99" spans="1:32" x14ac:dyDescent="0.25">
      <c r="A99" s="251">
        <v>11</v>
      </c>
      <c r="B99" s="252" t="s">
        <v>117</v>
      </c>
      <c r="C99" s="745">
        <v>1969</v>
      </c>
      <c r="D99" s="745">
        <v>2</v>
      </c>
      <c r="E99" s="745">
        <v>16</v>
      </c>
      <c r="F99" s="661">
        <v>37</v>
      </c>
      <c r="G99" s="741">
        <v>716.27</v>
      </c>
      <c r="H99" s="986"/>
      <c r="I99" s="986"/>
      <c r="J99" s="799">
        <v>2865.08</v>
      </c>
      <c r="K99" s="799">
        <v>2658.44</v>
      </c>
      <c r="L99" s="988"/>
      <c r="M99" s="988"/>
      <c r="N99" s="728">
        <f t="shared" si="42"/>
        <v>129.36842158496771</v>
      </c>
      <c r="O99" s="752"/>
      <c r="P99" s="730"/>
      <c r="Q99" s="800"/>
      <c r="R99" s="800"/>
      <c r="S99" s="743">
        <f t="shared" si="43"/>
        <v>129.36842158496771</v>
      </c>
      <c r="T99" s="730"/>
      <c r="U99" s="730"/>
      <c r="V99" s="752"/>
      <c r="W99" s="730">
        <f t="shared" si="44"/>
        <v>2735.7115784150324</v>
      </c>
      <c r="X99" s="730">
        <f t="shared" si="45"/>
        <v>92.787635947338302</v>
      </c>
      <c r="Y99" s="752"/>
      <c r="Z99" s="752">
        <v>1</v>
      </c>
      <c r="AA99" s="736">
        <f t="shared" si="46"/>
        <v>206.63999999999987</v>
      </c>
      <c r="AB99" s="375"/>
      <c r="AC99" s="375"/>
      <c r="AD99" s="375"/>
      <c r="AE99" s="375"/>
      <c r="AF99" s="375"/>
    </row>
    <row r="100" spans="1:32" x14ac:dyDescent="0.25">
      <c r="A100" s="251">
        <v>12</v>
      </c>
      <c r="B100" s="252" t="s">
        <v>119</v>
      </c>
      <c r="C100" s="745">
        <v>1968</v>
      </c>
      <c r="D100" s="745">
        <v>2</v>
      </c>
      <c r="E100" s="745">
        <v>16</v>
      </c>
      <c r="F100" s="661">
        <v>54</v>
      </c>
      <c r="G100" s="741">
        <v>714.5</v>
      </c>
      <c r="H100" s="986"/>
      <c r="I100" s="986"/>
      <c r="J100" s="799">
        <v>2858</v>
      </c>
      <c r="K100" s="799">
        <v>2365.0300000000002</v>
      </c>
      <c r="L100" s="988"/>
      <c r="M100" s="988"/>
      <c r="N100" s="728">
        <f t="shared" si="42"/>
        <v>129.04873472637334</v>
      </c>
      <c r="O100" s="752"/>
      <c r="P100" s="730"/>
      <c r="Q100" s="800"/>
      <c r="R100" s="800"/>
      <c r="S100" s="743">
        <f t="shared" si="43"/>
        <v>129.04873472637334</v>
      </c>
      <c r="T100" s="730"/>
      <c r="U100" s="730"/>
      <c r="V100" s="752"/>
      <c r="W100" s="730">
        <f t="shared" si="44"/>
        <v>2728.9512652736266</v>
      </c>
      <c r="X100" s="730">
        <f t="shared" si="45"/>
        <v>82.751224632610217</v>
      </c>
      <c r="Y100" s="752"/>
      <c r="Z100" s="752">
        <v>1</v>
      </c>
      <c r="AA100" s="736">
        <f t="shared" si="46"/>
        <v>492.9699999999998</v>
      </c>
      <c r="AB100" s="375"/>
      <c r="AC100" s="375"/>
      <c r="AD100" s="375"/>
      <c r="AE100" s="375"/>
      <c r="AF100" s="375"/>
    </row>
    <row r="101" spans="1:32" x14ac:dyDescent="0.25">
      <c r="A101" s="251">
        <v>13</v>
      </c>
      <c r="B101" s="252" t="s">
        <v>121</v>
      </c>
      <c r="C101" s="745">
        <v>1970</v>
      </c>
      <c r="D101" s="745">
        <v>2</v>
      </c>
      <c r="E101" s="745">
        <v>16</v>
      </c>
      <c r="F101" s="661">
        <v>35</v>
      </c>
      <c r="G101" s="741">
        <v>714.01</v>
      </c>
      <c r="H101" s="986"/>
      <c r="I101" s="986"/>
      <c r="J101" s="799">
        <v>2859.64</v>
      </c>
      <c r="K101" s="799">
        <v>3067.81</v>
      </c>
      <c r="L101" s="988"/>
      <c r="M101" s="988"/>
      <c r="N101" s="728">
        <f t="shared" si="42"/>
        <v>128.96023384461557</v>
      </c>
      <c r="O101" s="752"/>
      <c r="P101" s="730"/>
      <c r="Q101" s="800"/>
      <c r="R101" s="800"/>
      <c r="S101" s="743">
        <f t="shared" si="43"/>
        <v>128.96023384461557</v>
      </c>
      <c r="T101" s="730"/>
      <c r="U101" s="730"/>
      <c r="V101" s="752"/>
      <c r="W101" s="730">
        <f t="shared" si="44"/>
        <v>2730.6797661553842</v>
      </c>
      <c r="X101" s="730">
        <f t="shared" si="45"/>
        <v>107.27958764040228</v>
      </c>
      <c r="Y101" s="752"/>
      <c r="Z101" s="752">
        <v>1</v>
      </c>
      <c r="AA101" s="736">
        <f t="shared" si="46"/>
        <v>-208.17000000000007</v>
      </c>
      <c r="AB101" s="375"/>
      <c r="AC101" s="375"/>
      <c r="AD101" s="375"/>
      <c r="AE101" s="375"/>
      <c r="AF101" s="375"/>
    </row>
    <row r="102" spans="1:32" x14ac:dyDescent="0.25">
      <c r="A102" s="19"/>
      <c r="B102" s="392" t="s">
        <v>23</v>
      </c>
      <c r="C102" s="745"/>
      <c r="D102" s="780"/>
      <c r="E102" s="781">
        <f t="shared" ref="E102:N102" si="47">SUM(E89:E101)</f>
        <v>260</v>
      </c>
      <c r="F102" s="781">
        <f t="shared" si="47"/>
        <v>709</v>
      </c>
      <c r="G102" s="810">
        <f t="shared" si="47"/>
        <v>13841.67</v>
      </c>
      <c r="H102" s="963"/>
      <c r="I102" s="963"/>
      <c r="J102" s="639">
        <f t="shared" si="47"/>
        <v>55332.419999999991</v>
      </c>
      <c r="K102" s="639">
        <f t="shared" si="47"/>
        <v>53236.540000000008</v>
      </c>
      <c r="L102" s="989"/>
      <c r="M102" s="989"/>
      <c r="N102" s="639">
        <f t="shared" si="47"/>
        <v>2500.0000000000005</v>
      </c>
      <c r="O102" s="640">
        <f>SUM(O89:O98)</f>
        <v>0</v>
      </c>
      <c r="P102" s="640">
        <f>SUM(P89:P98)</f>
        <v>0</v>
      </c>
      <c r="Q102" s="802"/>
      <c r="R102" s="802"/>
      <c r="S102" s="811">
        <f>SUM(S89:S101)</f>
        <v>2500.0000000000005</v>
      </c>
      <c r="T102" s="783">
        <f>SUM(T89:T101)</f>
        <v>0</v>
      </c>
      <c r="U102" s="783">
        <f>SUM(U89:U101)</f>
        <v>0</v>
      </c>
      <c r="V102" s="640"/>
      <c r="W102" s="804">
        <f t="shared" si="44"/>
        <v>52832.419999999991</v>
      </c>
      <c r="X102" s="804">
        <f t="shared" si="45"/>
        <v>96.212202538764828</v>
      </c>
      <c r="Y102" s="640"/>
      <c r="Z102" s="812"/>
      <c r="AA102" s="647">
        <f>SUM(AA89:AA101)</f>
        <v>2095.8799999999978</v>
      </c>
      <c r="AB102" s="375"/>
      <c r="AC102" s="375"/>
      <c r="AD102" s="375"/>
      <c r="AE102" s="375"/>
      <c r="AF102" s="375"/>
    </row>
    <row r="103" spans="1:32" x14ac:dyDescent="0.25">
      <c r="J103" t="s">
        <v>180</v>
      </c>
    </row>
    <row r="107" spans="1:32" ht="18.75" customHeight="1" x14ac:dyDescent="0.25">
      <c r="A107" s="250"/>
      <c r="B107" s="250"/>
      <c r="C107" s="250"/>
      <c r="D107" s="250"/>
      <c r="E107" s="250"/>
      <c r="F107" s="250"/>
      <c r="G107" s="250"/>
      <c r="H107" s="250"/>
      <c r="I107" s="250"/>
      <c r="J107" s="250"/>
      <c r="K107" s="250"/>
      <c r="L107" s="250"/>
      <c r="M107" s="250"/>
      <c r="N107" s="250"/>
      <c r="O107" s="250"/>
      <c r="P107" s="250"/>
      <c r="Q107" s="250"/>
      <c r="R107" s="250"/>
      <c r="S107" s="250"/>
      <c r="T107" s="250"/>
      <c r="U107" s="250"/>
      <c r="V107" s="250"/>
      <c r="W107" s="250"/>
      <c r="X107" s="250"/>
      <c r="Y107" s="250"/>
      <c r="Z107" s="250"/>
    </row>
    <row r="108" spans="1:32" ht="18" customHeight="1" x14ac:dyDescent="0.25">
      <c r="A108" s="250"/>
      <c r="B108" s="250"/>
      <c r="C108" s="250"/>
      <c r="D108" s="250"/>
      <c r="E108" s="250"/>
      <c r="F108" s="250"/>
      <c r="G108" s="250"/>
      <c r="H108" s="250"/>
      <c r="I108" s="250"/>
      <c r="J108" s="250"/>
      <c r="K108" s="250"/>
      <c r="L108" s="250"/>
      <c r="M108" s="250"/>
      <c r="N108" s="250"/>
      <c r="O108" s="250"/>
      <c r="P108" s="250"/>
      <c r="Q108" s="250"/>
      <c r="R108" s="250"/>
      <c r="S108" s="250"/>
      <c r="T108" s="250"/>
      <c r="U108" s="250"/>
      <c r="V108" s="250"/>
      <c r="W108" s="250"/>
      <c r="X108" s="250"/>
      <c r="Y108" s="250"/>
      <c r="Z108" s="250"/>
    </row>
    <row r="109" spans="1:32" ht="18" customHeight="1" x14ac:dyDescent="0.25">
      <c r="A109" s="250"/>
      <c r="B109" s="250"/>
      <c r="C109" s="250"/>
      <c r="D109" s="250"/>
      <c r="E109" s="250"/>
      <c r="F109" s="250"/>
      <c r="G109" s="250"/>
      <c r="H109" s="250"/>
      <c r="I109" s="250"/>
      <c r="J109" s="250"/>
      <c r="K109" s="250"/>
      <c r="L109" s="250"/>
      <c r="M109" s="250"/>
      <c r="N109" s="250"/>
      <c r="O109" s="250"/>
      <c r="P109" s="250"/>
      <c r="Q109" s="250"/>
      <c r="R109" s="250"/>
      <c r="S109" s="250"/>
      <c r="T109" s="250"/>
      <c r="U109" s="250"/>
      <c r="V109" s="250"/>
      <c r="W109" s="250"/>
      <c r="X109" s="250"/>
      <c r="Y109" s="250"/>
      <c r="Z109" s="250"/>
    </row>
    <row r="110" spans="1:32" ht="15.75" customHeight="1" x14ac:dyDescent="0.25">
      <c r="A110" s="250"/>
      <c r="B110" s="250"/>
      <c r="C110" s="250"/>
      <c r="D110" s="250"/>
      <c r="E110" s="250"/>
      <c r="F110" s="250"/>
      <c r="G110" s="250"/>
      <c r="H110" s="250"/>
      <c r="I110" s="250"/>
      <c r="J110" s="250"/>
      <c r="K110" s="250"/>
      <c r="L110" s="250"/>
      <c r="M110" s="250"/>
      <c r="N110" s="250"/>
      <c r="O110" s="250"/>
      <c r="P110" s="250"/>
      <c r="Q110" s="250"/>
      <c r="R110" s="250"/>
      <c r="S110" s="250"/>
      <c r="T110" s="250"/>
      <c r="U110" s="250"/>
      <c r="V110" s="250"/>
      <c r="W110" s="250"/>
      <c r="X110" s="250"/>
      <c r="Y110" s="250"/>
      <c r="Z110" s="250"/>
    </row>
    <row r="111" spans="1:32" ht="21" customHeight="1" x14ac:dyDescent="0.25">
      <c r="A111" s="250"/>
      <c r="B111" s="250"/>
      <c r="C111" s="250"/>
      <c r="D111" s="250"/>
      <c r="E111" s="250"/>
      <c r="F111" s="250"/>
      <c r="G111" s="250"/>
      <c r="H111" s="250"/>
      <c r="I111" s="250"/>
      <c r="J111" s="250"/>
      <c r="K111" s="250"/>
      <c r="L111" s="250"/>
      <c r="M111" s="250"/>
      <c r="N111" s="250"/>
      <c r="O111" s="250"/>
      <c r="P111" s="250"/>
      <c r="Q111" s="250"/>
      <c r="R111" s="250"/>
      <c r="S111" s="250"/>
      <c r="T111" s="250"/>
      <c r="U111" s="250"/>
      <c r="V111" s="250"/>
      <c r="W111" s="250"/>
      <c r="X111" s="250"/>
      <c r="Y111" s="250"/>
      <c r="Z111" s="250"/>
    </row>
    <row r="112" spans="1:32" x14ac:dyDescent="0.25">
      <c r="A112" s="250"/>
      <c r="B112" s="250"/>
      <c r="C112" s="250"/>
      <c r="D112" s="250"/>
      <c r="E112" s="250"/>
      <c r="F112" s="250"/>
      <c r="G112" s="250"/>
      <c r="H112" s="250"/>
      <c r="I112" s="250"/>
      <c r="J112" s="250"/>
      <c r="K112" s="250"/>
      <c r="L112" s="250"/>
      <c r="M112" s="250"/>
      <c r="N112" s="250"/>
      <c r="O112" s="250"/>
      <c r="P112" s="250"/>
      <c r="Q112" s="250"/>
      <c r="R112" s="250"/>
      <c r="S112" s="250"/>
      <c r="T112" s="250"/>
      <c r="U112" s="250"/>
      <c r="V112" s="250"/>
      <c r="W112" s="250"/>
      <c r="X112" s="250"/>
      <c r="Y112" s="250"/>
      <c r="Z112" s="250"/>
    </row>
    <row r="113" spans="1:27" x14ac:dyDescent="0.25">
      <c r="A113" s="250"/>
      <c r="B113" s="250"/>
      <c r="C113" s="250"/>
      <c r="D113" s="250"/>
      <c r="E113" s="250"/>
      <c r="F113" s="250"/>
      <c r="G113" s="250"/>
      <c r="H113" s="250"/>
      <c r="I113" s="250"/>
      <c r="J113" s="250"/>
      <c r="K113" s="250"/>
      <c r="L113" s="250"/>
      <c r="M113" s="250"/>
      <c r="N113" s="250"/>
      <c r="O113" s="250"/>
      <c r="P113" s="250"/>
      <c r="Q113" s="250"/>
      <c r="R113" s="250"/>
      <c r="S113" s="250"/>
      <c r="T113" s="250"/>
      <c r="U113" s="250"/>
      <c r="V113" s="250"/>
      <c r="W113" s="250"/>
      <c r="X113" s="250"/>
      <c r="Y113" s="250"/>
      <c r="Z113" s="250"/>
    </row>
    <row r="114" spans="1:27" x14ac:dyDescent="0.25">
      <c r="A114" s="250"/>
      <c r="B114" s="250"/>
      <c r="C114" s="250"/>
      <c r="D114" s="250"/>
      <c r="E114" s="250"/>
      <c r="F114" s="250"/>
      <c r="G114" s="250"/>
      <c r="H114" s="250"/>
      <c r="I114" s="250"/>
      <c r="J114" s="250"/>
      <c r="K114" s="250"/>
      <c r="L114" s="250"/>
      <c r="M114" s="250"/>
      <c r="N114" s="250"/>
      <c r="O114" s="250"/>
      <c r="P114" s="250"/>
      <c r="Q114" s="250"/>
      <c r="R114" s="250"/>
      <c r="S114" s="250"/>
      <c r="T114" s="250"/>
      <c r="U114" s="250"/>
      <c r="V114" s="250"/>
      <c r="W114" s="250"/>
      <c r="X114" s="250"/>
      <c r="Y114" s="250"/>
      <c r="Z114" s="250"/>
    </row>
    <row r="115" spans="1:27" x14ac:dyDescent="0.25">
      <c r="A115" s="250"/>
      <c r="B115" s="250"/>
      <c r="C115" s="250"/>
      <c r="D115" s="250"/>
      <c r="E115" s="250"/>
      <c r="F115" s="250"/>
      <c r="G115" s="250"/>
      <c r="H115" s="250"/>
      <c r="I115" s="250"/>
      <c r="J115" s="250"/>
      <c r="K115" s="250"/>
      <c r="L115" s="250"/>
      <c r="M115" s="250"/>
      <c r="N115" s="250"/>
      <c r="O115" s="250"/>
      <c r="P115" s="250"/>
      <c r="Q115" s="250"/>
      <c r="R115" s="250"/>
      <c r="S115" s="250"/>
      <c r="T115" s="250"/>
      <c r="U115" s="250"/>
      <c r="V115" s="250"/>
      <c r="W115" s="250"/>
      <c r="X115" s="250"/>
      <c r="Y115" s="250"/>
      <c r="Z115" s="250"/>
    </row>
    <row r="116" spans="1:27" x14ac:dyDescent="0.25">
      <c r="A116" s="250"/>
      <c r="B116" s="250"/>
      <c r="C116" s="250"/>
      <c r="D116" s="250"/>
      <c r="E116" s="250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  <c r="Q116" s="250"/>
      <c r="R116" s="250"/>
      <c r="S116" s="250"/>
      <c r="T116" s="250"/>
      <c r="U116" s="250"/>
      <c r="V116" s="250"/>
      <c r="W116" s="250"/>
      <c r="X116" s="250"/>
      <c r="Y116" s="250"/>
      <c r="Z116" s="250"/>
    </row>
    <row r="117" spans="1:27" x14ac:dyDescent="0.25">
      <c r="A117" s="250" t="s">
        <v>180</v>
      </c>
      <c r="B117" s="250"/>
      <c r="C117" s="250"/>
      <c r="D117" s="250"/>
      <c r="E117" s="250"/>
      <c r="F117" s="250"/>
      <c r="G117" s="250"/>
      <c r="H117" s="250"/>
      <c r="I117" s="250"/>
      <c r="J117" s="250"/>
      <c r="K117" s="250"/>
      <c r="L117" s="250"/>
      <c r="M117" s="250"/>
      <c r="N117" s="250"/>
      <c r="O117" s="250"/>
      <c r="P117" s="250"/>
      <c r="Q117" s="250"/>
      <c r="R117" s="250"/>
      <c r="S117" s="250"/>
      <c r="T117" s="250"/>
      <c r="U117" s="250"/>
      <c r="V117" s="250"/>
      <c r="W117" s="250"/>
      <c r="X117" s="250"/>
      <c r="Y117" s="250"/>
      <c r="Z117" s="250"/>
      <c r="AA117" s="250"/>
    </row>
    <row r="118" spans="1:27" x14ac:dyDescent="0.25">
      <c r="A118" s="250"/>
      <c r="B118" s="250"/>
      <c r="C118" s="250"/>
      <c r="D118" s="250"/>
      <c r="E118" s="250"/>
      <c r="F118" s="250"/>
      <c r="G118" s="250"/>
      <c r="H118" s="250"/>
      <c r="I118" s="250"/>
      <c r="J118" s="250"/>
      <c r="K118" s="250"/>
      <c r="L118" s="250"/>
      <c r="M118" s="250"/>
      <c r="N118" s="250"/>
      <c r="O118" s="250"/>
      <c r="P118" s="250"/>
      <c r="Q118" s="250"/>
      <c r="R118" s="250"/>
      <c r="S118" s="250"/>
      <c r="T118" s="250"/>
      <c r="U118" s="250"/>
      <c r="V118" s="250"/>
      <c r="W118" s="250"/>
      <c r="X118" s="250"/>
      <c r="Y118" s="250"/>
      <c r="Z118" s="250"/>
      <c r="AA118" s="250"/>
    </row>
    <row r="119" spans="1:27" x14ac:dyDescent="0.25">
      <c r="A119" s="250"/>
      <c r="B119" s="250"/>
      <c r="C119" s="250"/>
      <c r="D119" s="250"/>
      <c r="E119" s="250"/>
      <c r="F119" s="250"/>
      <c r="G119" s="250"/>
      <c r="H119" s="250"/>
      <c r="I119" s="250"/>
      <c r="J119" s="250"/>
      <c r="K119" s="250"/>
      <c r="L119" s="250"/>
      <c r="M119" s="250"/>
      <c r="N119" s="250"/>
      <c r="O119" s="250"/>
      <c r="P119" s="250"/>
      <c r="Q119" s="250"/>
      <c r="R119" s="250"/>
      <c r="S119" s="250"/>
      <c r="T119" s="250"/>
      <c r="U119" s="250"/>
      <c r="V119" s="250"/>
      <c r="W119" s="250"/>
      <c r="X119" s="250"/>
      <c r="Y119" s="250"/>
      <c r="Z119" s="250"/>
      <c r="AA119" s="250"/>
    </row>
    <row r="120" spans="1:27" x14ac:dyDescent="0.25">
      <c r="A120" s="250"/>
      <c r="B120" s="250"/>
      <c r="C120" s="250"/>
      <c r="D120" s="250"/>
      <c r="E120" s="250"/>
      <c r="F120" s="250"/>
      <c r="G120" s="250"/>
      <c r="H120" s="250"/>
      <c r="I120" s="250"/>
      <c r="J120" s="250"/>
      <c r="K120" s="250"/>
      <c r="L120" s="250"/>
      <c r="M120" s="250"/>
      <c r="N120" s="250"/>
      <c r="O120" s="250"/>
      <c r="P120" s="250"/>
      <c r="Q120" s="250"/>
      <c r="R120" s="250"/>
      <c r="S120" s="250"/>
      <c r="T120" s="250"/>
      <c r="U120" s="250"/>
      <c r="V120" s="250"/>
      <c r="W120" s="250"/>
      <c r="X120" s="250"/>
      <c r="Y120" s="250"/>
      <c r="Z120" s="250"/>
      <c r="AA120" s="250"/>
    </row>
  </sheetData>
  <mergeCells count="100">
    <mergeCell ref="F87:F88"/>
    <mergeCell ref="G87:G88"/>
    <mergeCell ref="J87:K87"/>
    <mergeCell ref="N87:N88"/>
    <mergeCell ref="A87:A88"/>
    <mergeCell ref="B87:B88"/>
    <mergeCell ref="C87:C88"/>
    <mergeCell ref="D87:D88"/>
    <mergeCell ref="E87:E88"/>
    <mergeCell ref="Z87:Z88"/>
    <mergeCell ref="U87:U88"/>
    <mergeCell ref="V87:V88"/>
    <mergeCell ref="W87:W88"/>
    <mergeCell ref="X87:X88"/>
    <mergeCell ref="Y87:Y88"/>
    <mergeCell ref="A71:A72"/>
    <mergeCell ref="B71:B72"/>
    <mergeCell ref="C71:C72"/>
    <mergeCell ref="D71:D72"/>
    <mergeCell ref="E71:E72"/>
    <mergeCell ref="P4:P5"/>
    <mergeCell ref="O4:O5"/>
    <mergeCell ref="F71:F72"/>
    <mergeCell ref="G71:G72"/>
    <mergeCell ref="J71:K71"/>
    <mergeCell ref="N71:N72"/>
    <mergeCell ref="O71:O72"/>
    <mergeCell ref="P71:P72"/>
    <mergeCell ref="V49:V50"/>
    <mergeCell ref="AR49:AR50"/>
    <mergeCell ref="X49:X50"/>
    <mergeCell ref="A4:A5"/>
    <mergeCell ref="B4:B5"/>
    <mergeCell ref="C4:C5"/>
    <mergeCell ref="D4:D5"/>
    <mergeCell ref="E4:E5"/>
    <mergeCell ref="F4:F5"/>
    <mergeCell ref="N4:N5"/>
    <mergeCell ref="H4:I4"/>
    <mergeCell ref="L4:M4"/>
    <mergeCell ref="Q4:Q5"/>
    <mergeCell ref="R4:R5"/>
    <mergeCell ref="J4:K4"/>
    <mergeCell ref="G4:G5"/>
    <mergeCell ref="A49:A50"/>
    <mergeCell ref="B49:B50"/>
    <mergeCell ref="C49:C50"/>
    <mergeCell ref="D49:D50"/>
    <mergeCell ref="E49:E50"/>
    <mergeCell ref="S4:S5"/>
    <mergeCell ref="T4:T5"/>
    <mergeCell ref="AL4:AL5"/>
    <mergeCell ref="AF4:AF5"/>
    <mergeCell ref="U4:U5"/>
    <mergeCell ref="W4:W5"/>
    <mergeCell ref="V4:V5"/>
    <mergeCell ref="AC4:AC5"/>
    <mergeCell ref="AS49:AS50"/>
    <mergeCell ref="T49:T50"/>
    <mergeCell ref="S49:S50"/>
    <mergeCell ref="AM4:AM5"/>
    <mergeCell ref="AN4:AO4"/>
    <mergeCell ref="AA4:AA5"/>
    <mergeCell ref="AB4:AB5"/>
    <mergeCell ref="AD4:AD5"/>
    <mergeCell ref="AE4:AE5"/>
    <mergeCell ref="Z4:Z5"/>
    <mergeCell ref="AS4:AS5"/>
    <mergeCell ref="Y4:Y5"/>
    <mergeCell ref="AI4:AI5"/>
    <mergeCell ref="U49:U50"/>
    <mergeCell ref="W49:W50"/>
    <mergeCell ref="X4:X5"/>
    <mergeCell ref="U71:U72"/>
    <mergeCell ref="V71:V72"/>
    <mergeCell ref="W71:W72"/>
    <mergeCell ref="O87:O88"/>
    <mergeCell ref="P87:P88"/>
    <mergeCell ref="Q87:Q88"/>
    <mergeCell ref="R87:R88"/>
    <mergeCell ref="S87:S88"/>
    <mergeCell ref="R71:R72"/>
    <mergeCell ref="Q71:Q72"/>
    <mergeCell ref="T87:T88"/>
    <mergeCell ref="AA71:AA72"/>
    <mergeCell ref="AB71:AB72"/>
    <mergeCell ref="AA87:AA88"/>
    <mergeCell ref="F49:F50"/>
    <mergeCell ref="J49:K49"/>
    <mergeCell ref="N49:N50"/>
    <mergeCell ref="Q49:Q50"/>
    <mergeCell ref="R49:R50"/>
    <mergeCell ref="G49:G50"/>
    <mergeCell ref="O49:O50"/>
    <mergeCell ref="P49:P50"/>
    <mergeCell ref="X71:X72"/>
    <mergeCell ref="Y71:Y72"/>
    <mergeCell ref="Z71:Z72"/>
    <mergeCell ref="S71:S72"/>
    <mergeCell ref="T71:T72"/>
  </mergeCells>
  <pageMargins left="0.27559055118110237" right="0.19685039370078741" top="0.15748031496062992" bottom="0.9055118110236221" header="0.15748031496062992" footer="0.31496062992125984"/>
  <pageSetup paperSize="9" scale="74" orientation="landscape" horizontalDpi="180" verticalDpi="180" r:id="rId1"/>
  <rowBreaks count="1" manualBreakCount="1">
    <brk id="36" max="25" man="1"/>
  </rowBreaks>
  <colBreaks count="1" manualBreakCount="1">
    <brk id="26" max="104" man="1"/>
  </colBreaks>
  <ignoredErrors>
    <ignoredError sqref="N41 N79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0"/>
  <sheetViews>
    <sheetView topLeftCell="A49" zoomScaleNormal="100" workbookViewId="0">
      <selection activeCell="B71" sqref="B71:G79"/>
    </sheetView>
  </sheetViews>
  <sheetFormatPr defaultRowHeight="15.75" x14ac:dyDescent="0.25"/>
  <cols>
    <col min="1" max="1" width="4.28515625" customWidth="1"/>
    <col min="2" max="2" width="19.140625" customWidth="1"/>
    <col min="3" max="3" width="9.28515625" customWidth="1"/>
    <col min="4" max="4" width="7.42578125" customWidth="1"/>
    <col min="5" max="5" width="7.140625" customWidth="1"/>
    <col min="6" max="6" width="8.140625" customWidth="1"/>
    <col min="7" max="7" width="10" customWidth="1"/>
    <col min="8" max="8" width="11.140625" customWidth="1"/>
    <col min="9" max="9" width="11.28515625" customWidth="1"/>
    <col min="10" max="10" width="13" customWidth="1"/>
    <col min="11" max="13" width="12" customWidth="1"/>
    <col min="14" max="14" width="11.28515625" customWidth="1"/>
    <col min="15" max="15" width="12" customWidth="1"/>
    <col min="16" max="16" width="9.85546875" customWidth="1"/>
    <col min="17" max="17" width="11.7109375" customWidth="1"/>
    <col min="18" max="18" width="11.5703125" customWidth="1"/>
    <col min="19" max="19" width="11" customWidth="1"/>
    <col min="20" max="20" width="11.140625" customWidth="1"/>
    <col min="21" max="22" width="10.5703125" customWidth="1"/>
    <col min="23" max="23" width="10.28515625" customWidth="1"/>
    <col min="24" max="24" width="9.85546875" customWidth="1"/>
    <col min="25" max="25" width="9.140625" hidden="1" customWidth="1"/>
    <col min="26" max="26" width="10.5703125" customWidth="1"/>
    <col min="27" max="27" width="10.140625" customWidth="1"/>
    <col min="28" max="29" width="9" customWidth="1"/>
    <col min="30" max="30" width="8.7109375" customWidth="1"/>
    <col min="31" max="31" width="10.5703125" customWidth="1"/>
    <col min="32" max="32" width="11.7109375" customWidth="1"/>
    <col min="33" max="33" width="13.5703125" customWidth="1"/>
    <col min="34" max="37" width="10.7109375" customWidth="1"/>
    <col min="38" max="38" width="10.28515625" customWidth="1"/>
    <col min="39" max="39" width="10.7109375" customWidth="1"/>
    <col min="40" max="40" width="11.28515625" customWidth="1"/>
    <col min="41" max="41" width="10.28515625" customWidth="1"/>
    <col min="42" max="42" width="11.5703125" customWidth="1"/>
    <col min="43" max="43" width="10.42578125" customWidth="1"/>
    <col min="44" max="44" width="13.7109375" style="40" customWidth="1"/>
    <col min="45" max="45" width="9.140625" customWidth="1"/>
  </cols>
  <sheetData>
    <row r="1" spans="1:45" ht="18.75" x14ac:dyDescent="0.3">
      <c r="B1" s="74" t="s">
        <v>636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1"/>
      <c r="O1" s="1"/>
    </row>
    <row r="2" spans="1:45" ht="18" x14ac:dyDescent="0.25">
      <c r="A2" s="17"/>
      <c r="B2" s="1"/>
      <c r="C2" s="58"/>
      <c r="D2" s="1"/>
      <c r="E2" s="1"/>
      <c r="F2" s="613" t="s">
        <v>601</v>
      </c>
      <c r="G2" s="1"/>
      <c r="H2" s="1"/>
      <c r="I2" s="1"/>
      <c r="J2" s="1"/>
      <c r="K2" s="1"/>
      <c r="L2" s="1"/>
      <c r="M2" s="1"/>
      <c r="N2" s="1"/>
      <c r="O2" s="1"/>
    </row>
    <row r="3" spans="1:45" ht="18" x14ac:dyDescent="0.25">
      <c r="A3" s="1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AA3" s="1"/>
      <c r="AF3" s="250"/>
      <c r="AG3" s="250"/>
      <c r="AH3" s="250"/>
    </row>
    <row r="4" spans="1:45" ht="39.75" customHeight="1" x14ac:dyDescent="0.25">
      <c r="A4" s="2020" t="s">
        <v>0</v>
      </c>
      <c r="B4" s="2020" t="s">
        <v>184</v>
      </c>
      <c r="C4" s="2020" t="s">
        <v>54</v>
      </c>
      <c r="D4" s="2020" t="s">
        <v>55</v>
      </c>
      <c r="E4" s="2020" t="s">
        <v>56</v>
      </c>
      <c r="F4" s="2020" t="s">
        <v>57</v>
      </c>
      <c r="G4" s="2241" t="s">
        <v>6</v>
      </c>
      <c r="H4" s="2097" t="s">
        <v>593</v>
      </c>
      <c r="I4" s="2060"/>
      <c r="J4" s="1989" t="s">
        <v>310</v>
      </c>
      <c r="K4" s="1990"/>
      <c r="L4" s="2017" t="s">
        <v>598</v>
      </c>
      <c r="M4" s="2017"/>
      <c r="N4" s="1987" t="s">
        <v>181</v>
      </c>
      <c r="O4" s="1987" t="s">
        <v>370</v>
      </c>
      <c r="P4" s="1987" t="s">
        <v>333</v>
      </c>
      <c r="Q4" s="2003" t="s">
        <v>578</v>
      </c>
      <c r="R4" s="2003" t="s">
        <v>586</v>
      </c>
      <c r="S4" s="2003" t="s">
        <v>10</v>
      </c>
      <c r="T4" s="2003" t="s">
        <v>337</v>
      </c>
      <c r="U4" s="2194" t="s">
        <v>461</v>
      </c>
      <c r="V4" s="2009" t="s">
        <v>321</v>
      </c>
      <c r="W4" s="2009" t="s">
        <v>554</v>
      </c>
      <c r="X4" s="2009" t="s">
        <v>431</v>
      </c>
      <c r="Y4" s="2005"/>
      <c r="Z4" s="1987" t="s">
        <v>369</v>
      </c>
      <c r="AA4" s="1987" t="s">
        <v>175</v>
      </c>
      <c r="AB4" s="2005" t="s">
        <v>610</v>
      </c>
      <c r="AC4" s="2005" t="s">
        <v>611</v>
      </c>
      <c r="AD4" s="2001" t="s">
        <v>182</v>
      </c>
      <c r="AE4" s="1999" t="s">
        <v>544</v>
      </c>
      <c r="AF4" s="1995" t="s">
        <v>566</v>
      </c>
      <c r="AG4" s="250"/>
      <c r="AH4" s="250"/>
      <c r="AI4" s="2209"/>
      <c r="AJ4" s="1225"/>
      <c r="AK4" s="1225"/>
      <c r="AL4" s="2210"/>
      <c r="AM4" s="2210"/>
      <c r="AN4" s="2192"/>
      <c r="AO4" s="2192"/>
      <c r="AP4" s="1223"/>
      <c r="AQ4" s="1223"/>
      <c r="AR4" s="1227"/>
      <c r="AS4" s="2208"/>
    </row>
    <row r="5" spans="1:45" ht="51.75" customHeight="1" x14ac:dyDescent="0.25">
      <c r="A5" s="2021"/>
      <c r="B5" s="2021"/>
      <c r="C5" s="2021"/>
      <c r="D5" s="2021"/>
      <c r="E5" s="2021"/>
      <c r="F5" s="2021"/>
      <c r="G5" s="2242"/>
      <c r="H5" s="150" t="s">
        <v>15</v>
      </c>
      <c r="I5" s="1229" t="s">
        <v>16</v>
      </c>
      <c r="J5" s="150" t="s">
        <v>15</v>
      </c>
      <c r="K5" s="1229" t="s">
        <v>16</v>
      </c>
      <c r="L5" s="150" t="s">
        <v>15</v>
      </c>
      <c r="M5" s="1229" t="s">
        <v>16</v>
      </c>
      <c r="N5" s="1988"/>
      <c r="O5" s="1988"/>
      <c r="P5" s="1988"/>
      <c r="Q5" s="2004"/>
      <c r="R5" s="2004"/>
      <c r="S5" s="2004"/>
      <c r="T5" s="2004"/>
      <c r="U5" s="2195"/>
      <c r="V5" s="2009"/>
      <c r="W5" s="2009"/>
      <c r="X5" s="2009"/>
      <c r="Y5" s="2006"/>
      <c r="Z5" s="1988"/>
      <c r="AA5" s="1988"/>
      <c r="AB5" s="2006"/>
      <c r="AC5" s="2006"/>
      <c r="AD5" s="2002"/>
      <c r="AE5" s="2000"/>
      <c r="AF5" s="1996"/>
      <c r="AG5" s="250"/>
      <c r="AH5" s="250"/>
      <c r="AI5" s="2209"/>
      <c r="AJ5" s="1225"/>
      <c r="AK5" s="1225"/>
      <c r="AL5" s="2210"/>
      <c r="AM5" s="2210"/>
      <c r="AN5" s="1226"/>
      <c r="AO5" s="1226"/>
      <c r="AP5" s="1226"/>
      <c r="AQ5" s="1226"/>
      <c r="AR5" s="1227"/>
      <c r="AS5" s="2208"/>
    </row>
    <row r="6" spans="1:45" s="124" customFormat="1" x14ac:dyDescent="0.25">
      <c r="A6" s="112">
        <v>1</v>
      </c>
      <c r="B6" s="41" t="s">
        <v>90</v>
      </c>
      <c r="C6" s="702">
        <v>1967</v>
      </c>
      <c r="D6" s="702">
        <v>1</v>
      </c>
      <c r="E6" s="702">
        <v>2</v>
      </c>
      <c r="F6" s="349">
        <v>2</v>
      </c>
      <c r="G6" s="728">
        <v>34.9</v>
      </c>
      <c r="H6" s="728">
        <v>0</v>
      </c>
      <c r="I6" s="728">
        <v>0</v>
      </c>
      <c r="J6" s="728">
        <v>1773.6</v>
      </c>
      <c r="K6" s="728">
        <v>1773.6</v>
      </c>
      <c r="L6" s="728">
        <f>H6+J6</f>
        <v>1773.6</v>
      </c>
      <c r="M6" s="728">
        <f>I6+K6</f>
        <v>1773.6</v>
      </c>
      <c r="N6" s="729">
        <f>O6+P6+Q6+R6+S6+T6+U6+V6+W6+X6+Y6+Z6</f>
        <v>1016.6824372891901</v>
      </c>
      <c r="O6" s="730"/>
      <c r="P6" s="730">
        <f>12862.64/15652.35*G6</f>
        <v>28.679791596788977</v>
      </c>
      <c r="Q6" s="731">
        <f>7978.56/15652.35*G6</f>
        <v>17.789772398393854</v>
      </c>
      <c r="R6" s="731">
        <f>1000/15652.35*G6</f>
        <v>2.2296971381294179</v>
      </c>
      <c r="S6" s="732"/>
      <c r="T6" s="730"/>
      <c r="U6" s="730">
        <f>278556.43/843793.68*J6</f>
        <v>585.50768506348606</v>
      </c>
      <c r="V6" s="733"/>
      <c r="W6" s="733">
        <f>V6*0.302</f>
        <v>0</v>
      </c>
      <c r="X6" s="733">
        <f>33161.64/15652.35*G6</f>
        <v>73.940413803678027</v>
      </c>
      <c r="Y6" s="730"/>
      <c r="Z6" s="734">
        <f>138375.33/15652.35*G6</f>
        <v>308.53507728871381</v>
      </c>
      <c r="AA6" s="735">
        <f>L6-N6</f>
        <v>756.91756271080976</v>
      </c>
      <c r="AB6" s="648">
        <f>K6/J6*100</f>
        <v>100</v>
      </c>
      <c r="AC6" s="648">
        <v>0</v>
      </c>
      <c r="AD6" s="648">
        <f>N6/G6/6</f>
        <v>4.855216988009504</v>
      </c>
      <c r="AE6" s="648">
        <v>8.4700000000000006</v>
      </c>
      <c r="AF6" s="736">
        <f>L6-M6</f>
        <v>0</v>
      </c>
      <c r="AG6" s="250"/>
      <c r="AH6" s="250"/>
      <c r="AI6" s="35"/>
      <c r="AJ6" s="30"/>
      <c r="AK6" s="67"/>
      <c r="AL6" s="67"/>
      <c r="AM6" s="67"/>
      <c r="AN6" s="68"/>
      <c r="AO6" s="67"/>
      <c r="AP6" s="69"/>
      <c r="AQ6" s="67"/>
      <c r="AR6" s="70"/>
      <c r="AS6" s="35"/>
    </row>
    <row r="7" spans="1:45" s="124" customFormat="1" x14ac:dyDescent="0.25">
      <c r="A7" s="6">
        <v>2</v>
      </c>
      <c r="B7" s="43" t="s">
        <v>91</v>
      </c>
      <c r="C7" s="737">
        <v>1962</v>
      </c>
      <c r="D7" s="737">
        <v>1</v>
      </c>
      <c r="E7" s="737">
        <v>2</v>
      </c>
      <c r="F7" s="708">
        <v>5</v>
      </c>
      <c r="G7" s="738">
        <v>72.599999999999994</v>
      </c>
      <c r="H7" s="738">
        <v>0</v>
      </c>
      <c r="I7" s="738">
        <v>0</v>
      </c>
      <c r="J7" s="728">
        <v>3689.58</v>
      </c>
      <c r="K7" s="728">
        <v>1826.25</v>
      </c>
      <c r="L7" s="728">
        <f t="shared" ref="L7:M40" si="0">H7+J7</f>
        <v>3689.58</v>
      </c>
      <c r="M7" s="728">
        <f t="shared" si="0"/>
        <v>1826.25</v>
      </c>
      <c r="N7" s="729">
        <f t="shared" ref="N7:N41" si="1">O7+P7+Q7+R7+S7+T7+U7+V7+W7+X7+Y7+Z7</f>
        <v>2114.9607271219893</v>
      </c>
      <c r="O7" s="730"/>
      <c r="P7" s="730">
        <f t="shared" ref="P7:P40" si="2">12862.64/15652.35*G7</f>
        <v>59.660540685583946</v>
      </c>
      <c r="Q7" s="731">
        <f t="shared" ref="Q7:Q40" si="3">7978.56/15652.35*G7</f>
        <v>37.006804473449677</v>
      </c>
      <c r="R7" s="731">
        <f t="shared" ref="R7:R40" si="4">1000/15652.35*G7</f>
        <v>4.6382811526703653</v>
      </c>
      <c r="S7" s="732"/>
      <c r="T7" s="730"/>
      <c r="U7" s="730">
        <f t="shared" ref="U7:U40" si="5">278556.43/843793.68*J7</f>
        <v>1218.0184058731038</v>
      </c>
      <c r="V7" s="733"/>
      <c r="W7" s="733">
        <f t="shared" ref="W7:W15" si="6">V7*0.302</f>
        <v>0</v>
      </c>
      <c r="X7" s="733">
        <f t="shared" ref="X7:X40" si="7">33161.64/15652.35*G7</f>
        <v>153.81300980363969</v>
      </c>
      <c r="Y7" s="730"/>
      <c r="Z7" s="734">
        <f t="shared" ref="Z7:Z40" si="8">138375.33/15652.35*G7</f>
        <v>641.82368513354209</v>
      </c>
      <c r="AA7" s="735">
        <f t="shared" ref="AA7:AA39" si="9">L7-N7</f>
        <v>1574.6192728780106</v>
      </c>
      <c r="AB7" s="648">
        <f t="shared" ref="AB7:AB41" si="10">K7/J7*100</f>
        <v>49.497503780918159</v>
      </c>
      <c r="AC7" s="648">
        <v>0</v>
      </c>
      <c r="AD7" s="648">
        <f t="shared" ref="AD7:AD41" si="11">N7/G7/6</f>
        <v>4.8552817427042916</v>
      </c>
      <c r="AE7" s="648">
        <v>8.4700000000000006</v>
      </c>
      <c r="AF7" s="736">
        <f t="shared" ref="AF7:AF41" si="12">L7-M7</f>
        <v>1863.33</v>
      </c>
      <c r="AG7" s="250"/>
      <c r="AH7" s="250"/>
      <c r="AI7" s="35"/>
      <c r="AJ7" s="30"/>
      <c r="AK7" s="67"/>
      <c r="AL7" s="67"/>
      <c r="AM7" s="67"/>
      <c r="AN7" s="68"/>
      <c r="AO7" s="67"/>
      <c r="AP7" s="68"/>
      <c r="AQ7" s="35"/>
      <c r="AR7" s="70"/>
      <c r="AS7" s="35"/>
    </row>
    <row r="8" spans="1:45" s="124" customFormat="1" x14ac:dyDescent="0.25">
      <c r="A8" s="6">
        <v>3</v>
      </c>
      <c r="B8" s="43" t="s">
        <v>92</v>
      </c>
      <c r="C8" s="737">
        <v>1983</v>
      </c>
      <c r="D8" s="737">
        <v>1</v>
      </c>
      <c r="E8" s="737">
        <v>2</v>
      </c>
      <c r="F8" s="349">
        <v>4</v>
      </c>
      <c r="G8" s="738">
        <v>80</v>
      </c>
      <c r="H8" s="738">
        <v>0</v>
      </c>
      <c r="I8" s="738">
        <v>0</v>
      </c>
      <c r="J8" s="728">
        <v>524.20000000000005</v>
      </c>
      <c r="K8" s="728">
        <v>341.34</v>
      </c>
      <c r="L8" s="728">
        <f t="shared" si="0"/>
        <v>524.20000000000005</v>
      </c>
      <c r="M8" s="728">
        <f t="shared" si="0"/>
        <v>341.34</v>
      </c>
      <c r="N8" s="729">
        <f t="shared" si="1"/>
        <v>1161.4171236849379</v>
      </c>
      <c r="O8" s="730"/>
      <c r="P8" s="730">
        <f t="shared" si="2"/>
        <v>65.741642628742639</v>
      </c>
      <c r="Q8" s="731">
        <f t="shared" si="3"/>
        <v>40.778847904627746</v>
      </c>
      <c r="R8" s="731">
        <f t="shared" si="4"/>
        <v>5.1110536117579786</v>
      </c>
      <c r="S8" s="732"/>
      <c r="T8" s="730"/>
      <c r="U8" s="730">
        <f t="shared" si="5"/>
        <v>173.05092947128972</v>
      </c>
      <c r="V8" s="733"/>
      <c r="W8" s="733">
        <f t="shared" si="6"/>
        <v>0</v>
      </c>
      <c r="X8" s="733">
        <f t="shared" si="7"/>
        <v>169.49091989381785</v>
      </c>
      <c r="Y8" s="730"/>
      <c r="Z8" s="734">
        <f t="shared" si="8"/>
        <v>707.24373017470214</v>
      </c>
      <c r="AA8" s="735">
        <f t="shared" si="9"/>
        <v>-637.21712368493786</v>
      </c>
      <c r="AB8" s="648">
        <f t="shared" si="10"/>
        <v>65.116367798550158</v>
      </c>
      <c r="AC8" s="648">
        <v>0</v>
      </c>
      <c r="AD8" s="648">
        <f t="shared" si="11"/>
        <v>2.4196190076769537</v>
      </c>
      <c r="AE8" s="648">
        <v>8.4700000000000006</v>
      </c>
      <c r="AF8" s="736">
        <f t="shared" si="12"/>
        <v>182.86000000000007</v>
      </c>
      <c r="AG8" s="250"/>
      <c r="AH8" s="250"/>
      <c r="AI8" s="35"/>
      <c r="AJ8" s="30"/>
      <c r="AK8" s="67"/>
      <c r="AL8" s="67"/>
      <c r="AM8" s="67"/>
      <c r="AN8" s="68"/>
      <c r="AO8" s="67"/>
      <c r="AP8" s="68"/>
      <c r="AQ8" s="35"/>
      <c r="AR8" s="70"/>
      <c r="AS8" s="35"/>
    </row>
    <row r="9" spans="1:45" s="124" customFormat="1" x14ac:dyDescent="0.25">
      <c r="A9" s="6">
        <v>4</v>
      </c>
      <c r="B9" s="43" t="s">
        <v>93</v>
      </c>
      <c r="C9" s="737">
        <v>1963</v>
      </c>
      <c r="D9" s="737">
        <v>1</v>
      </c>
      <c r="E9" s="737">
        <v>2</v>
      </c>
      <c r="F9" s="708">
        <v>5</v>
      </c>
      <c r="G9" s="738">
        <v>114.5</v>
      </c>
      <c r="H9" s="738">
        <v>0</v>
      </c>
      <c r="I9" s="738">
        <v>0</v>
      </c>
      <c r="J9" s="728">
        <v>-1763.3</v>
      </c>
      <c r="K9" s="728">
        <v>518.29</v>
      </c>
      <c r="L9" s="728">
        <f t="shared" si="0"/>
        <v>-1763.3</v>
      </c>
      <c r="M9" s="728">
        <f t="shared" si="0"/>
        <v>518.29</v>
      </c>
      <c r="N9" s="729">
        <f t="shared" si="1"/>
        <v>832.49170620326095</v>
      </c>
      <c r="O9" s="730"/>
      <c r="P9" s="730">
        <f t="shared" si="2"/>
        <v>94.092726012387914</v>
      </c>
      <c r="Q9" s="731">
        <f t="shared" si="3"/>
        <v>58.364726063498459</v>
      </c>
      <c r="R9" s="731">
        <f t="shared" si="4"/>
        <v>7.3151954818286065</v>
      </c>
      <c r="S9" s="732"/>
      <c r="T9" s="730"/>
      <c r="U9" s="730">
        <f t="shared" si="5"/>
        <v>-582.10740926502319</v>
      </c>
      <c r="V9" s="733"/>
      <c r="W9" s="733">
        <f t="shared" si="6"/>
        <v>0</v>
      </c>
      <c r="X9" s="733">
        <f t="shared" si="7"/>
        <v>242.58387909802678</v>
      </c>
      <c r="Y9" s="730"/>
      <c r="Z9" s="734">
        <f t="shared" si="8"/>
        <v>1012.2425888125424</v>
      </c>
      <c r="AA9" s="735">
        <f t="shared" si="9"/>
        <v>-2595.7917062032611</v>
      </c>
      <c r="AB9" s="648">
        <f t="shared" si="10"/>
        <v>-29.393183235977993</v>
      </c>
      <c r="AC9" s="648">
        <v>0</v>
      </c>
      <c r="AD9" s="648">
        <f t="shared" si="11"/>
        <v>1.211778320528764</v>
      </c>
      <c r="AE9" s="648">
        <v>7.7</v>
      </c>
      <c r="AF9" s="736">
        <f t="shared" si="12"/>
        <v>-2281.59</v>
      </c>
      <c r="AG9" s="250"/>
      <c r="AH9" s="250"/>
      <c r="AI9" s="35"/>
      <c r="AJ9" s="30"/>
      <c r="AK9" s="67"/>
      <c r="AL9" s="67"/>
      <c r="AM9" s="67"/>
      <c r="AN9" s="68"/>
      <c r="AO9" s="67"/>
      <c r="AP9" s="68"/>
      <c r="AQ9" s="35"/>
      <c r="AR9" s="70"/>
      <c r="AS9" s="35"/>
    </row>
    <row r="10" spans="1:45" s="124" customFormat="1" x14ac:dyDescent="0.25">
      <c r="A10" s="6">
        <v>5</v>
      </c>
      <c r="B10" s="43" t="s">
        <v>94</v>
      </c>
      <c r="C10" s="737">
        <v>1963</v>
      </c>
      <c r="D10" s="737">
        <v>1</v>
      </c>
      <c r="E10" s="737">
        <v>1</v>
      </c>
      <c r="F10" s="349">
        <v>2</v>
      </c>
      <c r="G10" s="738">
        <v>47.8</v>
      </c>
      <c r="H10" s="738">
        <v>0</v>
      </c>
      <c r="I10" s="738">
        <v>0</v>
      </c>
      <c r="J10" s="728">
        <v>2496.54</v>
      </c>
      <c r="K10" s="728">
        <v>2496.54</v>
      </c>
      <c r="L10" s="728">
        <f t="shared" si="0"/>
        <v>2496.54</v>
      </c>
      <c r="M10" s="728">
        <f t="shared" si="0"/>
        <v>2496.54</v>
      </c>
      <c r="N10" s="729">
        <f t="shared" si="1"/>
        <v>1414.7162322945694</v>
      </c>
      <c r="O10" s="730"/>
      <c r="P10" s="730">
        <f t="shared" si="2"/>
        <v>39.280631470673725</v>
      </c>
      <c r="Q10" s="731">
        <f t="shared" si="3"/>
        <v>24.365361623015076</v>
      </c>
      <c r="R10" s="731">
        <f t="shared" si="4"/>
        <v>3.0538545330253921</v>
      </c>
      <c r="S10" s="732"/>
      <c r="T10" s="730"/>
      <c r="U10" s="730">
        <f t="shared" si="5"/>
        <v>824.16743125191454</v>
      </c>
      <c r="V10" s="733"/>
      <c r="W10" s="733">
        <f t="shared" si="6"/>
        <v>0</v>
      </c>
      <c r="X10" s="733">
        <f t="shared" si="7"/>
        <v>101.27082463655616</v>
      </c>
      <c r="Y10" s="730"/>
      <c r="Z10" s="734">
        <f t="shared" si="8"/>
        <v>422.57812877938449</v>
      </c>
      <c r="AA10" s="735">
        <f t="shared" si="9"/>
        <v>1081.8237677054306</v>
      </c>
      <c r="AB10" s="648">
        <f t="shared" si="10"/>
        <v>100</v>
      </c>
      <c r="AC10" s="648">
        <v>0</v>
      </c>
      <c r="AD10" s="648">
        <f t="shared" si="11"/>
        <v>4.9327623162293213</v>
      </c>
      <c r="AE10" s="648">
        <v>8.44</v>
      </c>
      <c r="AF10" s="736">
        <f t="shared" si="12"/>
        <v>0</v>
      </c>
      <c r="AG10" s="250"/>
      <c r="AH10" s="250"/>
      <c r="AI10" s="35"/>
      <c r="AJ10" s="30"/>
      <c r="AK10" s="67"/>
      <c r="AL10" s="67"/>
      <c r="AM10" s="67"/>
      <c r="AN10" s="68"/>
      <c r="AO10" s="67"/>
      <c r="AP10" s="68"/>
      <c r="AQ10" s="35"/>
      <c r="AR10" s="70"/>
      <c r="AS10" s="35"/>
    </row>
    <row r="11" spans="1:45" s="124" customFormat="1" x14ac:dyDescent="0.25">
      <c r="A11" s="6">
        <v>6</v>
      </c>
      <c r="B11" s="43" t="s">
        <v>95</v>
      </c>
      <c r="C11" s="737">
        <v>1983</v>
      </c>
      <c r="D11" s="737">
        <v>1</v>
      </c>
      <c r="E11" s="737">
        <v>1</v>
      </c>
      <c r="F11" s="708">
        <v>4</v>
      </c>
      <c r="G11" s="738">
        <v>47.9</v>
      </c>
      <c r="H11" s="738">
        <v>0</v>
      </c>
      <c r="I11" s="738">
        <v>0</v>
      </c>
      <c r="J11" s="728">
        <v>2299.08</v>
      </c>
      <c r="K11" s="728">
        <v>324.39999999999998</v>
      </c>
      <c r="L11" s="728">
        <f t="shared" si="0"/>
        <v>2299.08</v>
      </c>
      <c r="M11" s="728">
        <f t="shared" si="0"/>
        <v>324.39999999999998</v>
      </c>
      <c r="N11" s="729">
        <f t="shared" si="1"/>
        <v>1350.7654318660261</v>
      </c>
      <c r="O11" s="730"/>
      <c r="P11" s="730">
        <f t="shared" si="2"/>
        <v>39.362808523959657</v>
      </c>
      <c r="Q11" s="731">
        <f t="shared" si="3"/>
        <v>24.41633518289586</v>
      </c>
      <c r="R11" s="731">
        <f t="shared" si="4"/>
        <v>3.0602433500400896</v>
      </c>
      <c r="S11" s="732"/>
      <c r="T11" s="730"/>
      <c r="U11" s="730">
        <f t="shared" si="5"/>
        <v>758.98117308060421</v>
      </c>
      <c r="V11" s="733"/>
      <c r="W11" s="733">
        <f t="shared" si="6"/>
        <v>0</v>
      </c>
      <c r="X11" s="733">
        <f t="shared" si="7"/>
        <v>101.48268828642344</v>
      </c>
      <c r="Y11" s="730"/>
      <c r="Z11" s="734">
        <f t="shared" si="8"/>
        <v>423.46218344210291</v>
      </c>
      <c r="AA11" s="735">
        <f t="shared" si="9"/>
        <v>948.31456813397381</v>
      </c>
      <c r="AB11" s="648">
        <f t="shared" si="10"/>
        <v>14.109991822816081</v>
      </c>
      <c r="AC11" s="648">
        <v>0</v>
      </c>
      <c r="AD11" s="648">
        <f t="shared" si="11"/>
        <v>4.6999493105985595</v>
      </c>
      <c r="AE11" s="648">
        <v>8.44</v>
      </c>
      <c r="AF11" s="736">
        <f t="shared" si="12"/>
        <v>1974.6799999999998</v>
      </c>
      <c r="AG11" s="250"/>
      <c r="AH11" s="250"/>
      <c r="AI11" s="35"/>
      <c r="AJ11" s="30"/>
      <c r="AK11" s="67"/>
      <c r="AL11" s="67"/>
      <c r="AM11" s="67"/>
      <c r="AN11" s="68"/>
      <c r="AO11" s="67"/>
      <c r="AP11" s="68"/>
      <c r="AQ11" s="35"/>
      <c r="AR11" s="70"/>
      <c r="AS11" s="35"/>
    </row>
    <row r="12" spans="1:45" s="124" customFormat="1" ht="15" customHeight="1" x14ac:dyDescent="0.25">
      <c r="A12" s="6">
        <v>7</v>
      </c>
      <c r="B12" s="43" t="s">
        <v>96</v>
      </c>
      <c r="C12" s="737">
        <v>1963</v>
      </c>
      <c r="D12" s="737">
        <v>1</v>
      </c>
      <c r="E12" s="737">
        <v>1</v>
      </c>
      <c r="F12" s="708">
        <v>4</v>
      </c>
      <c r="G12" s="738">
        <v>53.6</v>
      </c>
      <c r="H12" s="738">
        <v>0</v>
      </c>
      <c r="I12" s="738">
        <v>0</v>
      </c>
      <c r="J12" s="728">
        <v>2714.28</v>
      </c>
      <c r="K12" s="728">
        <v>2714.28</v>
      </c>
      <c r="L12" s="728">
        <f t="shared" si="0"/>
        <v>2714.28</v>
      </c>
      <c r="M12" s="728">
        <f t="shared" si="0"/>
        <v>2714.28</v>
      </c>
      <c r="N12" s="729">
        <f t="shared" si="1"/>
        <v>1558.2539515068383</v>
      </c>
      <c r="O12" s="730"/>
      <c r="P12" s="730">
        <f t="shared" si="2"/>
        <v>44.046900561257573</v>
      </c>
      <c r="Q12" s="731">
        <f t="shared" si="3"/>
        <v>27.321828096100589</v>
      </c>
      <c r="R12" s="731">
        <f t="shared" si="4"/>
        <v>3.4244059198778456</v>
      </c>
      <c r="S12" s="732"/>
      <c r="T12" s="730"/>
      <c r="U12" s="730">
        <f t="shared" si="5"/>
        <v>896.04860138369372</v>
      </c>
      <c r="V12" s="733"/>
      <c r="W12" s="733">
        <f t="shared" si="6"/>
        <v>0</v>
      </c>
      <c r="X12" s="733">
        <f t="shared" si="7"/>
        <v>113.55891632885796</v>
      </c>
      <c r="Y12" s="730"/>
      <c r="Z12" s="734">
        <f t="shared" si="8"/>
        <v>473.85329921705045</v>
      </c>
      <c r="AA12" s="735">
        <f t="shared" si="9"/>
        <v>1156.0260484931619</v>
      </c>
      <c r="AB12" s="648">
        <f t="shared" si="10"/>
        <v>100</v>
      </c>
      <c r="AC12" s="648">
        <v>0</v>
      </c>
      <c r="AD12" s="648">
        <f t="shared" si="11"/>
        <v>4.8453170133919103</v>
      </c>
      <c r="AE12" s="648">
        <v>8.44</v>
      </c>
      <c r="AF12" s="736">
        <f t="shared" si="12"/>
        <v>0</v>
      </c>
      <c r="AG12" s="250"/>
      <c r="AH12" s="250"/>
      <c r="AI12" s="35"/>
      <c r="AJ12" s="30"/>
      <c r="AK12" s="67"/>
      <c r="AL12" s="67"/>
      <c r="AM12" s="67"/>
      <c r="AN12" s="68"/>
      <c r="AO12" s="67"/>
      <c r="AP12" s="68"/>
      <c r="AQ12" s="35"/>
      <c r="AR12" s="70"/>
      <c r="AS12" s="35"/>
    </row>
    <row r="13" spans="1:45" s="124" customFormat="1" x14ac:dyDescent="0.25">
      <c r="A13" s="6">
        <v>8</v>
      </c>
      <c r="B13" s="43" t="s">
        <v>97</v>
      </c>
      <c r="C13" s="737">
        <v>1967</v>
      </c>
      <c r="D13" s="737">
        <v>1</v>
      </c>
      <c r="E13" s="737">
        <v>2</v>
      </c>
      <c r="F13" s="349">
        <v>4</v>
      </c>
      <c r="G13" s="738">
        <v>49.4</v>
      </c>
      <c r="H13" s="738">
        <v>0</v>
      </c>
      <c r="I13" s="738">
        <v>0</v>
      </c>
      <c r="J13" s="728">
        <v>1357.5</v>
      </c>
      <c r="K13" s="728">
        <v>1357.5</v>
      </c>
      <c r="L13" s="728">
        <f t="shared" si="0"/>
        <v>1357.5</v>
      </c>
      <c r="M13" s="728">
        <f t="shared" si="0"/>
        <v>1357.5</v>
      </c>
      <c r="N13" s="729">
        <f t="shared" si="1"/>
        <v>1058.4592702097889</v>
      </c>
      <c r="O13" s="730"/>
      <c r="P13" s="730">
        <f t="shared" si="2"/>
        <v>40.595464323248578</v>
      </c>
      <c r="Q13" s="731">
        <f t="shared" si="3"/>
        <v>25.180938581107633</v>
      </c>
      <c r="R13" s="731">
        <f t="shared" si="4"/>
        <v>3.1560756052605519</v>
      </c>
      <c r="S13" s="732"/>
      <c r="T13" s="730"/>
      <c r="U13" s="730">
        <f t="shared" si="5"/>
        <v>448.1431452828611</v>
      </c>
      <c r="V13" s="733"/>
      <c r="W13" s="733">
        <f t="shared" si="6"/>
        <v>0</v>
      </c>
      <c r="X13" s="733">
        <f t="shared" si="7"/>
        <v>104.66064303443251</v>
      </c>
      <c r="Y13" s="730"/>
      <c r="Z13" s="734">
        <f t="shared" si="8"/>
        <v>436.72300338287857</v>
      </c>
      <c r="AA13" s="735">
        <f t="shared" si="9"/>
        <v>299.04072979021112</v>
      </c>
      <c r="AB13" s="648">
        <f t="shared" si="10"/>
        <v>100</v>
      </c>
      <c r="AC13" s="648">
        <v>0</v>
      </c>
      <c r="AD13" s="648">
        <f t="shared" si="11"/>
        <v>3.5710501693987484</v>
      </c>
      <c r="AE13" s="648">
        <v>4.58</v>
      </c>
      <c r="AF13" s="736">
        <f t="shared" si="12"/>
        <v>0</v>
      </c>
      <c r="AG13" s="250"/>
      <c r="AH13" s="250"/>
      <c r="AI13" s="35"/>
      <c r="AJ13" s="30"/>
      <c r="AK13" s="67"/>
      <c r="AL13" s="67"/>
      <c r="AM13" s="67"/>
      <c r="AN13" s="68"/>
      <c r="AO13" s="67"/>
      <c r="AP13" s="68"/>
      <c r="AQ13" s="35"/>
      <c r="AR13" s="70"/>
      <c r="AS13" s="35"/>
    </row>
    <row r="14" spans="1:45" s="124" customFormat="1" x14ac:dyDescent="0.25">
      <c r="A14" s="6">
        <v>9</v>
      </c>
      <c r="B14" s="43" t="s">
        <v>98</v>
      </c>
      <c r="C14" s="737">
        <v>1972</v>
      </c>
      <c r="D14" s="737">
        <v>1</v>
      </c>
      <c r="E14" s="737">
        <v>1</v>
      </c>
      <c r="F14" s="708">
        <v>3</v>
      </c>
      <c r="G14" s="738">
        <v>24.6</v>
      </c>
      <c r="H14" s="738">
        <v>0</v>
      </c>
      <c r="I14" s="738">
        <v>0</v>
      </c>
      <c r="J14" s="728">
        <v>676.02</v>
      </c>
      <c r="K14" s="728">
        <v>676.02</v>
      </c>
      <c r="L14" s="728">
        <f t="shared" si="0"/>
        <v>676.02</v>
      </c>
      <c r="M14" s="728">
        <f t="shared" si="0"/>
        <v>676.02</v>
      </c>
      <c r="N14" s="729">
        <f t="shared" si="1"/>
        <v>527.09293921360268</v>
      </c>
      <c r="O14" s="730"/>
      <c r="P14" s="730">
        <f t="shared" si="2"/>
        <v>20.215555108338364</v>
      </c>
      <c r="Q14" s="731">
        <f t="shared" si="3"/>
        <v>12.539495730673032</v>
      </c>
      <c r="R14" s="731">
        <f t="shared" si="4"/>
        <v>1.5716489856155784</v>
      </c>
      <c r="S14" s="732"/>
      <c r="T14" s="730"/>
      <c r="U14" s="730">
        <f t="shared" si="5"/>
        <v>223.17033449290588</v>
      </c>
      <c r="V14" s="733"/>
      <c r="W14" s="733">
        <f t="shared" si="6"/>
        <v>0</v>
      </c>
      <c r="X14" s="733">
        <f t="shared" si="7"/>
        <v>52.118457867348994</v>
      </c>
      <c r="Y14" s="730"/>
      <c r="Z14" s="734">
        <f t="shared" si="8"/>
        <v>217.47744702872092</v>
      </c>
      <c r="AA14" s="735">
        <f t="shared" si="9"/>
        <v>148.92706078639731</v>
      </c>
      <c r="AB14" s="648">
        <f t="shared" si="10"/>
        <v>100</v>
      </c>
      <c r="AC14" s="648">
        <v>0</v>
      </c>
      <c r="AD14" s="648">
        <f t="shared" si="11"/>
        <v>3.5710903740758986</v>
      </c>
      <c r="AE14" s="648">
        <v>4.58</v>
      </c>
      <c r="AF14" s="736">
        <f t="shared" si="12"/>
        <v>0</v>
      </c>
      <c r="AG14" s="250"/>
      <c r="AH14" s="250"/>
      <c r="AI14" s="35"/>
      <c r="AJ14" s="30"/>
      <c r="AK14" s="67"/>
      <c r="AL14" s="67"/>
      <c r="AM14" s="67"/>
      <c r="AN14" s="68"/>
      <c r="AO14" s="67"/>
      <c r="AP14" s="68"/>
      <c r="AQ14" s="35"/>
      <c r="AR14" s="70"/>
      <c r="AS14" s="35"/>
    </row>
    <row r="15" spans="1:45" s="124" customFormat="1" x14ac:dyDescent="0.25">
      <c r="A15" s="270">
        <v>10</v>
      </c>
      <c r="B15" s="271" t="s">
        <v>99</v>
      </c>
      <c r="C15" s="739">
        <v>1993</v>
      </c>
      <c r="D15" s="739">
        <v>1</v>
      </c>
      <c r="E15" s="739">
        <v>1</v>
      </c>
      <c r="F15" s="740">
        <v>5</v>
      </c>
      <c r="G15" s="741">
        <v>92</v>
      </c>
      <c r="H15" s="741">
        <v>0</v>
      </c>
      <c r="I15" s="741">
        <v>0</v>
      </c>
      <c r="J15" s="742">
        <v>2528.1799999999998</v>
      </c>
      <c r="K15" s="742">
        <v>3416.14</v>
      </c>
      <c r="L15" s="728">
        <f t="shared" si="0"/>
        <v>2528.1799999999998</v>
      </c>
      <c r="M15" s="728">
        <f t="shared" si="0"/>
        <v>3416.14</v>
      </c>
      <c r="N15" s="729">
        <f t="shared" si="1"/>
        <v>1971.2336736523062</v>
      </c>
      <c r="O15" s="742"/>
      <c r="P15" s="730">
        <f t="shared" si="2"/>
        <v>75.602889023054033</v>
      </c>
      <c r="Q15" s="731">
        <f t="shared" si="3"/>
        <v>46.895675090321909</v>
      </c>
      <c r="R15" s="731">
        <f t="shared" si="4"/>
        <v>5.8777116535216756</v>
      </c>
      <c r="S15" s="743"/>
      <c r="T15" s="742"/>
      <c r="U15" s="730">
        <f t="shared" si="5"/>
        <v>834.61255030661039</v>
      </c>
      <c r="V15" s="733"/>
      <c r="W15" s="733">
        <f t="shared" si="6"/>
        <v>0</v>
      </c>
      <c r="X15" s="733">
        <f t="shared" si="7"/>
        <v>194.91455787789053</v>
      </c>
      <c r="Y15" s="730"/>
      <c r="Z15" s="734">
        <f t="shared" si="8"/>
        <v>813.33028970090743</v>
      </c>
      <c r="AA15" s="735">
        <f t="shared" si="9"/>
        <v>556.94632634769368</v>
      </c>
      <c r="AB15" s="648">
        <f t="shared" si="10"/>
        <v>135.12249918914</v>
      </c>
      <c r="AC15" s="648">
        <v>0</v>
      </c>
      <c r="AD15" s="648">
        <f t="shared" si="11"/>
        <v>3.5710754957469315</v>
      </c>
      <c r="AE15" s="744">
        <v>4.58</v>
      </c>
      <c r="AF15" s="736">
        <f t="shared" si="12"/>
        <v>-887.96</v>
      </c>
      <c r="AG15" s="250"/>
      <c r="AH15" s="250"/>
      <c r="AI15" s="35"/>
      <c r="AJ15" s="30"/>
      <c r="AK15" s="67"/>
      <c r="AL15" s="67"/>
      <c r="AM15" s="67"/>
      <c r="AN15" s="68"/>
      <c r="AO15" s="67"/>
      <c r="AP15" s="68"/>
      <c r="AQ15" s="35"/>
      <c r="AR15" s="70"/>
      <c r="AS15" s="35"/>
    </row>
    <row r="16" spans="1:45" s="124" customFormat="1" x14ac:dyDescent="0.25">
      <c r="A16" s="19">
        <v>11</v>
      </c>
      <c r="B16" s="55" t="s">
        <v>100</v>
      </c>
      <c r="C16" s="745">
        <v>1980</v>
      </c>
      <c r="D16" s="745">
        <v>3</v>
      </c>
      <c r="E16" s="745">
        <v>24</v>
      </c>
      <c r="F16" s="349">
        <v>59</v>
      </c>
      <c r="G16" s="741">
        <v>1440.6</v>
      </c>
      <c r="H16" s="741">
        <v>3668.09</v>
      </c>
      <c r="I16" s="741">
        <v>3125.37</v>
      </c>
      <c r="J16" s="728">
        <v>81595.5</v>
      </c>
      <c r="K16" s="728">
        <v>75445.3</v>
      </c>
      <c r="L16" s="728">
        <f t="shared" si="0"/>
        <v>85263.59</v>
      </c>
      <c r="M16" s="728">
        <f t="shared" si="0"/>
        <v>78570.67</v>
      </c>
      <c r="N16" s="729">
        <f t="shared" si="1"/>
        <v>79536.806088629368</v>
      </c>
      <c r="O16" s="730">
        <v>557.48</v>
      </c>
      <c r="P16" s="730">
        <f t="shared" si="2"/>
        <v>1183.8426296370831</v>
      </c>
      <c r="Q16" s="731">
        <f t="shared" si="3"/>
        <v>734.32510364258405</v>
      </c>
      <c r="R16" s="731">
        <f t="shared" si="4"/>
        <v>92.037297913731791</v>
      </c>
      <c r="S16" s="732"/>
      <c r="T16" s="730">
        <v>2064.23</v>
      </c>
      <c r="U16" s="730">
        <f t="shared" si="5"/>
        <v>26936.621739173253</v>
      </c>
      <c r="V16" s="733">
        <f>257236.74/13841.67*G16</f>
        <v>26772.437693139625</v>
      </c>
      <c r="W16" s="733">
        <f>V16*0.202</f>
        <v>5408.0324140142047</v>
      </c>
      <c r="X16" s="733">
        <f t="shared" si="7"/>
        <v>3052.1077399879246</v>
      </c>
      <c r="Y16" s="730"/>
      <c r="Z16" s="734">
        <f t="shared" si="8"/>
        <v>12735.691471120948</v>
      </c>
      <c r="AA16" s="735">
        <f t="shared" si="9"/>
        <v>5726.7839113706286</v>
      </c>
      <c r="AB16" s="648">
        <f t="shared" si="10"/>
        <v>92.462574529232626</v>
      </c>
      <c r="AC16" s="648">
        <f t="shared" ref="AC16:AC41" si="13">I16/H16*100</f>
        <v>85.204288880589075</v>
      </c>
      <c r="AD16" s="648">
        <f t="shared" si="11"/>
        <v>9.2018147633658867</v>
      </c>
      <c r="AE16" s="648">
        <v>9.44</v>
      </c>
      <c r="AF16" s="736">
        <f t="shared" si="12"/>
        <v>6692.9199999999983</v>
      </c>
      <c r="AG16" s="250"/>
      <c r="AH16" s="250"/>
      <c r="AI16" s="35"/>
      <c r="AJ16" s="30"/>
      <c r="AK16" s="67"/>
      <c r="AL16" s="67"/>
      <c r="AM16" s="67"/>
      <c r="AN16" s="68"/>
      <c r="AO16" s="67"/>
      <c r="AP16" s="68"/>
      <c r="AQ16" s="35"/>
      <c r="AR16" s="70"/>
      <c r="AS16" s="35"/>
    </row>
    <row r="17" spans="1:45" s="124" customFormat="1" x14ac:dyDescent="0.25">
      <c r="A17" s="19">
        <v>12</v>
      </c>
      <c r="B17" s="55" t="s">
        <v>101</v>
      </c>
      <c r="C17" s="745">
        <v>1978</v>
      </c>
      <c r="D17" s="745">
        <v>3</v>
      </c>
      <c r="E17" s="745">
        <v>24</v>
      </c>
      <c r="F17" s="708">
        <v>71</v>
      </c>
      <c r="G17" s="741">
        <v>1449.9</v>
      </c>
      <c r="H17" s="741">
        <v>3709</v>
      </c>
      <c r="I17" s="741">
        <v>2605.2399999999998</v>
      </c>
      <c r="J17" s="728">
        <v>82122.3</v>
      </c>
      <c r="K17" s="728">
        <v>70938.94</v>
      </c>
      <c r="L17" s="728">
        <f t="shared" si="0"/>
        <v>85831.3</v>
      </c>
      <c r="M17" s="728">
        <f t="shared" si="0"/>
        <v>73544.180000000008</v>
      </c>
      <c r="N17" s="729">
        <f t="shared" si="1"/>
        <v>81255.278552315358</v>
      </c>
      <c r="O17" s="730">
        <v>2180.85</v>
      </c>
      <c r="P17" s="730">
        <f t="shared" si="2"/>
        <v>1191.4850955926745</v>
      </c>
      <c r="Q17" s="731">
        <f t="shared" si="3"/>
        <v>739.06564471149716</v>
      </c>
      <c r="R17" s="731">
        <f t="shared" si="4"/>
        <v>92.631457896098667</v>
      </c>
      <c r="S17" s="732"/>
      <c r="T17" s="730">
        <v>1662.78</v>
      </c>
      <c r="U17" s="730">
        <f t="shared" si="5"/>
        <v>27110.530990690757</v>
      </c>
      <c r="V17" s="733">
        <f t="shared" ref="V17:V22" si="14">257236.74/13841.67*G17</f>
        <v>26945.271006027455</v>
      </c>
      <c r="W17" s="733">
        <f t="shared" ref="W17:W40" si="15">V17*0.202</f>
        <v>5442.9447432175466</v>
      </c>
      <c r="X17" s="733">
        <f t="shared" si="7"/>
        <v>3071.8110594255813</v>
      </c>
      <c r="Y17" s="730"/>
      <c r="Z17" s="734">
        <f t="shared" si="8"/>
        <v>12817.908554753758</v>
      </c>
      <c r="AA17" s="735">
        <f t="shared" si="9"/>
        <v>4576.021447684645</v>
      </c>
      <c r="AB17" s="648">
        <f t="shared" si="10"/>
        <v>86.382066746791068</v>
      </c>
      <c r="AC17" s="648">
        <f t="shared" si="13"/>
        <v>70.241035319493122</v>
      </c>
      <c r="AD17" s="648">
        <f t="shared" si="11"/>
        <v>9.3403313507041119</v>
      </c>
      <c r="AE17" s="648">
        <v>9.44</v>
      </c>
      <c r="AF17" s="736">
        <f t="shared" si="12"/>
        <v>12287.119999999995</v>
      </c>
      <c r="AG17" s="250"/>
      <c r="AH17" s="250"/>
      <c r="AI17" s="35"/>
      <c r="AJ17" s="30"/>
      <c r="AK17" s="67"/>
      <c r="AL17" s="67"/>
      <c r="AM17" s="67"/>
      <c r="AN17" s="68"/>
      <c r="AO17" s="67"/>
      <c r="AP17" s="68"/>
      <c r="AQ17" s="35"/>
      <c r="AR17" s="70"/>
      <c r="AS17" s="35"/>
    </row>
    <row r="18" spans="1:45" s="124" customFormat="1" x14ac:dyDescent="0.25">
      <c r="A18" s="19">
        <v>13</v>
      </c>
      <c r="B18" s="55" t="s">
        <v>102</v>
      </c>
      <c r="C18" s="745">
        <v>1979</v>
      </c>
      <c r="D18" s="745">
        <v>3</v>
      </c>
      <c r="E18" s="745">
        <v>24</v>
      </c>
      <c r="F18" s="349">
        <v>79</v>
      </c>
      <c r="G18" s="741">
        <v>1460.41</v>
      </c>
      <c r="H18" s="741">
        <v>3516.99</v>
      </c>
      <c r="I18" s="741">
        <v>3389.29</v>
      </c>
      <c r="J18" s="521">
        <v>82712.039999999994</v>
      </c>
      <c r="K18" s="728">
        <v>87919.52</v>
      </c>
      <c r="L18" s="728">
        <f t="shared" si="0"/>
        <v>86229.03</v>
      </c>
      <c r="M18" s="728">
        <f t="shared" si="0"/>
        <v>91308.81</v>
      </c>
      <c r="N18" s="729">
        <f t="shared" si="1"/>
        <v>80288.207322397444</v>
      </c>
      <c r="O18" s="730">
        <v>1169.8800000000001</v>
      </c>
      <c r="P18" s="730">
        <f t="shared" si="2"/>
        <v>1200.1219038930255</v>
      </c>
      <c r="Q18" s="731">
        <f t="shared" si="3"/>
        <v>744.42296585496763</v>
      </c>
      <c r="R18" s="731">
        <f t="shared" si="4"/>
        <v>93.302922564343376</v>
      </c>
      <c r="S18" s="732"/>
      <c r="T18" s="730">
        <v>1147.3699999999999</v>
      </c>
      <c r="U18" s="730">
        <f t="shared" si="5"/>
        <v>27305.218238203914</v>
      </c>
      <c r="V18" s="733">
        <f t="shared" si="14"/>
        <v>27140.591233817886</v>
      </c>
      <c r="W18" s="733">
        <f t="shared" si="15"/>
        <v>5482.3994292312136</v>
      </c>
      <c r="X18" s="733">
        <f t="shared" si="7"/>
        <v>3094.0779290266319</v>
      </c>
      <c r="Y18" s="730"/>
      <c r="Z18" s="734">
        <f t="shared" si="8"/>
        <v>12910.82269980546</v>
      </c>
      <c r="AA18" s="735">
        <f t="shared" si="9"/>
        <v>5940.8226776025549</v>
      </c>
      <c r="AB18" s="648">
        <f t="shared" si="10"/>
        <v>106.29591532260601</v>
      </c>
      <c r="AC18" s="648">
        <f t="shared" si="13"/>
        <v>96.369054219659432</v>
      </c>
      <c r="AD18" s="648">
        <f t="shared" si="11"/>
        <v>9.1627473703043929</v>
      </c>
      <c r="AE18" s="648">
        <v>9.44</v>
      </c>
      <c r="AF18" s="736">
        <f t="shared" si="12"/>
        <v>-5079.7799999999988</v>
      </c>
      <c r="AG18" s="250"/>
      <c r="AH18" s="250"/>
      <c r="AI18" s="35"/>
      <c r="AJ18" s="30"/>
      <c r="AK18" s="67"/>
      <c r="AL18" s="67"/>
      <c r="AM18" s="67"/>
      <c r="AN18" s="68"/>
      <c r="AO18" s="67"/>
      <c r="AP18" s="68"/>
      <c r="AQ18" s="35"/>
      <c r="AR18" s="70"/>
      <c r="AS18" s="35"/>
    </row>
    <row r="19" spans="1:45" s="124" customFormat="1" x14ac:dyDescent="0.25">
      <c r="A19" s="19">
        <v>14</v>
      </c>
      <c r="B19" s="55" t="s">
        <v>103</v>
      </c>
      <c r="C19" s="745">
        <v>1986</v>
      </c>
      <c r="D19" s="745">
        <v>3</v>
      </c>
      <c r="E19" s="745">
        <v>24</v>
      </c>
      <c r="F19" s="746">
        <v>63</v>
      </c>
      <c r="G19" s="741">
        <v>1454.3</v>
      </c>
      <c r="H19" s="741">
        <v>3663.69</v>
      </c>
      <c r="I19" s="741">
        <v>3144.4</v>
      </c>
      <c r="J19" s="728">
        <v>82371.600000000006</v>
      </c>
      <c r="K19" s="728">
        <v>78082.8</v>
      </c>
      <c r="L19" s="728">
        <f t="shared" si="0"/>
        <v>86035.290000000008</v>
      </c>
      <c r="M19" s="728">
        <f t="shared" si="0"/>
        <v>81227.199999999997</v>
      </c>
      <c r="N19" s="729">
        <f t="shared" si="1"/>
        <v>80676.336833048787</v>
      </c>
      <c r="O19" s="730">
        <v>1799.49</v>
      </c>
      <c r="P19" s="730">
        <f t="shared" si="2"/>
        <v>1195.1008859372553</v>
      </c>
      <c r="Q19" s="731">
        <f t="shared" si="3"/>
        <v>741.3084813462516</v>
      </c>
      <c r="R19" s="731">
        <f t="shared" si="4"/>
        <v>92.912565844745345</v>
      </c>
      <c r="S19" s="732"/>
      <c r="T19" s="730">
        <v>1230.25</v>
      </c>
      <c r="U19" s="730">
        <f t="shared" si="5"/>
        <v>27192.830869968118</v>
      </c>
      <c r="V19" s="733">
        <f t="shared" si="14"/>
        <v>27027.041605673305</v>
      </c>
      <c r="W19" s="733">
        <f t="shared" si="15"/>
        <v>5459.462404346008</v>
      </c>
      <c r="X19" s="733">
        <f t="shared" si="7"/>
        <v>3081.1330600197412</v>
      </c>
      <c r="Y19" s="730"/>
      <c r="Z19" s="734">
        <f t="shared" si="8"/>
        <v>12856.806959913367</v>
      </c>
      <c r="AA19" s="735">
        <f t="shared" si="9"/>
        <v>5358.9531669512216</v>
      </c>
      <c r="AB19" s="648">
        <f t="shared" si="10"/>
        <v>94.793351106449308</v>
      </c>
      <c r="AC19" s="648">
        <f t="shared" si="13"/>
        <v>85.826038775114711</v>
      </c>
      <c r="AD19" s="648">
        <f t="shared" si="11"/>
        <v>9.2457238113466715</v>
      </c>
      <c r="AE19" s="648">
        <v>9.44</v>
      </c>
      <c r="AF19" s="736">
        <f t="shared" si="12"/>
        <v>4808.0900000000111</v>
      </c>
      <c r="AG19" s="250"/>
      <c r="AH19" s="250"/>
      <c r="AI19" s="35"/>
      <c r="AJ19" s="30"/>
      <c r="AK19" s="67"/>
      <c r="AL19" s="67"/>
      <c r="AM19" s="67"/>
      <c r="AN19" s="68"/>
      <c r="AO19" s="67"/>
      <c r="AP19" s="68"/>
      <c r="AQ19" s="35"/>
      <c r="AR19" s="70"/>
      <c r="AS19" s="35"/>
    </row>
    <row r="20" spans="1:45" s="124" customFormat="1" x14ac:dyDescent="0.25">
      <c r="A20" s="19">
        <v>15</v>
      </c>
      <c r="B20" s="55" t="s">
        <v>104</v>
      </c>
      <c r="C20" s="745">
        <v>1985</v>
      </c>
      <c r="D20" s="745">
        <v>3</v>
      </c>
      <c r="E20" s="745">
        <v>24</v>
      </c>
      <c r="F20" s="708">
        <v>88</v>
      </c>
      <c r="G20" s="741">
        <v>1464.7</v>
      </c>
      <c r="H20" s="741">
        <v>3670.77</v>
      </c>
      <c r="I20" s="741">
        <v>3137.89</v>
      </c>
      <c r="J20" s="728">
        <v>82937.94</v>
      </c>
      <c r="K20" s="728">
        <v>82690.69</v>
      </c>
      <c r="L20" s="728">
        <f t="shared" si="0"/>
        <v>86608.71</v>
      </c>
      <c r="M20" s="728">
        <f t="shared" si="0"/>
        <v>85828.58</v>
      </c>
      <c r="N20" s="729">
        <f t="shared" si="1"/>
        <v>80169.514494678529</v>
      </c>
      <c r="O20" s="730">
        <v>371.94</v>
      </c>
      <c r="P20" s="730">
        <f t="shared" si="2"/>
        <v>1203.647299478992</v>
      </c>
      <c r="Q20" s="731">
        <f t="shared" si="3"/>
        <v>746.6097315738532</v>
      </c>
      <c r="R20" s="731">
        <f t="shared" si="4"/>
        <v>93.577002814273897</v>
      </c>
      <c r="S20" s="732"/>
      <c r="T20" s="730">
        <v>1603.21</v>
      </c>
      <c r="U20" s="730">
        <f t="shared" si="5"/>
        <v>27379.793219065352</v>
      </c>
      <c r="V20" s="733">
        <f t="shared" si="14"/>
        <v>27220.31756847259</v>
      </c>
      <c r="W20" s="733">
        <f t="shared" si="15"/>
        <v>5498.5041488314637</v>
      </c>
      <c r="X20" s="733">
        <f t="shared" si="7"/>
        <v>3103.1668796059375</v>
      </c>
      <c r="Y20" s="730"/>
      <c r="Z20" s="734">
        <f t="shared" si="8"/>
        <v>12948.748644836078</v>
      </c>
      <c r="AA20" s="735">
        <f t="shared" si="9"/>
        <v>6439.195505321477</v>
      </c>
      <c r="AB20" s="648">
        <f t="shared" si="10"/>
        <v>99.701885530313376</v>
      </c>
      <c r="AC20" s="648">
        <f t="shared" si="13"/>
        <v>85.483154760445359</v>
      </c>
      <c r="AD20" s="648">
        <f t="shared" si="11"/>
        <v>9.1224044166812917</v>
      </c>
      <c r="AE20" s="648">
        <v>9.44</v>
      </c>
      <c r="AF20" s="736">
        <f t="shared" si="12"/>
        <v>780.13000000000466</v>
      </c>
      <c r="AG20" s="250"/>
      <c r="AH20" s="250"/>
      <c r="AI20" s="35"/>
      <c r="AJ20" s="30"/>
      <c r="AK20" s="67"/>
      <c r="AL20" s="67"/>
      <c r="AM20" s="67"/>
      <c r="AN20" s="68"/>
      <c r="AO20" s="67"/>
      <c r="AP20" s="68"/>
      <c r="AQ20" s="35"/>
      <c r="AR20" s="70"/>
      <c r="AS20" s="35"/>
    </row>
    <row r="21" spans="1:45" s="124" customFormat="1" x14ac:dyDescent="0.25">
      <c r="A21" s="19">
        <v>16</v>
      </c>
      <c r="B21" s="55" t="s">
        <v>105</v>
      </c>
      <c r="C21" s="745">
        <v>1976</v>
      </c>
      <c r="D21" s="745">
        <v>2</v>
      </c>
      <c r="E21" s="745">
        <v>18</v>
      </c>
      <c r="F21" s="349">
        <v>35</v>
      </c>
      <c r="G21" s="741">
        <v>766.9</v>
      </c>
      <c r="H21" s="741">
        <v>1408.08</v>
      </c>
      <c r="I21" s="741">
        <v>1230.98</v>
      </c>
      <c r="J21" s="728">
        <v>40814.519999999997</v>
      </c>
      <c r="K21" s="728">
        <v>40094.14</v>
      </c>
      <c r="L21" s="728">
        <f t="shared" si="0"/>
        <v>42222.6</v>
      </c>
      <c r="M21" s="728">
        <f t="shared" si="0"/>
        <v>41325.120000000003</v>
      </c>
      <c r="N21" s="729">
        <f t="shared" si="1"/>
        <v>43105.049564206536</v>
      </c>
      <c r="O21" s="730">
        <v>1005.08</v>
      </c>
      <c r="P21" s="730">
        <f t="shared" si="2"/>
        <v>630.21582164978417</v>
      </c>
      <c r="Q21" s="731">
        <f t="shared" si="3"/>
        <v>390.91623072573771</v>
      </c>
      <c r="R21" s="731">
        <f t="shared" si="4"/>
        <v>48.995837685714918</v>
      </c>
      <c r="S21" s="732"/>
      <c r="T21" s="730">
        <v>2020.2</v>
      </c>
      <c r="U21" s="730">
        <f t="shared" si="5"/>
        <v>13473.847046784706</v>
      </c>
      <c r="V21" s="733">
        <f t="shared" si="14"/>
        <v>14252.243833728155</v>
      </c>
      <c r="W21" s="733">
        <f t="shared" si="15"/>
        <v>2878.9532544130875</v>
      </c>
      <c r="X21" s="733">
        <f t="shared" si="7"/>
        <v>1624.7823308321113</v>
      </c>
      <c r="Y21" s="730"/>
      <c r="Z21" s="734">
        <f t="shared" si="8"/>
        <v>6779.8152083872383</v>
      </c>
      <c r="AA21" s="735">
        <f t="shared" si="9"/>
        <v>-882.44956420653762</v>
      </c>
      <c r="AB21" s="648">
        <f t="shared" si="10"/>
        <v>98.234990880696387</v>
      </c>
      <c r="AC21" s="648">
        <f t="shared" si="13"/>
        <v>87.422589625589467</v>
      </c>
      <c r="AD21" s="648">
        <f t="shared" si="11"/>
        <v>9.3678118755610331</v>
      </c>
      <c r="AE21" s="648">
        <v>8.8699999999999992</v>
      </c>
      <c r="AF21" s="736">
        <f t="shared" si="12"/>
        <v>897.47999999999593</v>
      </c>
      <c r="AG21" s="250"/>
      <c r="AH21" s="250"/>
      <c r="AI21" s="35"/>
      <c r="AJ21" s="30"/>
      <c r="AK21" s="67"/>
      <c r="AL21" s="67"/>
      <c r="AM21" s="67"/>
      <c r="AN21" s="68"/>
      <c r="AO21" s="67"/>
      <c r="AP21" s="68"/>
      <c r="AQ21" s="35"/>
      <c r="AR21" s="70"/>
      <c r="AS21" s="35"/>
    </row>
    <row r="22" spans="1:45" s="124" customFormat="1" x14ac:dyDescent="0.25">
      <c r="A22" s="19">
        <v>17</v>
      </c>
      <c r="B22" s="55" t="s">
        <v>106</v>
      </c>
      <c r="C22" s="745">
        <v>1975</v>
      </c>
      <c r="D22" s="745">
        <v>2</v>
      </c>
      <c r="E22" s="745">
        <v>18</v>
      </c>
      <c r="F22" s="708">
        <v>49</v>
      </c>
      <c r="G22" s="741">
        <v>778.78</v>
      </c>
      <c r="H22" s="741">
        <v>1407.96</v>
      </c>
      <c r="I22" s="741">
        <v>1266.4000000000001</v>
      </c>
      <c r="J22" s="728">
        <v>40953.300000000003</v>
      </c>
      <c r="K22" s="728">
        <v>42397.85</v>
      </c>
      <c r="L22" s="728">
        <f t="shared" si="0"/>
        <v>42361.26</v>
      </c>
      <c r="M22" s="728">
        <f t="shared" si="0"/>
        <v>43664.25</v>
      </c>
      <c r="N22" s="729">
        <f t="shared" si="1"/>
        <v>43209.924837973893</v>
      </c>
      <c r="O22" s="730">
        <v>651.99</v>
      </c>
      <c r="P22" s="730">
        <f t="shared" si="2"/>
        <v>639.9784555801524</v>
      </c>
      <c r="Q22" s="731">
        <f t="shared" si="3"/>
        <v>396.9718896395749</v>
      </c>
      <c r="R22" s="731">
        <f t="shared" si="4"/>
        <v>49.754829147060981</v>
      </c>
      <c r="S22" s="732"/>
      <c r="T22" s="730">
        <v>2020.2</v>
      </c>
      <c r="U22" s="730">
        <f t="shared" si="5"/>
        <v>13519.661636620696</v>
      </c>
      <c r="V22" s="733">
        <f t="shared" si="14"/>
        <v>14473.024452771955</v>
      </c>
      <c r="W22" s="733">
        <f t="shared" si="15"/>
        <v>2923.5509394599353</v>
      </c>
      <c r="X22" s="733">
        <f t="shared" si="7"/>
        <v>1649.9517324363433</v>
      </c>
      <c r="Y22" s="730"/>
      <c r="Z22" s="734">
        <f t="shared" si="8"/>
        <v>6884.8409023181812</v>
      </c>
      <c r="AA22" s="735">
        <f t="shared" si="9"/>
        <v>-848.66483797389083</v>
      </c>
      <c r="AB22" s="648">
        <f t="shared" si="10"/>
        <v>103.52731037547645</v>
      </c>
      <c r="AC22" s="648">
        <f t="shared" si="13"/>
        <v>89.945737094803832</v>
      </c>
      <c r="AD22" s="648">
        <f t="shared" si="11"/>
        <v>9.2473537323278929</v>
      </c>
      <c r="AE22" s="648">
        <v>8.86</v>
      </c>
      <c r="AF22" s="736">
        <f t="shared" si="12"/>
        <v>-1302.989999999998</v>
      </c>
      <c r="AG22" s="250"/>
      <c r="AH22" s="250"/>
      <c r="AI22" s="35"/>
      <c r="AJ22" s="30"/>
      <c r="AK22" s="67"/>
      <c r="AL22" s="67"/>
      <c r="AM22" s="67"/>
      <c r="AN22" s="68"/>
      <c r="AO22" s="67"/>
      <c r="AP22" s="68"/>
      <c r="AQ22" s="35"/>
      <c r="AR22" s="70"/>
      <c r="AS22" s="35"/>
    </row>
    <row r="23" spans="1:45" s="124" customFormat="1" x14ac:dyDescent="0.25">
      <c r="A23" s="19">
        <v>18</v>
      </c>
      <c r="B23" s="55" t="s">
        <v>107</v>
      </c>
      <c r="C23" s="745">
        <v>1987</v>
      </c>
      <c r="D23" s="745">
        <v>1</v>
      </c>
      <c r="E23" s="745">
        <v>2</v>
      </c>
      <c r="F23" s="349">
        <v>10</v>
      </c>
      <c r="G23" s="747">
        <v>126.2</v>
      </c>
      <c r="H23" s="747">
        <v>0</v>
      </c>
      <c r="I23" s="747">
        <v>0</v>
      </c>
      <c r="J23" s="728">
        <v>3877.92</v>
      </c>
      <c r="K23" s="728">
        <v>4789.34</v>
      </c>
      <c r="L23" s="728">
        <f t="shared" si="0"/>
        <v>3877.92</v>
      </c>
      <c r="M23" s="728">
        <f t="shared" si="0"/>
        <v>4789.34</v>
      </c>
      <c r="N23" s="729">
        <f t="shared" si="1"/>
        <v>2839.3416057774175</v>
      </c>
      <c r="O23" s="730"/>
      <c r="P23" s="730">
        <f t="shared" si="2"/>
        <v>103.70744124684153</v>
      </c>
      <c r="Q23" s="731">
        <f t="shared" si="3"/>
        <v>64.328632569550265</v>
      </c>
      <c r="R23" s="731">
        <f t="shared" si="4"/>
        <v>8.0626870725482114</v>
      </c>
      <c r="S23" s="732"/>
      <c r="T23" s="730"/>
      <c r="U23" s="730">
        <f t="shared" si="5"/>
        <v>1280.1939344053869</v>
      </c>
      <c r="V23" s="733"/>
      <c r="W23" s="733">
        <f t="shared" si="15"/>
        <v>0</v>
      </c>
      <c r="X23" s="733">
        <f t="shared" si="7"/>
        <v>267.37192613249766</v>
      </c>
      <c r="Y23" s="730"/>
      <c r="Z23" s="734">
        <f t="shared" si="8"/>
        <v>1115.6769843505926</v>
      </c>
      <c r="AA23" s="735">
        <f t="shared" si="9"/>
        <v>1038.5783942225826</v>
      </c>
      <c r="AB23" s="648">
        <f t="shared" si="10"/>
        <v>123.50280562775922</v>
      </c>
      <c r="AC23" s="648">
        <v>0</v>
      </c>
      <c r="AD23" s="648">
        <f t="shared" si="11"/>
        <v>3.7497908158708628</v>
      </c>
      <c r="AE23" s="648">
        <v>8.9499999999999993</v>
      </c>
      <c r="AF23" s="736">
        <f t="shared" si="12"/>
        <v>-911.42000000000007</v>
      </c>
      <c r="AG23" s="250"/>
      <c r="AH23" s="250"/>
      <c r="AI23" s="35"/>
      <c r="AJ23" s="30"/>
      <c r="AK23" s="67"/>
      <c r="AL23" s="67"/>
      <c r="AM23" s="67"/>
      <c r="AN23" s="68"/>
      <c r="AO23" s="67"/>
      <c r="AP23" s="68"/>
      <c r="AQ23" s="35"/>
      <c r="AR23" s="70"/>
      <c r="AS23" s="35"/>
    </row>
    <row r="24" spans="1:45" s="124" customFormat="1" x14ac:dyDescent="0.25">
      <c r="A24" s="19">
        <v>19</v>
      </c>
      <c r="B24" s="55" t="s">
        <v>108</v>
      </c>
      <c r="C24" s="745">
        <v>1987</v>
      </c>
      <c r="D24" s="745">
        <v>1</v>
      </c>
      <c r="E24" s="745">
        <v>2</v>
      </c>
      <c r="F24" s="708">
        <v>11</v>
      </c>
      <c r="G24" s="747">
        <v>125.8</v>
      </c>
      <c r="H24" s="747">
        <v>0</v>
      </c>
      <c r="I24" s="747">
        <v>0</v>
      </c>
      <c r="J24" s="728">
        <v>6747.9</v>
      </c>
      <c r="K24" s="728">
        <v>6187.36</v>
      </c>
      <c r="L24" s="728">
        <f t="shared" si="0"/>
        <v>6747.9</v>
      </c>
      <c r="M24" s="728">
        <f t="shared" si="0"/>
        <v>6187.36</v>
      </c>
      <c r="N24" s="729">
        <f t="shared" si="1"/>
        <v>3781.8486618037014</v>
      </c>
      <c r="O24" s="730"/>
      <c r="P24" s="730">
        <f t="shared" si="2"/>
        <v>103.3787330336978</v>
      </c>
      <c r="Q24" s="731">
        <f t="shared" si="3"/>
        <v>64.124738330027128</v>
      </c>
      <c r="R24" s="731">
        <f t="shared" si="4"/>
        <v>8.0371318044894213</v>
      </c>
      <c r="S24" s="732"/>
      <c r="T24" s="730"/>
      <c r="U24" s="730">
        <f t="shared" si="5"/>
        <v>2227.6428214027387</v>
      </c>
      <c r="V24" s="733"/>
      <c r="W24" s="733">
        <f t="shared" si="15"/>
        <v>0</v>
      </c>
      <c r="X24" s="733">
        <f t="shared" si="7"/>
        <v>266.52447153302853</v>
      </c>
      <c r="Y24" s="730"/>
      <c r="Z24" s="734">
        <f t="shared" si="8"/>
        <v>1112.1407656997192</v>
      </c>
      <c r="AA24" s="735">
        <f t="shared" si="9"/>
        <v>2966.0513381962983</v>
      </c>
      <c r="AB24" s="648">
        <f t="shared" si="10"/>
        <v>91.69311934083197</v>
      </c>
      <c r="AC24" s="648">
        <v>0</v>
      </c>
      <c r="AD24" s="648">
        <f t="shared" si="11"/>
        <v>5.0103983330732662</v>
      </c>
      <c r="AE24" s="648">
        <v>8.94</v>
      </c>
      <c r="AF24" s="736">
        <f t="shared" si="12"/>
        <v>560.54</v>
      </c>
      <c r="AG24" s="250"/>
      <c r="AH24" s="250"/>
      <c r="AI24" s="35"/>
      <c r="AJ24" s="30"/>
      <c r="AK24" s="67"/>
      <c r="AL24" s="67"/>
      <c r="AM24" s="67"/>
      <c r="AN24" s="68"/>
      <c r="AO24" s="67"/>
      <c r="AP24" s="68"/>
      <c r="AQ24" s="35"/>
      <c r="AR24" s="70"/>
      <c r="AS24" s="35"/>
    </row>
    <row r="25" spans="1:45" s="124" customFormat="1" ht="15" customHeight="1" x14ac:dyDescent="0.25">
      <c r="A25" s="3">
        <v>20</v>
      </c>
      <c r="B25" s="43" t="s">
        <v>109</v>
      </c>
      <c r="C25" s="737">
        <v>1985</v>
      </c>
      <c r="D25" s="737">
        <v>1</v>
      </c>
      <c r="E25" s="737">
        <v>2</v>
      </c>
      <c r="F25" s="708">
        <v>5</v>
      </c>
      <c r="G25" s="738">
        <v>125.6</v>
      </c>
      <c r="H25" s="738">
        <v>0</v>
      </c>
      <c r="I25" s="738">
        <v>0</v>
      </c>
      <c r="J25" s="728">
        <v>3855.18</v>
      </c>
      <c r="K25" s="728">
        <v>5517.19</v>
      </c>
      <c r="L25" s="728">
        <f t="shared" si="0"/>
        <v>3855.18</v>
      </c>
      <c r="M25" s="728">
        <f t="shared" si="0"/>
        <v>5517.19</v>
      </c>
      <c r="N25" s="729">
        <f t="shared" si="1"/>
        <v>2824.4218426550815</v>
      </c>
      <c r="O25" s="730"/>
      <c r="P25" s="730">
        <f t="shared" si="2"/>
        <v>103.21437892712595</v>
      </c>
      <c r="Q25" s="731">
        <f t="shared" si="3"/>
        <v>64.022791210265552</v>
      </c>
      <c r="R25" s="731">
        <f t="shared" si="4"/>
        <v>8.0243541704600254</v>
      </c>
      <c r="S25" s="732"/>
      <c r="T25" s="730"/>
      <c r="U25" s="730">
        <f t="shared" si="5"/>
        <v>1272.6869177396541</v>
      </c>
      <c r="V25" s="733"/>
      <c r="W25" s="733">
        <f t="shared" si="15"/>
        <v>0</v>
      </c>
      <c r="X25" s="733">
        <f t="shared" si="7"/>
        <v>266.10074423329399</v>
      </c>
      <c r="Y25" s="730"/>
      <c r="Z25" s="734">
        <f t="shared" si="8"/>
        <v>1110.3726563742823</v>
      </c>
      <c r="AA25" s="735">
        <f t="shared" si="9"/>
        <v>1030.7581573449183</v>
      </c>
      <c r="AB25" s="648">
        <f t="shared" si="10"/>
        <v>143.11108690126011</v>
      </c>
      <c r="AC25" s="648">
        <v>0</v>
      </c>
      <c r="AD25" s="648">
        <f t="shared" si="11"/>
        <v>3.747905842164386</v>
      </c>
      <c r="AE25" s="648">
        <v>8.94</v>
      </c>
      <c r="AF25" s="736">
        <f t="shared" si="12"/>
        <v>-1662.0099999999998</v>
      </c>
      <c r="AG25" s="250"/>
      <c r="AH25" s="250"/>
      <c r="AI25" s="35"/>
      <c r="AJ25" s="30"/>
      <c r="AK25" s="67"/>
      <c r="AL25" s="67"/>
      <c r="AM25" s="67"/>
      <c r="AN25" s="68"/>
      <c r="AO25" s="67"/>
      <c r="AP25" s="68"/>
      <c r="AQ25" s="35"/>
      <c r="AR25" s="70"/>
      <c r="AS25" s="35"/>
    </row>
    <row r="26" spans="1:45" s="124" customFormat="1" x14ac:dyDescent="0.25">
      <c r="A26" s="6">
        <v>21</v>
      </c>
      <c r="B26" s="43" t="s">
        <v>110</v>
      </c>
      <c r="C26" s="737">
        <v>1990</v>
      </c>
      <c r="D26" s="737">
        <v>1</v>
      </c>
      <c r="E26" s="737">
        <v>1</v>
      </c>
      <c r="F26" s="661">
        <v>8</v>
      </c>
      <c r="G26" s="738">
        <v>127.7</v>
      </c>
      <c r="H26" s="738">
        <v>0</v>
      </c>
      <c r="I26" s="738">
        <v>0</v>
      </c>
      <c r="J26" s="728">
        <v>3768.44</v>
      </c>
      <c r="K26" s="728">
        <v>3724.91</v>
      </c>
      <c r="L26" s="728">
        <f t="shared" si="0"/>
        <v>3768.44</v>
      </c>
      <c r="M26" s="728">
        <f t="shared" si="0"/>
        <v>3724.91</v>
      </c>
      <c r="N26" s="729">
        <f t="shared" si="1"/>
        <v>2821.7315112960368</v>
      </c>
      <c r="O26" s="730"/>
      <c r="P26" s="730">
        <f t="shared" si="2"/>
        <v>104.94009704613045</v>
      </c>
      <c r="Q26" s="731">
        <f t="shared" si="3"/>
        <v>65.093235967762041</v>
      </c>
      <c r="R26" s="731">
        <f t="shared" si="4"/>
        <v>8.1585193277686727</v>
      </c>
      <c r="S26" s="732"/>
      <c r="T26" s="730"/>
      <c r="U26" s="730">
        <f t="shared" si="5"/>
        <v>1244.0519737825009</v>
      </c>
      <c r="V26" s="733"/>
      <c r="W26" s="733">
        <f t="shared" si="15"/>
        <v>0</v>
      </c>
      <c r="X26" s="733">
        <f t="shared" si="7"/>
        <v>270.54988088050675</v>
      </c>
      <c r="Y26" s="730"/>
      <c r="Z26" s="734">
        <f t="shared" si="8"/>
        <v>1128.9378042913684</v>
      </c>
      <c r="AA26" s="735">
        <f t="shared" si="9"/>
        <v>946.70848870396321</v>
      </c>
      <c r="AB26" s="648">
        <f t="shared" si="10"/>
        <v>98.84488010954135</v>
      </c>
      <c r="AC26" s="648">
        <v>0</v>
      </c>
      <c r="AD26" s="648">
        <f t="shared" si="11"/>
        <v>3.6827610431950362</v>
      </c>
      <c r="AE26" s="648">
        <v>4.58</v>
      </c>
      <c r="AF26" s="736">
        <f t="shared" si="12"/>
        <v>43.5300000000002</v>
      </c>
      <c r="AG26" s="250"/>
      <c r="AH26" s="250"/>
      <c r="AI26" s="35"/>
      <c r="AJ26" s="30"/>
      <c r="AK26" s="67"/>
      <c r="AL26" s="67"/>
      <c r="AM26" s="67"/>
      <c r="AN26" s="68"/>
      <c r="AO26" s="67"/>
      <c r="AP26" s="68"/>
      <c r="AQ26" s="35"/>
      <c r="AR26" s="70"/>
      <c r="AS26" s="35"/>
    </row>
    <row r="27" spans="1:45" s="124" customFormat="1" x14ac:dyDescent="0.25">
      <c r="A27" s="6">
        <v>22</v>
      </c>
      <c r="B27" s="43" t="s">
        <v>111</v>
      </c>
      <c r="C27" s="737">
        <v>1981</v>
      </c>
      <c r="D27" s="737">
        <v>1</v>
      </c>
      <c r="E27" s="737">
        <v>1</v>
      </c>
      <c r="F27" s="708">
        <v>6</v>
      </c>
      <c r="G27" s="738">
        <v>83.6</v>
      </c>
      <c r="H27" s="738">
        <v>0</v>
      </c>
      <c r="I27" s="738">
        <v>0</v>
      </c>
      <c r="J27" s="728">
        <v>2297.34</v>
      </c>
      <c r="K27" s="728">
        <v>1531.56</v>
      </c>
      <c r="L27" s="728">
        <f t="shared" si="0"/>
        <v>2297.34</v>
      </c>
      <c r="M27" s="728">
        <f t="shared" si="0"/>
        <v>1531.56</v>
      </c>
      <c r="N27" s="729">
        <f t="shared" si="1"/>
        <v>1791.2494305106311</v>
      </c>
      <c r="O27" s="730"/>
      <c r="P27" s="730">
        <f t="shared" si="2"/>
        <v>68.700016547036057</v>
      </c>
      <c r="Q27" s="731">
        <f t="shared" si="3"/>
        <v>42.613896060335989</v>
      </c>
      <c r="R27" s="731">
        <f t="shared" si="4"/>
        <v>5.3410510242870872</v>
      </c>
      <c r="S27" s="732"/>
      <c r="T27" s="730"/>
      <c r="U27" s="730">
        <f t="shared" si="5"/>
        <v>758.40675755736879</v>
      </c>
      <c r="V27" s="733"/>
      <c r="W27" s="733">
        <f t="shared" si="15"/>
        <v>0</v>
      </c>
      <c r="X27" s="733">
        <f t="shared" si="7"/>
        <v>177.11801128903963</v>
      </c>
      <c r="Y27" s="730"/>
      <c r="Z27" s="734">
        <f t="shared" si="8"/>
        <v>739.06969803256368</v>
      </c>
      <c r="AA27" s="735">
        <f t="shared" si="9"/>
        <v>506.09056948936905</v>
      </c>
      <c r="AB27" s="648">
        <f t="shared" si="10"/>
        <v>66.666666666666657</v>
      </c>
      <c r="AC27" s="648">
        <v>0</v>
      </c>
      <c r="AD27" s="648">
        <f t="shared" si="11"/>
        <v>3.5710714324374622</v>
      </c>
      <c r="AE27" s="648">
        <v>4.58</v>
      </c>
      <c r="AF27" s="736">
        <f t="shared" si="12"/>
        <v>765.7800000000002</v>
      </c>
      <c r="AG27" s="250"/>
      <c r="AH27" s="250"/>
      <c r="AI27" s="35"/>
      <c r="AJ27" s="30"/>
      <c r="AK27" s="67"/>
      <c r="AL27" s="67"/>
      <c r="AM27" s="67"/>
      <c r="AN27" s="68"/>
      <c r="AO27" s="67"/>
      <c r="AP27" s="68"/>
      <c r="AQ27" s="35"/>
      <c r="AR27" s="70"/>
      <c r="AS27" s="35"/>
    </row>
    <row r="28" spans="1:45" s="124" customFormat="1" x14ac:dyDescent="0.25">
      <c r="A28" s="20">
        <v>23</v>
      </c>
      <c r="B28" s="43" t="s">
        <v>112</v>
      </c>
      <c r="C28" s="737">
        <v>1970</v>
      </c>
      <c r="D28" s="737">
        <v>1</v>
      </c>
      <c r="E28" s="737">
        <v>5</v>
      </c>
      <c r="F28" s="708">
        <v>15</v>
      </c>
      <c r="G28" s="738">
        <v>259.72000000000003</v>
      </c>
      <c r="H28" s="738">
        <v>0</v>
      </c>
      <c r="I28" s="738">
        <v>0</v>
      </c>
      <c r="J28" s="728">
        <v>13551.78</v>
      </c>
      <c r="K28" s="728">
        <v>13045.95</v>
      </c>
      <c r="L28" s="728">
        <f t="shared" si="0"/>
        <v>13551.78</v>
      </c>
      <c r="M28" s="728">
        <f t="shared" si="0"/>
        <v>13045.95</v>
      </c>
      <c r="N28" s="729">
        <f t="shared" si="1"/>
        <v>7682.4968262228031</v>
      </c>
      <c r="O28" s="730"/>
      <c r="P28" s="730">
        <f t="shared" si="2"/>
        <v>213.430242794213</v>
      </c>
      <c r="Q28" s="731">
        <f t="shared" si="3"/>
        <v>132.38852972237399</v>
      </c>
      <c r="R28" s="731">
        <f t="shared" si="4"/>
        <v>16.593035550572278</v>
      </c>
      <c r="S28" s="732"/>
      <c r="T28" s="730"/>
      <c r="U28" s="730">
        <f t="shared" si="5"/>
        <v>4473.7659767081923</v>
      </c>
      <c r="V28" s="733"/>
      <c r="W28" s="733">
        <f t="shared" si="15"/>
        <v>0</v>
      </c>
      <c r="X28" s="733">
        <f t="shared" si="7"/>
        <v>550.25227143527968</v>
      </c>
      <c r="Y28" s="730"/>
      <c r="Z28" s="734">
        <f t="shared" si="8"/>
        <v>2296.0667700121708</v>
      </c>
      <c r="AA28" s="735">
        <f t="shared" si="9"/>
        <v>5869.2831737771976</v>
      </c>
      <c r="AB28" s="648">
        <f t="shared" si="10"/>
        <v>96.267427599916772</v>
      </c>
      <c r="AC28" s="648">
        <v>0</v>
      </c>
      <c r="AD28" s="648">
        <f t="shared" si="11"/>
        <v>4.9299866691198231</v>
      </c>
      <c r="AE28" s="648">
        <v>8.84</v>
      </c>
      <c r="AF28" s="736">
        <f t="shared" si="12"/>
        <v>505.82999999999993</v>
      </c>
      <c r="AG28" s="250"/>
      <c r="AH28" s="250"/>
      <c r="AI28" s="35"/>
      <c r="AJ28" s="30"/>
      <c r="AK28" s="67"/>
      <c r="AL28" s="67"/>
      <c r="AM28" s="67"/>
      <c r="AN28" s="68"/>
      <c r="AO28" s="67"/>
      <c r="AP28" s="68"/>
      <c r="AQ28" s="35"/>
      <c r="AR28" s="70"/>
      <c r="AS28" s="35"/>
    </row>
    <row r="29" spans="1:45" s="124" customFormat="1" x14ac:dyDescent="0.25">
      <c r="A29" s="21">
        <v>24</v>
      </c>
      <c r="B29" s="55" t="s">
        <v>113</v>
      </c>
      <c r="C29" s="745">
        <v>1973</v>
      </c>
      <c r="D29" s="745">
        <v>2</v>
      </c>
      <c r="E29" s="745">
        <v>16</v>
      </c>
      <c r="F29" s="349">
        <v>32</v>
      </c>
      <c r="G29" s="741">
        <v>722.8</v>
      </c>
      <c r="H29" s="741">
        <v>935.2</v>
      </c>
      <c r="I29" s="741">
        <v>793.8</v>
      </c>
      <c r="J29" s="728">
        <v>41114.04</v>
      </c>
      <c r="K29" s="728">
        <v>40436.269999999997</v>
      </c>
      <c r="L29" s="728">
        <f t="shared" si="0"/>
        <v>42049.24</v>
      </c>
      <c r="M29" s="728">
        <f t="shared" si="0"/>
        <v>41230.07</v>
      </c>
      <c r="N29" s="729">
        <f t="shared" si="1"/>
        <v>40677.604967518462</v>
      </c>
      <c r="O29" s="730">
        <v>692.47</v>
      </c>
      <c r="P29" s="730">
        <f t="shared" si="2"/>
        <v>593.97574115068971</v>
      </c>
      <c r="Q29" s="731">
        <f t="shared" si="3"/>
        <v>368.43689081831167</v>
      </c>
      <c r="R29" s="731">
        <f t="shared" si="4"/>
        <v>46.178369382233335</v>
      </c>
      <c r="S29" s="732"/>
      <c r="T29" s="730">
        <v>1336.44</v>
      </c>
      <c r="U29" s="730">
        <f t="shared" si="5"/>
        <v>13572.725746508555</v>
      </c>
      <c r="V29" s="733">
        <f t="shared" ref="V29:V30" si="16">257236.74/13841.67*G29</f>
        <v>13432.679414550412</v>
      </c>
      <c r="W29" s="733">
        <f t="shared" si="15"/>
        <v>2713.4012417391832</v>
      </c>
      <c r="X29" s="733">
        <f t="shared" si="7"/>
        <v>1531.3504612406441</v>
      </c>
      <c r="Y29" s="730"/>
      <c r="Z29" s="734">
        <f t="shared" si="8"/>
        <v>6389.9471021284335</v>
      </c>
      <c r="AA29" s="735">
        <f t="shared" si="9"/>
        <v>1371.6350324815357</v>
      </c>
      <c r="AB29" s="648">
        <f t="shared" si="10"/>
        <v>98.351487715631919</v>
      </c>
      <c r="AC29" s="648">
        <f t="shared" si="13"/>
        <v>84.880239520958085</v>
      </c>
      <c r="AD29" s="648">
        <f t="shared" si="11"/>
        <v>9.379635899169541</v>
      </c>
      <c r="AE29" s="648">
        <v>9.48</v>
      </c>
      <c r="AF29" s="736">
        <f t="shared" si="12"/>
        <v>819.16999999999825</v>
      </c>
      <c r="AG29" s="250"/>
      <c r="AH29" s="250"/>
      <c r="AI29" s="35"/>
      <c r="AJ29" s="30"/>
      <c r="AK29" s="67"/>
      <c r="AL29" s="67"/>
      <c r="AM29" s="67"/>
      <c r="AN29" s="68"/>
      <c r="AO29" s="67"/>
      <c r="AP29" s="68"/>
      <c r="AQ29" s="35"/>
      <c r="AR29" s="70"/>
      <c r="AS29" s="35"/>
    </row>
    <row r="30" spans="1:45" s="124" customFormat="1" x14ac:dyDescent="0.25">
      <c r="A30" s="21">
        <v>25</v>
      </c>
      <c r="B30" s="55" t="s">
        <v>114</v>
      </c>
      <c r="C30" s="745">
        <v>1973</v>
      </c>
      <c r="D30" s="745">
        <v>2</v>
      </c>
      <c r="E30" s="745">
        <v>16</v>
      </c>
      <c r="F30" s="708">
        <v>46</v>
      </c>
      <c r="G30" s="741">
        <v>714.4</v>
      </c>
      <c r="H30" s="741">
        <v>935.11</v>
      </c>
      <c r="I30" s="741">
        <v>876.63</v>
      </c>
      <c r="J30" s="728">
        <v>40629.42</v>
      </c>
      <c r="K30" s="728">
        <v>46121.81</v>
      </c>
      <c r="L30" s="728">
        <f t="shared" si="0"/>
        <v>41564.53</v>
      </c>
      <c r="M30" s="728">
        <f t="shared" si="0"/>
        <v>46998.439999999995</v>
      </c>
      <c r="N30" s="729">
        <f t="shared" si="1"/>
        <v>40226.190665074428</v>
      </c>
      <c r="O30" s="730">
        <v>692.46</v>
      </c>
      <c r="P30" s="730">
        <f t="shared" si="2"/>
        <v>587.07286867467178</v>
      </c>
      <c r="Q30" s="731">
        <f t="shared" si="3"/>
        <v>364.15511178832577</v>
      </c>
      <c r="R30" s="731">
        <f t="shared" si="4"/>
        <v>45.641708752998746</v>
      </c>
      <c r="S30" s="732"/>
      <c r="T30" s="730">
        <v>1336.44</v>
      </c>
      <c r="U30" s="730">
        <f t="shared" si="5"/>
        <v>13412.74111957155</v>
      </c>
      <c r="V30" s="733">
        <f t="shared" si="16"/>
        <v>13276.571906135603</v>
      </c>
      <c r="W30" s="733">
        <f t="shared" si="15"/>
        <v>2681.8675250393921</v>
      </c>
      <c r="X30" s="733">
        <f t="shared" si="7"/>
        <v>1513.5539146517933</v>
      </c>
      <c r="Y30" s="730"/>
      <c r="Z30" s="734">
        <f t="shared" si="8"/>
        <v>6315.6865104600902</v>
      </c>
      <c r="AA30" s="735">
        <f t="shared" si="9"/>
        <v>1338.3393349255712</v>
      </c>
      <c r="AB30" s="648">
        <f t="shared" si="10"/>
        <v>113.51825844425049</v>
      </c>
      <c r="AC30" s="648">
        <f t="shared" si="13"/>
        <v>93.746190287773629</v>
      </c>
      <c r="AD30" s="648">
        <f t="shared" si="11"/>
        <v>9.3846096176452107</v>
      </c>
      <c r="AE30" s="648">
        <v>9.48</v>
      </c>
      <c r="AF30" s="736">
        <f t="shared" si="12"/>
        <v>-5433.9099999999962</v>
      </c>
      <c r="AG30" s="250"/>
      <c r="AH30" s="250"/>
      <c r="AI30" s="35"/>
      <c r="AJ30" s="30"/>
      <c r="AK30" s="67"/>
      <c r="AL30" s="67"/>
      <c r="AM30" s="67"/>
      <c r="AN30" s="68"/>
      <c r="AO30" s="67"/>
      <c r="AP30" s="68"/>
      <c r="AQ30" s="35"/>
      <c r="AR30" s="70"/>
      <c r="AS30" s="35"/>
    </row>
    <row r="31" spans="1:45" s="124" customFormat="1" x14ac:dyDescent="0.25">
      <c r="A31" s="21">
        <v>26</v>
      </c>
      <c r="B31" s="55" t="s">
        <v>115</v>
      </c>
      <c r="C31" s="745">
        <v>1961</v>
      </c>
      <c r="D31" s="745">
        <v>1</v>
      </c>
      <c r="E31" s="745">
        <v>4</v>
      </c>
      <c r="F31" s="349">
        <v>10</v>
      </c>
      <c r="G31" s="741">
        <v>61.68</v>
      </c>
      <c r="H31" s="741">
        <v>0</v>
      </c>
      <c r="I31" s="741">
        <v>0</v>
      </c>
      <c r="J31" s="728">
        <v>813.9</v>
      </c>
      <c r="K31" s="728">
        <v>658.62</v>
      </c>
      <c r="L31" s="728">
        <f t="shared" si="0"/>
        <v>813.9</v>
      </c>
      <c r="M31" s="728">
        <f t="shared" si="0"/>
        <v>658.62</v>
      </c>
      <c r="N31" s="729">
        <f t="shared" si="1"/>
        <v>1030.7181485900824</v>
      </c>
      <c r="O31" s="730"/>
      <c r="P31" s="730">
        <f t="shared" si="2"/>
        <v>50.686806466760579</v>
      </c>
      <c r="Q31" s="731">
        <f t="shared" si="3"/>
        <v>31.44049173446799</v>
      </c>
      <c r="R31" s="731">
        <f t="shared" si="4"/>
        <v>3.9406223346654015</v>
      </c>
      <c r="S31" s="732"/>
      <c r="T31" s="730"/>
      <c r="U31" s="730">
        <f t="shared" si="5"/>
        <v>268.68781285135958</v>
      </c>
      <c r="V31" s="733"/>
      <c r="W31" s="733">
        <f t="shared" si="15"/>
        <v>0</v>
      </c>
      <c r="X31" s="733">
        <f t="shared" si="7"/>
        <v>130.67749923813355</v>
      </c>
      <c r="Y31" s="730"/>
      <c r="Z31" s="734">
        <f t="shared" si="8"/>
        <v>545.2849159646953</v>
      </c>
      <c r="AA31" s="735">
        <f t="shared" si="9"/>
        <v>-216.81814859008239</v>
      </c>
      <c r="AB31" s="648">
        <f t="shared" si="10"/>
        <v>80.921489126428312</v>
      </c>
      <c r="AC31" s="648">
        <v>0</v>
      </c>
      <c r="AD31" s="648">
        <f t="shared" si="11"/>
        <v>2.7851225372624362</v>
      </c>
      <c r="AE31" s="648">
        <v>2.2000000000000002</v>
      </c>
      <c r="AF31" s="736">
        <f t="shared" si="12"/>
        <v>155.27999999999997</v>
      </c>
      <c r="AG31" s="250"/>
      <c r="AH31" s="250"/>
      <c r="AI31" s="35"/>
      <c r="AJ31" s="30"/>
      <c r="AK31" s="67"/>
      <c r="AL31" s="67"/>
      <c r="AM31" s="67"/>
      <c r="AN31" s="68"/>
      <c r="AO31" s="67"/>
      <c r="AP31" s="68"/>
      <c r="AQ31" s="35"/>
      <c r="AR31" s="70"/>
      <c r="AS31" s="35"/>
    </row>
    <row r="32" spans="1:45" s="124" customFormat="1" x14ac:dyDescent="0.25">
      <c r="A32" s="21">
        <v>27</v>
      </c>
      <c r="B32" s="55" t="s">
        <v>116</v>
      </c>
      <c r="C32" s="745">
        <v>1961</v>
      </c>
      <c r="D32" s="745">
        <v>1</v>
      </c>
      <c r="E32" s="745">
        <v>2</v>
      </c>
      <c r="F32" s="708">
        <v>3</v>
      </c>
      <c r="G32" s="741">
        <v>40</v>
      </c>
      <c r="H32" s="741">
        <v>0</v>
      </c>
      <c r="I32" s="741">
        <v>0</v>
      </c>
      <c r="J32" s="728">
        <v>2028</v>
      </c>
      <c r="K32" s="728">
        <v>2028</v>
      </c>
      <c r="L32" s="728">
        <f t="shared" si="0"/>
        <v>2028</v>
      </c>
      <c r="M32" s="728">
        <f t="shared" si="0"/>
        <v>2028</v>
      </c>
      <c r="N32" s="729">
        <f t="shared" si="1"/>
        <v>1163.6742931537062</v>
      </c>
      <c r="O32" s="730"/>
      <c r="P32" s="730">
        <f t="shared" si="2"/>
        <v>32.870821314371319</v>
      </c>
      <c r="Q32" s="731">
        <f t="shared" si="3"/>
        <v>20.389423952313873</v>
      </c>
      <c r="R32" s="731">
        <f t="shared" si="4"/>
        <v>2.5555268058789893</v>
      </c>
      <c r="S32" s="732"/>
      <c r="T32" s="730"/>
      <c r="U32" s="730">
        <f t="shared" si="5"/>
        <v>669.49119604688201</v>
      </c>
      <c r="V32" s="733"/>
      <c r="W32" s="733">
        <f t="shared" si="15"/>
        <v>0</v>
      </c>
      <c r="X32" s="733">
        <f t="shared" si="7"/>
        <v>84.745459946908923</v>
      </c>
      <c r="Y32" s="730"/>
      <c r="Z32" s="734">
        <f t="shared" si="8"/>
        <v>353.62186508735107</v>
      </c>
      <c r="AA32" s="735">
        <f t="shared" si="9"/>
        <v>864.32570684629377</v>
      </c>
      <c r="AB32" s="648">
        <f t="shared" si="10"/>
        <v>100</v>
      </c>
      <c r="AC32" s="648">
        <v>0</v>
      </c>
      <c r="AD32" s="648">
        <f t="shared" si="11"/>
        <v>4.8486428881404429</v>
      </c>
      <c r="AE32" s="648">
        <v>8.4499999999999993</v>
      </c>
      <c r="AF32" s="736">
        <f t="shared" si="12"/>
        <v>0</v>
      </c>
      <c r="AG32" s="250"/>
      <c r="AH32" s="250"/>
      <c r="AI32" s="35"/>
      <c r="AJ32" s="30"/>
      <c r="AK32" s="67"/>
      <c r="AL32" s="67"/>
      <c r="AM32" s="67"/>
      <c r="AN32" s="68"/>
      <c r="AO32" s="67"/>
      <c r="AP32" s="68"/>
      <c r="AQ32" s="35"/>
      <c r="AR32" s="70"/>
      <c r="AS32" s="35"/>
    </row>
    <row r="33" spans="1:46" s="124" customFormat="1" x14ac:dyDescent="0.25">
      <c r="A33" s="21">
        <v>28</v>
      </c>
      <c r="B33" s="55" t="s">
        <v>117</v>
      </c>
      <c r="C33" s="745">
        <v>1969</v>
      </c>
      <c r="D33" s="745">
        <v>2</v>
      </c>
      <c r="E33" s="745">
        <v>16</v>
      </c>
      <c r="F33" s="349">
        <v>37</v>
      </c>
      <c r="G33" s="741">
        <v>716.27</v>
      </c>
      <c r="H33" s="741">
        <v>935.22</v>
      </c>
      <c r="I33" s="741">
        <v>757.38</v>
      </c>
      <c r="J33" s="728">
        <v>40741.440000000002</v>
      </c>
      <c r="K33" s="728">
        <v>36659.71</v>
      </c>
      <c r="L33" s="728">
        <f t="shared" si="0"/>
        <v>41676.660000000003</v>
      </c>
      <c r="M33" s="728">
        <f t="shared" si="0"/>
        <v>37417.089999999997</v>
      </c>
      <c r="N33" s="729">
        <f t="shared" si="1"/>
        <v>39916.426710930522</v>
      </c>
      <c r="O33" s="730">
        <v>280.83999999999997</v>
      </c>
      <c r="P33" s="730">
        <f t="shared" si="2"/>
        <v>588.60957957111862</v>
      </c>
      <c r="Q33" s="731">
        <f t="shared" si="3"/>
        <v>365.10831735809643</v>
      </c>
      <c r="R33" s="731">
        <f t="shared" si="4"/>
        <v>45.76117963117359</v>
      </c>
      <c r="S33" s="732"/>
      <c r="T33" s="730">
        <v>1336.44</v>
      </c>
      <c r="U33" s="730">
        <f t="shared" si="5"/>
        <v>13449.721594808816</v>
      </c>
      <c r="V33" s="733">
        <f t="shared" ref="V33" si="17">257236.74/13841.67*G33</f>
        <v>13311.324410985091</v>
      </c>
      <c r="W33" s="733">
        <f t="shared" si="15"/>
        <v>2688.8875310189887</v>
      </c>
      <c r="X33" s="733">
        <f t="shared" si="7"/>
        <v>1517.5157649043113</v>
      </c>
      <c r="Y33" s="730"/>
      <c r="Z33" s="734">
        <f t="shared" si="8"/>
        <v>6332.2183326529239</v>
      </c>
      <c r="AA33" s="735">
        <f t="shared" si="9"/>
        <v>1760.2332890694815</v>
      </c>
      <c r="AB33" s="648">
        <f t="shared" si="10"/>
        <v>89.981380137766351</v>
      </c>
      <c r="AC33" s="648">
        <f t="shared" si="13"/>
        <v>80.984153461217673</v>
      </c>
      <c r="AD33" s="648">
        <f t="shared" si="11"/>
        <v>9.2880307497941939</v>
      </c>
      <c r="AE33" s="648">
        <v>9.48</v>
      </c>
      <c r="AF33" s="736">
        <f t="shared" si="12"/>
        <v>4259.570000000007</v>
      </c>
      <c r="AG33" s="250"/>
      <c r="AH33" s="250"/>
      <c r="AI33" s="35"/>
      <c r="AJ33" s="30"/>
      <c r="AK33" s="67"/>
      <c r="AL33" s="67"/>
      <c r="AM33" s="67"/>
      <c r="AN33" s="68"/>
      <c r="AO33" s="67"/>
      <c r="AP33" s="68"/>
      <c r="AQ33" s="35"/>
      <c r="AR33" s="70"/>
      <c r="AS33" s="35"/>
    </row>
    <row r="34" spans="1:46" s="124" customFormat="1" x14ac:dyDescent="0.25">
      <c r="A34" s="21">
        <v>29</v>
      </c>
      <c r="B34" s="55" t="s">
        <v>118</v>
      </c>
      <c r="C34" s="745">
        <v>1964</v>
      </c>
      <c r="D34" s="745">
        <v>1</v>
      </c>
      <c r="E34" s="745">
        <v>2</v>
      </c>
      <c r="F34" s="708">
        <v>11</v>
      </c>
      <c r="G34" s="741">
        <v>84.5</v>
      </c>
      <c r="H34" s="741">
        <v>0</v>
      </c>
      <c r="I34" s="741">
        <v>0</v>
      </c>
      <c r="J34" s="728">
        <v>4279.08</v>
      </c>
      <c r="K34" s="728">
        <v>3944.85</v>
      </c>
      <c r="L34" s="728">
        <f t="shared" si="0"/>
        <v>4279.08</v>
      </c>
      <c r="M34" s="728">
        <f t="shared" si="0"/>
        <v>3944.85</v>
      </c>
      <c r="N34" s="729">
        <f t="shared" si="1"/>
        <v>2456.588216297087</v>
      </c>
      <c r="O34" s="730"/>
      <c r="P34" s="730">
        <f t="shared" si="2"/>
        <v>69.439610026609415</v>
      </c>
      <c r="Q34" s="731">
        <f t="shared" si="3"/>
        <v>43.072658099263052</v>
      </c>
      <c r="R34" s="731">
        <f t="shared" si="4"/>
        <v>5.3985503774193653</v>
      </c>
      <c r="S34" s="732"/>
      <c r="T34" s="730"/>
      <c r="U34" s="730">
        <f t="shared" si="5"/>
        <v>1412.6264236589209</v>
      </c>
      <c r="V34" s="733"/>
      <c r="W34" s="733">
        <f t="shared" si="15"/>
        <v>0</v>
      </c>
      <c r="X34" s="733">
        <f t="shared" si="7"/>
        <v>179.0247841378451</v>
      </c>
      <c r="Y34" s="730"/>
      <c r="Z34" s="734">
        <f t="shared" si="8"/>
        <v>747.02618999702918</v>
      </c>
      <c r="AA34" s="735">
        <f t="shared" si="9"/>
        <v>1822.4917837029129</v>
      </c>
      <c r="AB34" s="648">
        <f t="shared" si="10"/>
        <v>92.189208895370029</v>
      </c>
      <c r="AC34" s="648">
        <v>0</v>
      </c>
      <c r="AD34" s="648">
        <f t="shared" si="11"/>
        <v>4.8453416495011581</v>
      </c>
      <c r="AE34" s="648">
        <v>8.44</v>
      </c>
      <c r="AF34" s="736">
        <f t="shared" si="12"/>
        <v>334.23</v>
      </c>
      <c r="AG34" s="250"/>
      <c r="AH34" s="250"/>
      <c r="AI34" s="35"/>
      <c r="AJ34" s="30"/>
      <c r="AK34" s="67"/>
      <c r="AL34" s="67"/>
      <c r="AM34" s="67"/>
      <c r="AN34" s="68"/>
      <c r="AO34" s="67"/>
      <c r="AP34" s="68"/>
      <c r="AQ34" s="35"/>
      <c r="AR34" s="70"/>
      <c r="AS34" s="35"/>
    </row>
    <row r="35" spans="1:46" s="124" customFormat="1" x14ac:dyDescent="0.25">
      <c r="A35" s="21">
        <v>30</v>
      </c>
      <c r="B35" s="55" t="s">
        <v>119</v>
      </c>
      <c r="C35" s="745">
        <v>1968</v>
      </c>
      <c r="D35" s="745">
        <v>2</v>
      </c>
      <c r="E35" s="745">
        <v>16</v>
      </c>
      <c r="F35" s="349">
        <v>54</v>
      </c>
      <c r="G35" s="741">
        <v>714.5</v>
      </c>
      <c r="H35" s="741">
        <v>935.24</v>
      </c>
      <c r="I35" s="741">
        <v>697.59</v>
      </c>
      <c r="J35" s="728">
        <v>40640.82</v>
      </c>
      <c r="K35" s="728">
        <v>33580.160000000003</v>
      </c>
      <c r="L35" s="728">
        <f t="shared" si="0"/>
        <v>41576.06</v>
      </c>
      <c r="M35" s="728">
        <f t="shared" si="0"/>
        <v>34277.75</v>
      </c>
      <c r="N35" s="729">
        <f t="shared" si="1"/>
        <v>40258.073358974485</v>
      </c>
      <c r="O35" s="730">
        <v>717.11</v>
      </c>
      <c r="P35" s="730">
        <f t="shared" si="2"/>
        <v>587.15504572795771</v>
      </c>
      <c r="Q35" s="731">
        <f t="shared" si="3"/>
        <v>364.20608534820656</v>
      </c>
      <c r="R35" s="731">
        <f t="shared" si="4"/>
        <v>45.648097570013448</v>
      </c>
      <c r="S35" s="732"/>
      <c r="T35" s="730">
        <v>1336.44</v>
      </c>
      <c r="U35" s="730">
        <f t="shared" si="5"/>
        <v>13416.504531620336</v>
      </c>
      <c r="V35" s="733">
        <f t="shared" ref="V35" si="18">257236.74/13841.67*G35</f>
        <v>13278.430328854827</v>
      </c>
      <c r="W35" s="733">
        <f t="shared" si="15"/>
        <v>2682.2429264286752</v>
      </c>
      <c r="X35" s="733">
        <f t="shared" si="7"/>
        <v>1513.7657783016607</v>
      </c>
      <c r="Y35" s="730"/>
      <c r="Z35" s="734">
        <f t="shared" si="8"/>
        <v>6316.5705651228081</v>
      </c>
      <c r="AA35" s="735">
        <f t="shared" si="9"/>
        <v>1317.9866410255127</v>
      </c>
      <c r="AB35" s="648">
        <f t="shared" si="10"/>
        <v>82.626679284522325</v>
      </c>
      <c r="AC35" s="648">
        <f t="shared" si="13"/>
        <v>74.589410204867207</v>
      </c>
      <c r="AD35" s="648">
        <f t="shared" si="11"/>
        <v>9.3907332304582418</v>
      </c>
      <c r="AE35" s="648">
        <v>9.48</v>
      </c>
      <c r="AF35" s="736">
        <f t="shared" si="12"/>
        <v>7298.3099999999977</v>
      </c>
      <c r="AG35" s="250"/>
      <c r="AH35" s="250"/>
      <c r="AI35" s="35"/>
      <c r="AJ35" s="30"/>
      <c r="AK35" s="67"/>
      <c r="AL35" s="67"/>
      <c r="AM35" s="67"/>
      <c r="AN35" s="68"/>
      <c r="AO35" s="67"/>
      <c r="AP35" s="68"/>
      <c r="AQ35" s="35"/>
      <c r="AR35" s="70"/>
      <c r="AS35" s="35"/>
    </row>
    <row r="36" spans="1:46" s="124" customFormat="1" x14ac:dyDescent="0.25">
      <c r="A36" s="21">
        <v>31</v>
      </c>
      <c r="B36" s="55" t="s">
        <v>120</v>
      </c>
      <c r="C36" s="745">
        <v>1981</v>
      </c>
      <c r="D36" s="745">
        <v>1</v>
      </c>
      <c r="E36" s="745">
        <v>2</v>
      </c>
      <c r="F36" s="708">
        <v>3</v>
      </c>
      <c r="G36" s="741">
        <v>45.37</v>
      </c>
      <c r="H36" s="741">
        <v>0</v>
      </c>
      <c r="I36" s="741">
        <v>0</v>
      </c>
      <c r="J36" s="728">
        <v>2316.6</v>
      </c>
      <c r="K36" s="728">
        <v>1158.3</v>
      </c>
      <c r="L36" s="728">
        <f t="shared" si="0"/>
        <v>2316.6</v>
      </c>
      <c r="M36" s="728">
        <f t="shared" si="0"/>
        <v>1158.3</v>
      </c>
      <c r="N36" s="729">
        <f t="shared" si="1"/>
        <v>1325.2921210700458</v>
      </c>
      <c r="O36" s="730"/>
      <c r="P36" s="730">
        <f t="shared" si="2"/>
        <v>37.283729075825669</v>
      </c>
      <c r="Q36" s="731">
        <f t="shared" si="3"/>
        <v>23.126704117912009</v>
      </c>
      <c r="R36" s="731">
        <f t="shared" si="4"/>
        <v>2.8986062795682432</v>
      </c>
      <c r="S36" s="732"/>
      <c r="T36" s="730"/>
      <c r="U36" s="730">
        <f t="shared" si="5"/>
        <v>764.76494317663048</v>
      </c>
      <c r="V36" s="733"/>
      <c r="W36" s="733">
        <f t="shared" si="15"/>
        <v>0</v>
      </c>
      <c r="X36" s="733">
        <f t="shared" si="7"/>
        <v>96.122537944781442</v>
      </c>
      <c r="Y36" s="730"/>
      <c r="Z36" s="734">
        <f t="shared" si="8"/>
        <v>401.0956004753279</v>
      </c>
      <c r="AA36" s="735">
        <f t="shared" si="9"/>
        <v>991.30787892995409</v>
      </c>
      <c r="AB36" s="648">
        <f t="shared" si="10"/>
        <v>50</v>
      </c>
      <c r="AC36" s="648">
        <v>0</v>
      </c>
      <c r="AD36" s="648">
        <f t="shared" si="11"/>
        <v>4.8684597791126514</v>
      </c>
      <c r="AE36" s="648">
        <v>8.51</v>
      </c>
      <c r="AF36" s="736">
        <f t="shared" si="12"/>
        <v>1158.3</v>
      </c>
      <c r="AG36" s="250"/>
      <c r="AH36" s="250"/>
      <c r="AI36" s="35"/>
      <c r="AJ36" s="30"/>
      <c r="AK36" s="67"/>
      <c r="AL36" s="67"/>
      <c r="AM36" s="67"/>
      <c r="AN36" s="68"/>
      <c r="AO36" s="67"/>
      <c r="AP36" s="68"/>
      <c r="AQ36" s="35"/>
      <c r="AR36" s="70"/>
      <c r="AS36" s="35"/>
    </row>
    <row r="37" spans="1:46" s="124" customFormat="1" x14ac:dyDescent="0.25">
      <c r="A37" s="21">
        <v>32</v>
      </c>
      <c r="B37" s="55" t="s">
        <v>121</v>
      </c>
      <c r="C37" s="745">
        <v>1970</v>
      </c>
      <c r="D37" s="745">
        <v>2</v>
      </c>
      <c r="E37" s="745">
        <v>16</v>
      </c>
      <c r="F37" s="349">
        <v>35</v>
      </c>
      <c r="G37" s="741">
        <v>714.01</v>
      </c>
      <c r="H37" s="741">
        <v>935.25</v>
      </c>
      <c r="I37" s="741">
        <v>819.41</v>
      </c>
      <c r="J37" s="728">
        <v>40664.1</v>
      </c>
      <c r="K37" s="728">
        <v>43184.49</v>
      </c>
      <c r="L37" s="728">
        <f t="shared" si="0"/>
        <v>41599.35</v>
      </c>
      <c r="M37" s="728">
        <f t="shared" si="0"/>
        <v>44003.9</v>
      </c>
      <c r="N37" s="729">
        <f t="shared" si="1"/>
        <v>39812.589161455493</v>
      </c>
      <c r="O37" s="730">
        <v>280.94</v>
      </c>
      <c r="P37" s="730">
        <f t="shared" si="2"/>
        <v>586.75237816685672</v>
      </c>
      <c r="Q37" s="731">
        <f t="shared" si="3"/>
        <v>363.9563149047907</v>
      </c>
      <c r="R37" s="731">
        <f t="shared" si="4"/>
        <v>45.616792366641427</v>
      </c>
      <c r="S37" s="732"/>
      <c r="T37" s="730">
        <v>1336.44</v>
      </c>
      <c r="U37" s="730">
        <f t="shared" si="5"/>
        <v>13424.189815172589</v>
      </c>
      <c r="V37" s="733">
        <f t="shared" ref="V37" si="19">257236.74/13841.67*G37</f>
        <v>13269.32405753063</v>
      </c>
      <c r="W37" s="733">
        <f t="shared" si="15"/>
        <v>2680.4034596211873</v>
      </c>
      <c r="X37" s="733">
        <f t="shared" si="7"/>
        <v>1512.727646417311</v>
      </c>
      <c r="Y37" s="730"/>
      <c r="Z37" s="734">
        <f t="shared" si="8"/>
        <v>6312.2386972754884</v>
      </c>
      <c r="AA37" s="735">
        <f t="shared" si="9"/>
        <v>1786.7608385445055</v>
      </c>
      <c r="AB37" s="648">
        <f t="shared" si="10"/>
        <v>106.19807151762856</v>
      </c>
      <c r="AC37" s="648">
        <f t="shared" si="13"/>
        <v>87.614006950013362</v>
      </c>
      <c r="AD37" s="648">
        <f t="shared" si="11"/>
        <v>9.2931913095184218</v>
      </c>
      <c r="AE37" s="648">
        <v>9.48</v>
      </c>
      <c r="AF37" s="736">
        <f t="shared" si="12"/>
        <v>-2404.5500000000029</v>
      </c>
      <c r="AG37" s="250"/>
      <c r="AH37" s="250"/>
      <c r="AI37" s="35"/>
      <c r="AJ37" s="30"/>
      <c r="AK37" s="67"/>
      <c r="AL37" s="67"/>
      <c r="AM37" s="67"/>
      <c r="AN37" s="68"/>
      <c r="AO37" s="67"/>
      <c r="AP37" s="68"/>
      <c r="AQ37" s="35"/>
      <c r="AR37" s="70"/>
      <c r="AS37" s="35"/>
    </row>
    <row r="38" spans="1:46" s="124" customFormat="1" x14ac:dyDescent="0.25">
      <c r="A38" s="21">
        <v>33</v>
      </c>
      <c r="B38" s="55" t="s">
        <v>122</v>
      </c>
      <c r="C38" s="745">
        <v>1962</v>
      </c>
      <c r="D38" s="745">
        <v>1</v>
      </c>
      <c r="E38" s="745">
        <v>2</v>
      </c>
      <c r="F38" s="708">
        <v>5</v>
      </c>
      <c r="G38" s="741">
        <v>77.209999999999994</v>
      </c>
      <c r="H38" s="741">
        <v>0</v>
      </c>
      <c r="I38" s="741">
        <v>0</v>
      </c>
      <c r="J38" s="728">
        <v>3909.9</v>
      </c>
      <c r="K38" s="728">
        <v>3909.9</v>
      </c>
      <c r="L38" s="728">
        <f t="shared" si="0"/>
        <v>3909.9</v>
      </c>
      <c r="M38" s="728">
        <f t="shared" si="0"/>
        <v>3909.9</v>
      </c>
      <c r="N38" s="729">
        <f t="shared" si="1"/>
        <v>2244.6482187642655</v>
      </c>
      <c r="O38" s="730"/>
      <c r="P38" s="730">
        <f t="shared" si="2"/>
        <v>63.448902842065237</v>
      </c>
      <c r="Q38" s="731">
        <f t="shared" si="3"/>
        <v>39.356685583953848</v>
      </c>
      <c r="R38" s="731">
        <f t="shared" si="4"/>
        <v>4.9328056170479186</v>
      </c>
      <c r="S38" s="732"/>
      <c r="T38" s="730"/>
      <c r="U38" s="730">
        <f t="shared" si="5"/>
        <v>1290.7512955738184</v>
      </c>
      <c r="V38" s="733"/>
      <c r="W38" s="733">
        <f t="shared" si="15"/>
        <v>0</v>
      </c>
      <c r="X38" s="733">
        <f t="shared" si="7"/>
        <v>163.57992406252094</v>
      </c>
      <c r="Y38" s="730"/>
      <c r="Z38" s="734">
        <f t="shared" si="8"/>
        <v>682.5786050848593</v>
      </c>
      <c r="AA38" s="735">
        <f t="shared" si="9"/>
        <v>1665.2517812357346</v>
      </c>
      <c r="AB38" s="648">
        <f t="shared" si="10"/>
        <v>100</v>
      </c>
      <c r="AC38" s="648">
        <v>0</v>
      </c>
      <c r="AD38" s="648">
        <f t="shared" si="11"/>
        <v>4.8453313879123288</v>
      </c>
      <c r="AE38" s="648">
        <v>8.44</v>
      </c>
      <c r="AF38" s="736">
        <f t="shared" si="12"/>
        <v>0</v>
      </c>
      <c r="AG38" s="250"/>
      <c r="AH38" s="250"/>
      <c r="AI38" s="35"/>
      <c r="AJ38" s="30"/>
      <c r="AK38" s="67"/>
      <c r="AL38" s="67"/>
      <c r="AM38" s="67"/>
      <c r="AN38" s="68"/>
      <c r="AO38" s="67"/>
      <c r="AP38" s="68"/>
      <c r="AQ38" s="35"/>
      <c r="AR38" s="70"/>
      <c r="AS38" s="35"/>
    </row>
    <row r="39" spans="1:46" s="124" customFormat="1" x14ac:dyDescent="0.25">
      <c r="A39" s="19">
        <v>34</v>
      </c>
      <c r="B39" s="55" t="s">
        <v>123</v>
      </c>
      <c r="C39" s="745">
        <v>1990</v>
      </c>
      <c r="D39" s="745">
        <v>3</v>
      </c>
      <c r="E39" s="745">
        <v>24</v>
      </c>
      <c r="F39" s="349">
        <v>61</v>
      </c>
      <c r="G39" s="741">
        <v>1444.1</v>
      </c>
      <c r="H39" s="741">
        <v>3701.93</v>
      </c>
      <c r="I39" s="741">
        <v>2558.89</v>
      </c>
      <c r="J39" s="728">
        <v>81765.66</v>
      </c>
      <c r="K39" s="728">
        <v>73545.210000000006</v>
      </c>
      <c r="L39" s="728">
        <f t="shared" si="0"/>
        <v>85467.59</v>
      </c>
      <c r="M39" s="728">
        <f t="shared" si="0"/>
        <v>76104.100000000006</v>
      </c>
      <c r="N39" s="729">
        <f t="shared" si="1"/>
        <v>84123.324830110025</v>
      </c>
      <c r="O39" s="730">
        <v>581.53</v>
      </c>
      <c r="P39" s="730">
        <f t="shared" si="2"/>
        <v>1186.7188265020905</v>
      </c>
      <c r="Q39" s="731">
        <f t="shared" si="3"/>
        <v>736.10917823841157</v>
      </c>
      <c r="R39" s="731">
        <f t="shared" si="4"/>
        <v>92.260906509246212</v>
      </c>
      <c r="S39" s="732"/>
      <c r="T39" s="730">
        <v>6449.1</v>
      </c>
      <c r="U39" s="730">
        <f t="shared" si="5"/>
        <v>26992.795615859319</v>
      </c>
      <c r="V39" s="733">
        <f t="shared" ref="V39" si="20">257236.74/13841.67*G39</f>
        <v>26837.482488312464</v>
      </c>
      <c r="W39" s="733">
        <f t="shared" si="15"/>
        <v>5421.1714626391176</v>
      </c>
      <c r="X39" s="733">
        <f t="shared" si="7"/>
        <v>3059.5229677332791</v>
      </c>
      <c r="Y39" s="730"/>
      <c r="Z39" s="734">
        <f t="shared" si="8"/>
        <v>12766.633384316092</v>
      </c>
      <c r="AA39" s="735">
        <f t="shared" si="9"/>
        <v>1344.2651698899717</v>
      </c>
      <c r="AB39" s="648">
        <f t="shared" si="10"/>
        <v>89.946329547147315</v>
      </c>
      <c r="AC39" s="648">
        <f t="shared" si="13"/>
        <v>69.123133068426469</v>
      </c>
      <c r="AD39" s="648">
        <f t="shared" si="11"/>
        <v>9.7088526683413008</v>
      </c>
      <c r="AE39" s="648">
        <v>9.44</v>
      </c>
      <c r="AF39" s="736">
        <f t="shared" si="12"/>
        <v>9363.4899999999907</v>
      </c>
      <c r="AG39" s="250"/>
      <c r="AH39" s="250"/>
      <c r="AI39" s="35"/>
      <c r="AJ39" s="30"/>
      <c r="AK39" s="67"/>
      <c r="AL39" s="67"/>
      <c r="AM39" s="67"/>
      <c r="AN39" s="68"/>
      <c r="AO39" s="67"/>
      <c r="AP39" s="71"/>
      <c r="AQ39" s="35"/>
      <c r="AR39" s="70"/>
      <c r="AS39" s="35"/>
    </row>
    <row r="40" spans="1:46" s="124" customFormat="1" x14ac:dyDescent="0.25">
      <c r="A40" s="251">
        <v>35</v>
      </c>
      <c r="B40" s="252" t="s">
        <v>124</v>
      </c>
      <c r="C40" s="748">
        <v>1980</v>
      </c>
      <c r="D40" s="748">
        <v>1</v>
      </c>
      <c r="E40" s="748">
        <v>1</v>
      </c>
      <c r="F40" s="749">
        <v>3</v>
      </c>
      <c r="G40" s="750">
        <v>36</v>
      </c>
      <c r="H40" s="750">
        <v>0</v>
      </c>
      <c r="I40" s="750">
        <v>0</v>
      </c>
      <c r="J40" s="751">
        <v>989.28</v>
      </c>
      <c r="K40" s="751">
        <v>824.4</v>
      </c>
      <c r="L40" s="728">
        <f t="shared" si="0"/>
        <v>989.28</v>
      </c>
      <c r="M40" s="728">
        <f t="shared" si="0"/>
        <v>824.4</v>
      </c>
      <c r="N40" s="729">
        <f t="shared" si="1"/>
        <v>771.34972350327166</v>
      </c>
      <c r="O40" s="752"/>
      <c r="P40" s="730">
        <f t="shared" si="2"/>
        <v>29.583739182934188</v>
      </c>
      <c r="Q40" s="731">
        <f t="shared" si="3"/>
        <v>18.350481557082485</v>
      </c>
      <c r="R40" s="731">
        <f t="shared" si="4"/>
        <v>2.2999741252910901</v>
      </c>
      <c r="S40" s="753"/>
      <c r="T40" s="752"/>
      <c r="U40" s="730">
        <f t="shared" si="5"/>
        <v>326.58493610712986</v>
      </c>
      <c r="V40" s="733"/>
      <c r="W40" s="733">
        <f t="shared" si="15"/>
        <v>0</v>
      </c>
      <c r="X40" s="733">
        <f t="shared" si="7"/>
        <v>76.270913952218024</v>
      </c>
      <c r="Y40" s="730"/>
      <c r="Z40" s="734">
        <f t="shared" si="8"/>
        <v>318.25967857861599</v>
      </c>
      <c r="AA40" s="735">
        <f>L40-N40</f>
        <v>217.93027649672831</v>
      </c>
      <c r="AB40" s="648">
        <f t="shared" si="10"/>
        <v>83.333333333333343</v>
      </c>
      <c r="AC40" s="648">
        <v>0</v>
      </c>
      <c r="AD40" s="648">
        <f t="shared" si="11"/>
        <v>3.5710635347373691</v>
      </c>
      <c r="AE40" s="754">
        <v>4.58</v>
      </c>
      <c r="AF40" s="736">
        <f t="shared" si="12"/>
        <v>164.88</v>
      </c>
      <c r="AG40" s="250"/>
      <c r="AH40" s="250"/>
      <c r="AI40" s="35"/>
      <c r="AJ40" s="30"/>
      <c r="AK40" s="67"/>
      <c r="AL40" s="67"/>
      <c r="AM40" s="67"/>
      <c r="AN40" s="68"/>
      <c r="AO40" s="67"/>
      <c r="AP40" s="71"/>
      <c r="AQ40" s="35"/>
      <c r="AR40" s="70"/>
      <c r="AS40" s="35"/>
    </row>
    <row r="41" spans="1:46" s="124" customFormat="1" x14ac:dyDescent="0.25">
      <c r="A41" s="19"/>
      <c r="B41" s="392" t="s">
        <v>23</v>
      </c>
      <c r="C41" s="745"/>
      <c r="D41" s="745"/>
      <c r="E41" s="755">
        <f>SUM(E5:E40)</f>
        <v>301</v>
      </c>
      <c r="F41" s="755">
        <f>SUM(F5:F40)</f>
        <v>837</v>
      </c>
      <c r="G41" s="755">
        <f>SUM(G5:G40)</f>
        <v>15652.350000000002</v>
      </c>
      <c r="H41" s="756">
        <f>SUM(H6:H40)</f>
        <v>29422.530000000006</v>
      </c>
      <c r="I41" s="756">
        <f>SUM(I6:I40)</f>
        <v>24403.27</v>
      </c>
      <c r="J41" s="757">
        <f>SUM(J6:J40)</f>
        <v>843793.67999999993</v>
      </c>
      <c r="K41" s="757">
        <f>SUM(K6:K40)</f>
        <v>813861.63</v>
      </c>
      <c r="L41" s="757">
        <f t="shared" ref="L41:M41" si="21">SUM(L6:L40)</f>
        <v>873216.21</v>
      </c>
      <c r="M41" s="757">
        <f t="shared" si="21"/>
        <v>838264.9</v>
      </c>
      <c r="N41" s="758">
        <f t="shared" si="1"/>
        <v>816994.76147999999</v>
      </c>
      <c r="O41" s="640">
        <f t="shared" ref="O41:V41" si="22">SUM(O6:O40)</f>
        <v>10982.060000000001</v>
      </c>
      <c r="P41" s="759">
        <f t="shared" si="22"/>
        <v>12862.639999999998</v>
      </c>
      <c r="Q41" s="759">
        <f t="shared" si="22"/>
        <v>7978.5599999999995</v>
      </c>
      <c r="R41" s="760">
        <f t="shared" si="22"/>
        <v>1000</v>
      </c>
      <c r="S41" s="640">
        <f t="shared" si="22"/>
        <v>0</v>
      </c>
      <c r="T41" s="640">
        <f t="shared" si="22"/>
        <v>24879.54</v>
      </c>
      <c r="U41" s="640">
        <f t="shared" si="22"/>
        <v>278556.42999999993</v>
      </c>
      <c r="V41" s="640">
        <f t="shared" si="22"/>
        <v>257236.74000000002</v>
      </c>
      <c r="W41" s="761">
        <f>SUM(W6:W40)</f>
        <v>51961.821480000013</v>
      </c>
      <c r="X41" s="761">
        <f>SUM(X6:X40)</f>
        <v>33161.64</v>
      </c>
      <c r="Y41" s="761">
        <f t="shared" ref="Y41:AA41" si="23">SUM(Y6:Y40)</f>
        <v>0</v>
      </c>
      <c r="Z41" s="761">
        <f t="shared" si="23"/>
        <v>138375.32999999999</v>
      </c>
      <c r="AA41" s="761">
        <f t="shared" si="23"/>
        <v>56221.448520000027</v>
      </c>
      <c r="AB41" s="644">
        <f t="shared" si="10"/>
        <v>96.452681418519276</v>
      </c>
      <c r="AC41" s="644">
        <f t="shared" si="13"/>
        <v>82.940760023016352</v>
      </c>
      <c r="AD41" s="644">
        <f t="shared" si="11"/>
        <v>8.6993833884368783</v>
      </c>
      <c r="AE41" s="762"/>
      <c r="AF41" s="762">
        <f t="shared" si="12"/>
        <v>34951.309999999939</v>
      </c>
      <c r="AG41" s="250"/>
      <c r="AH41" s="250"/>
      <c r="AI41" s="72"/>
      <c r="AJ41" s="72"/>
      <c r="AK41" s="72"/>
      <c r="AL41" s="72"/>
      <c r="AM41" s="72"/>
      <c r="AN41" s="72"/>
      <c r="AO41" s="72"/>
      <c r="AP41" s="72"/>
      <c r="AQ41" s="72"/>
      <c r="AR41" s="73"/>
      <c r="AS41" s="72"/>
    </row>
    <row r="42" spans="1:46" x14ac:dyDescent="0.25">
      <c r="C42" s="375"/>
      <c r="D42" s="375"/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763">
        <f>O41+P41</f>
        <v>23844.699999999997</v>
      </c>
      <c r="P42" s="375"/>
      <c r="Q42" s="375" t="s">
        <v>180</v>
      </c>
      <c r="R42" s="375" t="s">
        <v>180</v>
      </c>
      <c r="S42" s="375"/>
      <c r="T42" s="375" t="s">
        <v>180</v>
      </c>
      <c r="U42" s="375"/>
      <c r="V42" s="763">
        <f>V41+W41</f>
        <v>309198.56148000003</v>
      </c>
      <c r="W42" s="375"/>
      <c r="X42" s="375"/>
      <c r="Y42" s="375"/>
      <c r="Z42" s="375"/>
      <c r="AA42" s="375"/>
      <c r="AB42" s="375"/>
      <c r="AC42" s="375"/>
      <c r="AD42" s="375"/>
      <c r="AE42" s="764"/>
      <c r="AF42" s="375"/>
      <c r="AG42" s="250"/>
      <c r="AH42" s="250"/>
    </row>
    <row r="43" spans="1:46" x14ac:dyDescent="0.25">
      <c r="B43" s="81" t="s">
        <v>587</v>
      </c>
      <c r="C43" s="375"/>
      <c r="D43" s="375"/>
      <c r="E43" s="375"/>
      <c r="F43" s="375"/>
      <c r="G43" s="375"/>
      <c r="H43" s="375"/>
      <c r="I43" s="375"/>
      <c r="J43" s="375"/>
      <c r="K43" s="375"/>
      <c r="L43" s="764">
        <f>L41-N41</f>
        <v>56221.448519999976</v>
      </c>
      <c r="M43" s="375"/>
      <c r="N43" s="375"/>
      <c r="O43" s="375"/>
      <c r="P43" s="375"/>
      <c r="Q43" s="375"/>
      <c r="R43" s="375"/>
      <c r="S43" s="375"/>
      <c r="T43" s="375"/>
      <c r="U43" s="764"/>
      <c r="V43" s="375"/>
      <c r="W43" s="375"/>
      <c r="X43" s="375"/>
      <c r="Y43" s="375"/>
      <c r="Z43" s="375"/>
      <c r="AA43" s="375"/>
      <c r="AB43" s="375"/>
      <c r="AC43" s="375"/>
      <c r="AD43" s="375"/>
      <c r="AE43" s="375"/>
      <c r="AF43" s="375"/>
      <c r="AG43" s="250"/>
      <c r="AH43" s="250"/>
    </row>
    <row r="44" spans="1:46" x14ac:dyDescent="0.25"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5"/>
      <c r="AD44" s="375"/>
      <c r="AE44" s="375"/>
      <c r="AF44" s="375"/>
      <c r="AG44" s="250"/>
      <c r="AH44" s="250"/>
    </row>
    <row r="45" spans="1:46" x14ac:dyDescent="0.25">
      <c r="A45" s="9"/>
      <c r="B45" s="9"/>
      <c r="C45" s="349"/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49"/>
      <c r="S45" s="349"/>
      <c r="T45" s="349"/>
      <c r="U45" s="349"/>
      <c r="V45" s="349"/>
      <c r="W45" s="349"/>
      <c r="X45" s="349"/>
      <c r="Y45" s="349"/>
      <c r="Z45" s="349"/>
      <c r="AA45" s="349"/>
      <c r="AB45" s="349"/>
      <c r="AC45" s="349"/>
      <c r="AD45" s="349"/>
      <c r="AE45" s="349"/>
      <c r="AF45" s="375"/>
      <c r="AG45" s="250"/>
      <c r="AH45" s="250"/>
      <c r="AI45" s="9"/>
      <c r="AJ45" s="9"/>
      <c r="AK45" s="9"/>
      <c r="AL45" s="9"/>
      <c r="AM45" s="9"/>
      <c r="AN45" s="9"/>
      <c r="AO45" s="9"/>
      <c r="AP45" s="9"/>
      <c r="AQ45" s="9"/>
      <c r="AR45" s="77"/>
      <c r="AS45" s="9"/>
      <c r="AT45" s="9"/>
    </row>
    <row r="46" spans="1:46" ht="18.75" x14ac:dyDescent="0.3">
      <c r="B46" s="74" t="s">
        <v>637</v>
      </c>
      <c r="C46" s="765"/>
      <c r="D46" s="765"/>
      <c r="E46" s="765"/>
      <c r="F46" s="765"/>
      <c r="G46" s="765"/>
      <c r="H46" s="765"/>
      <c r="I46" s="765"/>
      <c r="J46" s="765"/>
      <c r="K46" s="765"/>
      <c r="L46" s="765"/>
      <c r="M46" s="765"/>
      <c r="N46" s="766"/>
      <c r="O46" s="766"/>
      <c r="P46" s="375"/>
      <c r="Q46" s="375"/>
      <c r="R46" s="375"/>
      <c r="S46" s="375"/>
      <c r="T46" s="375"/>
      <c r="U46" s="375"/>
      <c r="V46" s="375"/>
      <c r="W46" s="375"/>
      <c r="X46" s="375"/>
      <c r="Y46" s="375"/>
      <c r="Z46" s="375"/>
      <c r="AA46" s="375"/>
      <c r="AB46" s="375"/>
      <c r="AC46" s="375"/>
      <c r="AD46" s="375"/>
      <c r="AE46" s="375"/>
      <c r="AF46" s="375"/>
      <c r="AG46" s="250"/>
      <c r="AH46" s="250"/>
      <c r="AI46" s="9"/>
      <c r="AJ46" s="9"/>
      <c r="AK46" s="9"/>
      <c r="AL46" s="9"/>
      <c r="AM46" s="9"/>
      <c r="AN46" s="9"/>
      <c r="AO46" s="9"/>
      <c r="AP46" s="9"/>
      <c r="AQ46" s="9"/>
      <c r="AR46" s="77"/>
      <c r="AS46" s="9"/>
      <c r="AT46" s="9"/>
    </row>
    <row r="47" spans="1:46" ht="14.25" customHeight="1" x14ac:dyDescent="0.25">
      <c r="A47" s="17"/>
      <c r="B47" s="1"/>
      <c r="C47" s="766"/>
      <c r="D47" s="766"/>
      <c r="E47" s="766"/>
      <c r="F47" s="766"/>
      <c r="G47" s="766"/>
      <c r="H47" s="766"/>
      <c r="I47" s="766"/>
      <c r="J47" s="766"/>
      <c r="K47" s="766"/>
      <c r="L47" s="766"/>
      <c r="M47" s="766"/>
      <c r="N47" s="766"/>
      <c r="O47" s="766"/>
      <c r="P47" s="375"/>
      <c r="Q47" s="375"/>
      <c r="R47" s="375"/>
      <c r="S47" s="375"/>
      <c r="T47" s="375"/>
      <c r="U47" s="375"/>
      <c r="V47" s="375"/>
      <c r="W47" s="375"/>
      <c r="X47" s="375"/>
      <c r="Y47" s="375"/>
      <c r="Z47" s="375"/>
      <c r="AA47" s="375"/>
      <c r="AB47" s="375"/>
      <c r="AC47" s="375"/>
      <c r="AD47" s="375"/>
      <c r="AE47" s="375"/>
      <c r="AF47" s="375"/>
      <c r="AG47" s="250"/>
      <c r="AH47" s="250"/>
      <c r="AI47" s="9"/>
      <c r="AJ47" s="9"/>
      <c r="AK47" s="9"/>
      <c r="AL47" s="9"/>
      <c r="AM47" s="9"/>
      <c r="AN47" s="9"/>
      <c r="AO47" s="9"/>
      <c r="AP47" s="9"/>
      <c r="AQ47" s="9"/>
      <c r="AR47" s="77"/>
      <c r="AS47" s="9"/>
      <c r="AT47" s="9"/>
    </row>
    <row r="48" spans="1:46" ht="18" customHeight="1" x14ac:dyDescent="0.25">
      <c r="A48" s="17"/>
      <c r="B48" s="1"/>
      <c r="C48" s="766"/>
      <c r="D48" s="766"/>
      <c r="E48" s="766"/>
      <c r="F48" s="766"/>
      <c r="G48" s="766"/>
      <c r="H48" s="766"/>
      <c r="I48" s="766"/>
      <c r="J48" s="766"/>
      <c r="K48" s="766"/>
      <c r="L48" s="766"/>
      <c r="M48" s="766"/>
      <c r="N48" s="766"/>
      <c r="O48" s="766"/>
      <c r="P48" s="375"/>
      <c r="Q48" s="375"/>
      <c r="R48" s="375"/>
      <c r="S48" s="375"/>
      <c r="T48" s="375"/>
      <c r="U48" s="375"/>
      <c r="V48" s="375"/>
      <c r="W48" s="375"/>
      <c r="X48" s="375"/>
      <c r="Y48" s="375"/>
      <c r="Z48" s="375"/>
      <c r="AA48" s="375"/>
      <c r="AB48" s="375"/>
      <c r="AC48" s="375"/>
      <c r="AD48" s="375"/>
      <c r="AE48" s="375"/>
      <c r="AF48" s="375"/>
      <c r="AG48" s="250"/>
      <c r="AH48" s="250"/>
      <c r="AI48" s="249"/>
      <c r="AJ48" s="249"/>
      <c r="AK48" s="249"/>
      <c r="AL48" s="249"/>
      <c r="AM48" s="249"/>
      <c r="AN48" s="249"/>
      <c r="AO48" s="249"/>
      <c r="AP48" s="9"/>
      <c r="AQ48" s="9"/>
      <c r="AR48" s="77"/>
      <c r="AS48" s="9"/>
      <c r="AT48" s="9"/>
    </row>
    <row r="49" spans="1:46" ht="20.25" customHeight="1" x14ac:dyDescent="0.25">
      <c r="A49" s="2020" t="s">
        <v>0</v>
      </c>
      <c r="B49" s="2020" t="s">
        <v>184</v>
      </c>
      <c r="C49" s="2228" t="s">
        <v>54</v>
      </c>
      <c r="D49" s="2228" t="s">
        <v>55</v>
      </c>
      <c r="E49" s="2228" t="s">
        <v>56</v>
      </c>
      <c r="F49" s="2228" t="s">
        <v>57</v>
      </c>
      <c r="G49" s="2232" t="s">
        <v>6</v>
      </c>
      <c r="H49" s="979"/>
      <c r="I49" s="979"/>
      <c r="J49" s="2087" t="s">
        <v>284</v>
      </c>
      <c r="K49" s="2088"/>
      <c r="L49" s="943"/>
      <c r="M49" s="943"/>
      <c r="N49" s="2074" t="s">
        <v>181</v>
      </c>
      <c r="O49" s="2074" t="s">
        <v>332</v>
      </c>
      <c r="P49" s="2074" t="s">
        <v>333</v>
      </c>
      <c r="Q49" s="2230" t="s">
        <v>640</v>
      </c>
      <c r="R49" s="2003" t="s">
        <v>462</v>
      </c>
      <c r="S49" s="2074" t="s">
        <v>371</v>
      </c>
      <c r="T49" s="2074" t="s">
        <v>175</v>
      </c>
      <c r="U49" s="2074" t="s">
        <v>183</v>
      </c>
      <c r="V49" s="2080" t="s">
        <v>182</v>
      </c>
      <c r="W49" s="2226" t="s">
        <v>544</v>
      </c>
      <c r="X49" s="2184" t="s">
        <v>566</v>
      </c>
      <c r="Y49" s="375"/>
      <c r="Z49" s="375"/>
      <c r="AA49" s="375"/>
      <c r="AB49" s="375"/>
      <c r="AC49" s="375"/>
      <c r="AD49" s="375"/>
      <c r="AE49" s="375"/>
      <c r="AF49" s="375"/>
      <c r="AG49" s="250"/>
      <c r="AH49" s="250"/>
      <c r="AI49" s="249"/>
      <c r="AJ49" s="249"/>
      <c r="AK49" s="249"/>
      <c r="AL49" s="249"/>
      <c r="AM49" s="249"/>
      <c r="AN49" s="249"/>
      <c r="AO49" s="249"/>
      <c r="AP49" s="1223"/>
      <c r="AQ49" s="1223"/>
      <c r="AR49" s="2240"/>
      <c r="AS49" s="2208"/>
      <c r="AT49" s="9"/>
    </row>
    <row r="50" spans="1:46" ht="32.25" customHeight="1" x14ac:dyDescent="0.25">
      <c r="A50" s="2021"/>
      <c r="B50" s="2021"/>
      <c r="C50" s="2229"/>
      <c r="D50" s="2229"/>
      <c r="E50" s="2229"/>
      <c r="F50" s="2229"/>
      <c r="G50" s="2233"/>
      <c r="H50" s="980"/>
      <c r="I50" s="980"/>
      <c r="J50" s="767" t="s">
        <v>15</v>
      </c>
      <c r="K50" s="1228" t="s">
        <v>16</v>
      </c>
      <c r="L50" s="944"/>
      <c r="M50" s="944"/>
      <c r="N50" s="2075"/>
      <c r="O50" s="2075"/>
      <c r="P50" s="2075"/>
      <c r="Q50" s="2231"/>
      <c r="R50" s="2004"/>
      <c r="S50" s="2075"/>
      <c r="T50" s="2075"/>
      <c r="U50" s="2075"/>
      <c r="V50" s="2079"/>
      <c r="W50" s="2227"/>
      <c r="X50" s="2185"/>
      <c r="Y50" s="375"/>
      <c r="Z50" s="375"/>
      <c r="AA50" s="375"/>
      <c r="AB50" s="375"/>
      <c r="AC50" s="375"/>
      <c r="AD50" s="375"/>
      <c r="AE50" s="375"/>
      <c r="AF50" s="375"/>
      <c r="AG50" s="250"/>
      <c r="AH50" s="250"/>
      <c r="AI50" s="249"/>
      <c r="AJ50" s="249"/>
      <c r="AK50" s="249"/>
      <c r="AL50" s="249"/>
      <c r="AM50" s="249"/>
      <c r="AN50" s="249"/>
      <c r="AO50" s="249"/>
      <c r="AP50" s="1226"/>
      <c r="AQ50" s="1226"/>
      <c r="AR50" s="2240"/>
      <c r="AS50" s="2208"/>
      <c r="AT50" s="9"/>
    </row>
    <row r="51" spans="1:46" s="124" customFormat="1" x14ac:dyDescent="0.25">
      <c r="A51" s="19">
        <v>1</v>
      </c>
      <c r="B51" s="55" t="s">
        <v>100</v>
      </c>
      <c r="C51" s="675">
        <v>1980</v>
      </c>
      <c r="D51" s="675">
        <v>3</v>
      </c>
      <c r="E51" s="675">
        <v>24</v>
      </c>
      <c r="F51" s="769">
        <v>59</v>
      </c>
      <c r="G51" s="770">
        <v>1440.6</v>
      </c>
      <c r="H51" s="951"/>
      <c r="I51" s="951"/>
      <c r="J51" s="1239">
        <v>51861.599999999999</v>
      </c>
      <c r="K51" s="1239">
        <v>47952.57</v>
      </c>
      <c r="L51" s="1240"/>
      <c r="M51" s="1240"/>
      <c r="N51" s="1241">
        <f t="shared" ref="N51:N63" si="24">O51+P51+Q51+R51+S51</f>
        <v>4541.8489229617408</v>
      </c>
      <c r="O51" s="1242">
        <v>4513.74</v>
      </c>
      <c r="P51" s="235">
        <f>270/13837.67*G51</f>
        <v>28.108922961741388</v>
      </c>
      <c r="Q51" s="1243"/>
      <c r="R51" s="1244"/>
      <c r="S51" s="1235"/>
      <c r="T51" s="236">
        <f t="shared" ref="T51:T63" si="25">J51-N51</f>
        <v>47319.751077038258</v>
      </c>
      <c r="U51" s="1235">
        <f t="shared" ref="U51:U64" si="26">K51/J51*100</f>
        <v>92.462573464760055</v>
      </c>
      <c r="V51" s="1245">
        <f>N51/G51/6</f>
        <v>0.52545801783536272</v>
      </c>
      <c r="W51" s="1242">
        <v>6</v>
      </c>
      <c r="X51" s="473">
        <f>J51-K51</f>
        <v>3909.0299999999988</v>
      </c>
      <c r="Y51" s="375"/>
      <c r="Z51" s="375"/>
      <c r="AA51" s="375"/>
      <c r="AB51" s="375"/>
      <c r="AC51" s="375"/>
      <c r="AD51" s="375"/>
      <c r="AE51" s="375"/>
      <c r="AF51" s="375"/>
      <c r="AG51" s="250"/>
      <c r="AH51" s="250"/>
      <c r="AI51" s="35"/>
      <c r="AJ51" s="35"/>
      <c r="AK51" s="30"/>
      <c r="AL51" s="67"/>
      <c r="AM51" s="67"/>
      <c r="AN51" s="68"/>
      <c r="AO51" s="67"/>
      <c r="AP51" s="68"/>
      <c r="AQ51" s="35"/>
      <c r="AR51" s="79"/>
      <c r="AS51" s="35"/>
      <c r="AT51" s="30"/>
    </row>
    <row r="52" spans="1:46" s="124" customFormat="1" x14ac:dyDescent="0.25">
      <c r="A52" s="19">
        <v>2</v>
      </c>
      <c r="B52" s="55" t="s">
        <v>101</v>
      </c>
      <c r="C52" s="775">
        <v>1978</v>
      </c>
      <c r="D52" s="775">
        <v>3</v>
      </c>
      <c r="E52" s="775">
        <v>24</v>
      </c>
      <c r="F52" s="672">
        <v>71</v>
      </c>
      <c r="G52" s="676">
        <v>1449.9</v>
      </c>
      <c r="H52" s="951"/>
      <c r="I52" s="951"/>
      <c r="J52" s="1239">
        <v>52196.4</v>
      </c>
      <c r="K52" s="1239">
        <v>44038.74</v>
      </c>
      <c r="L52" s="1240"/>
      <c r="M52" s="1240"/>
      <c r="N52" s="1241">
        <f t="shared" si="24"/>
        <v>28.290384147042097</v>
      </c>
      <c r="O52" s="1242"/>
      <c r="P52" s="235">
        <f t="shared" ref="P52:P63" si="27">270/13837.67*G52</f>
        <v>28.290384147042097</v>
      </c>
      <c r="Q52" s="1243"/>
      <c r="R52" s="1244"/>
      <c r="S52" s="1235"/>
      <c r="T52" s="236">
        <f t="shared" si="25"/>
        <v>52168.109615852962</v>
      </c>
      <c r="U52" s="1235">
        <f t="shared" si="26"/>
        <v>84.37122100374738</v>
      </c>
      <c r="V52" s="1245">
        <f t="shared" ref="V52:V64" si="28">N52/G52/6</f>
        <v>3.2519925681129842E-3</v>
      </c>
      <c r="W52" s="1242">
        <v>6</v>
      </c>
      <c r="X52" s="473">
        <f t="shared" ref="X52:X63" si="29">J52-K52</f>
        <v>8157.6600000000035</v>
      </c>
      <c r="Y52" s="375"/>
      <c r="Z52" s="375"/>
      <c r="AA52" s="375"/>
      <c r="AB52" s="375"/>
      <c r="AC52" s="375"/>
      <c r="AD52" s="375"/>
      <c r="AE52" s="375"/>
      <c r="AF52" s="375"/>
      <c r="AG52" s="250"/>
      <c r="AH52" s="250"/>
      <c r="AI52" s="35"/>
      <c r="AJ52" s="35"/>
      <c r="AK52" s="30"/>
      <c r="AL52" s="67"/>
      <c r="AM52" s="67"/>
      <c r="AN52" s="68"/>
      <c r="AO52" s="67"/>
      <c r="AP52" s="68"/>
      <c r="AQ52" s="35"/>
      <c r="AR52" s="79"/>
      <c r="AS52" s="35"/>
      <c r="AT52" s="30"/>
    </row>
    <row r="53" spans="1:46" s="124" customFormat="1" x14ac:dyDescent="0.25">
      <c r="A53" s="19">
        <v>3</v>
      </c>
      <c r="B53" s="55" t="s">
        <v>102</v>
      </c>
      <c r="C53" s="775">
        <v>1979</v>
      </c>
      <c r="D53" s="775">
        <v>3</v>
      </c>
      <c r="E53" s="775">
        <v>24</v>
      </c>
      <c r="F53" s="672">
        <v>79</v>
      </c>
      <c r="G53" s="676">
        <v>1460.41</v>
      </c>
      <c r="H53" s="951"/>
      <c r="I53" s="951"/>
      <c r="J53" s="1239">
        <v>52571.16</v>
      </c>
      <c r="K53" s="1239">
        <v>55710.93</v>
      </c>
      <c r="L53" s="1240"/>
      <c r="M53" s="1240"/>
      <c r="N53" s="1241">
        <f t="shared" si="24"/>
        <v>70.4954547983873</v>
      </c>
      <c r="O53" s="1242">
        <v>42</v>
      </c>
      <c r="P53" s="235">
        <f t="shared" si="27"/>
        <v>28.4954547983873</v>
      </c>
      <c r="Q53" s="1243"/>
      <c r="R53" s="1244"/>
      <c r="S53" s="1235"/>
      <c r="T53" s="236">
        <f t="shared" si="25"/>
        <v>52500.664545201616</v>
      </c>
      <c r="U53" s="1235">
        <f t="shared" si="26"/>
        <v>105.97241909822799</v>
      </c>
      <c r="V53" s="1245">
        <f t="shared" si="28"/>
        <v>8.0451670875972391E-3</v>
      </c>
      <c r="W53" s="1242">
        <v>6</v>
      </c>
      <c r="X53" s="473">
        <f t="shared" si="29"/>
        <v>-3139.7699999999968</v>
      </c>
      <c r="Y53" s="375"/>
      <c r="Z53" s="375"/>
      <c r="AA53" s="375"/>
      <c r="AB53" s="375"/>
      <c r="AC53" s="375"/>
      <c r="AD53" s="375"/>
      <c r="AE53" s="375"/>
      <c r="AF53" s="375"/>
      <c r="AG53" s="250"/>
      <c r="AH53" s="250"/>
      <c r="AI53" s="35"/>
      <c r="AJ53" s="35"/>
      <c r="AK53" s="30"/>
      <c r="AL53" s="67"/>
      <c r="AM53" s="67"/>
      <c r="AN53" s="68"/>
      <c r="AO53" s="67"/>
      <c r="AP53" s="68"/>
      <c r="AQ53" s="35"/>
      <c r="AR53" s="79"/>
      <c r="AS53" s="35"/>
      <c r="AT53" s="30"/>
    </row>
    <row r="54" spans="1:46" s="124" customFormat="1" x14ac:dyDescent="0.25">
      <c r="A54" s="19">
        <v>4</v>
      </c>
      <c r="B54" s="55" t="s">
        <v>103</v>
      </c>
      <c r="C54" s="775">
        <v>1986</v>
      </c>
      <c r="D54" s="775">
        <v>3</v>
      </c>
      <c r="E54" s="775">
        <v>24</v>
      </c>
      <c r="F54" s="672">
        <v>63</v>
      </c>
      <c r="G54" s="676">
        <v>1454.3</v>
      </c>
      <c r="H54" s="951"/>
      <c r="I54" s="951"/>
      <c r="J54" s="1239">
        <v>52354.8</v>
      </c>
      <c r="K54" s="1239">
        <v>49419.75</v>
      </c>
      <c r="L54" s="1240"/>
      <c r="M54" s="1240"/>
      <c r="N54" s="1241">
        <f t="shared" si="24"/>
        <v>67449.706236750848</v>
      </c>
      <c r="O54" s="1242">
        <v>26326.33</v>
      </c>
      <c r="P54" s="235">
        <f t="shared" si="27"/>
        <v>28.376236750840278</v>
      </c>
      <c r="Q54" s="1243"/>
      <c r="R54" s="1244">
        <v>41095</v>
      </c>
      <c r="S54" s="1235"/>
      <c r="T54" s="236">
        <f t="shared" si="25"/>
        <v>-15094.906236750845</v>
      </c>
      <c r="U54" s="1235">
        <f t="shared" si="26"/>
        <v>94.393923766302223</v>
      </c>
      <c r="V54" s="1245">
        <f t="shared" si="28"/>
        <v>7.7299165963866754</v>
      </c>
      <c r="W54" s="1242">
        <v>6</v>
      </c>
      <c r="X54" s="473">
        <f t="shared" si="29"/>
        <v>2935.0500000000029</v>
      </c>
      <c r="Y54" s="375"/>
      <c r="Z54" s="375"/>
      <c r="AA54" s="375"/>
      <c r="AB54" s="375"/>
      <c r="AC54" s="375"/>
      <c r="AD54" s="375"/>
      <c r="AE54" s="375"/>
      <c r="AF54" s="375"/>
      <c r="AG54" s="250"/>
      <c r="AH54" s="250"/>
      <c r="AI54" s="35"/>
      <c r="AJ54" s="35"/>
      <c r="AK54" s="30"/>
      <c r="AL54" s="67"/>
      <c r="AM54" s="67"/>
      <c r="AN54" s="68"/>
      <c r="AO54" s="67"/>
      <c r="AP54" s="68"/>
      <c r="AQ54" s="35"/>
      <c r="AR54" s="79"/>
      <c r="AS54" s="35"/>
      <c r="AT54" s="30"/>
    </row>
    <row r="55" spans="1:46" s="124" customFormat="1" x14ac:dyDescent="0.25">
      <c r="A55" s="19">
        <v>5</v>
      </c>
      <c r="B55" s="55" t="s">
        <v>104</v>
      </c>
      <c r="C55" s="775">
        <v>1985</v>
      </c>
      <c r="D55" s="775">
        <v>3</v>
      </c>
      <c r="E55" s="775">
        <v>24</v>
      </c>
      <c r="F55" s="672">
        <v>88</v>
      </c>
      <c r="G55" s="676">
        <v>1464.7</v>
      </c>
      <c r="H55" s="951"/>
      <c r="I55" s="951"/>
      <c r="J55" s="1239">
        <v>52714.8</v>
      </c>
      <c r="K55" s="1239">
        <v>51800.75</v>
      </c>
      <c r="L55" s="1240"/>
      <c r="M55" s="1240"/>
      <c r="N55" s="1241">
        <f t="shared" si="24"/>
        <v>28.579161087090529</v>
      </c>
      <c r="O55" s="1242"/>
      <c r="P55" s="235">
        <f t="shared" si="27"/>
        <v>28.579161087090529</v>
      </c>
      <c r="Q55" s="1243"/>
      <c r="R55" s="1244"/>
      <c r="S55" s="1235"/>
      <c r="T55" s="236">
        <f t="shared" si="25"/>
        <v>52686.220838912915</v>
      </c>
      <c r="U55" s="1235">
        <f t="shared" si="26"/>
        <v>98.266046726915405</v>
      </c>
      <c r="V55" s="1245">
        <f t="shared" si="28"/>
        <v>3.2519925681129842E-3</v>
      </c>
      <c r="W55" s="1242">
        <v>6</v>
      </c>
      <c r="X55" s="473">
        <f t="shared" si="29"/>
        <v>914.05000000000291</v>
      </c>
      <c r="Y55" s="375"/>
      <c r="Z55" s="375"/>
      <c r="AA55" s="375"/>
      <c r="AB55" s="375"/>
      <c r="AC55" s="375"/>
      <c r="AD55" s="375"/>
      <c r="AE55" s="375"/>
      <c r="AF55" s="375"/>
      <c r="AG55" s="250"/>
      <c r="AH55" s="250"/>
      <c r="AI55" s="35"/>
      <c r="AJ55" s="35"/>
      <c r="AK55" s="30"/>
      <c r="AL55" s="67"/>
      <c r="AM55" s="67"/>
      <c r="AN55" s="68"/>
      <c r="AO55" s="67"/>
      <c r="AP55" s="68"/>
      <c r="AQ55" s="35"/>
      <c r="AR55" s="79"/>
      <c r="AS55" s="35"/>
      <c r="AT55" s="30"/>
    </row>
    <row r="56" spans="1:46" s="124" customFormat="1" x14ac:dyDescent="0.25">
      <c r="A56" s="19">
        <v>6</v>
      </c>
      <c r="B56" s="55" t="s">
        <v>105</v>
      </c>
      <c r="C56" s="775">
        <v>12976</v>
      </c>
      <c r="D56" s="775">
        <v>23</v>
      </c>
      <c r="E56" s="775">
        <v>18</v>
      </c>
      <c r="F56" s="672">
        <v>35</v>
      </c>
      <c r="G56" s="676">
        <v>766.9</v>
      </c>
      <c r="H56" s="951"/>
      <c r="I56" s="951"/>
      <c r="J56" s="1239">
        <v>27608.400000000001</v>
      </c>
      <c r="K56" s="1239">
        <v>27019.81</v>
      </c>
      <c r="L56" s="1240"/>
      <c r="M56" s="1240"/>
      <c r="N56" s="1241">
        <f t="shared" si="24"/>
        <v>77.96371860291508</v>
      </c>
      <c r="O56" s="1242">
        <v>63</v>
      </c>
      <c r="P56" s="235">
        <f t="shared" si="27"/>
        <v>14.963718602915085</v>
      </c>
      <c r="Q56" s="1243"/>
      <c r="R56" s="1244"/>
      <c r="S56" s="1235"/>
      <c r="T56" s="236">
        <f t="shared" si="25"/>
        <v>27530.436281397087</v>
      </c>
      <c r="U56" s="1235">
        <f t="shared" si="26"/>
        <v>97.868076382550242</v>
      </c>
      <c r="V56" s="1245">
        <f t="shared" si="28"/>
        <v>1.6943477768269457E-2</v>
      </c>
      <c r="W56" s="1242">
        <v>6</v>
      </c>
      <c r="X56" s="473">
        <f t="shared" si="29"/>
        <v>588.59000000000015</v>
      </c>
      <c r="Y56" s="375"/>
      <c r="Z56" s="375"/>
      <c r="AA56" s="375"/>
      <c r="AB56" s="375"/>
      <c r="AC56" s="375"/>
      <c r="AD56" s="375"/>
      <c r="AE56" s="375"/>
      <c r="AF56" s="375"/>
      <c r="AG56" s="250"/>
      <c r="AH56" s="250"/>
      <c r="AI56" s="35"/>
      <c r="AJ56" s="35"/>
      <c r="AK56" s="30"/>
      <c r="AL56" s="67"/>
      <c r="AM56" s="67"/>
      <c r="AN56" s="68"/>
      <c r="AO56" s="67"/>
      <c r="AP56" s="68"/>
      <c r="AQ56" s="35"/>
      <c r="AR56" s="79"/>
      <c r="AS56" s="35"/>
      <c r="AT56" s="30"/>
    </row>
    <row r="57" spans="1:46" s="124" customFormat="1" x14ac:dyDescent="0.25">
      <c r="A57" s="19">
        <v>7</v>
      </c>
      <c r="B57" s="55" t="s">
        <v>106</v>
      </c>
      <c r="C57" s="775">
        <v>1975</v>
      </c>
      <c r="D57" s="775">
        <v>2</v>
      </c>
      <c r="E57" s="775">
        <v>18</v>
      </c>
      <c r="F57" s="672">
        <v>49</v>
      </c>
      <c r="G57" s="676">
        <v>778.78</v>
      </c>
      <c r="H57" s="951"/>
      <c r="I57" s="951"/>
      <c r="J57" s="1239">
        <v>27733.68</v>
      </c>
      <c r="K57" s="1239">
        <v>28388.25</v>
      </c>
      <c r="L57" s="1240"/>
      <c r="M57" s="1240"/>
      <c r="N57" s="1241">
        <f t="shared" si="24"/>
        <v>827.81552063317019</v>
      </c>
      <c r="O57" s="1242">
        <v>812.62</v>
      </c>
      <c r="P57" s="235">
        <f t="shared" si="27"/>
        <v>15.195520633170178</v>
      </c>
      <c r="Q57" s="1243"/>
      <c r="R57" s="1244"/>
      <c r="S57" s="1235"/>
      <c r="T57" s="236">
        <f t="shared" si="25"/>
        <v>26905.864479366832</v>
      </c>
      <c r="U57" s="1235">
        <f t="shared" si="26"/>
        <v>102.36019886289883</v>
      </c>
      <c r="V57" s="1245">
        <f t="shared" si="28"/>
        <v>0.17716075584743021</v>
      </c>
      <c r="W57" s="1242">
        <v>6</v>
      </c>
      <c r="X57" s="473">
        <f t="shared" si="29"/>
        <v>-654.56999999999971</v>
      </c>
      <c r="Y57" s="375"/>
      <c r="Z57" s="375"/>
      <c r="AA57" s="375"/>
      <c r="AB57" s="375"/>
      <c r="AC57" s="375"/>
      <c r="AD57" s="375"/>
      <c r="AE57" s="375"/>
      <c r="AF57" s="375"/>
      <c r="AG57" s="250"/>
      <c r="AH57" s="250"/>
      <c r="AI57" s="35"/>
      <c r="AJ57" s="35"/>
      <c r="AK57" s="30"/>
      <c r="AL57" s="67"/>
      <c r="AM57" s="67"/>
      <c r="AN57" s="68"/>
      <c r="AO57" s="67"/>
      <c r="AP57" s="68"/>
      <c r="AQ57" s="35"/>
      <c r="AR57" s="79"/>
      <c r="AS57" s="35"/>
      <c r="AT57" s="30"/>
    </row>
    <row r="58" spans="1:46" s="124" customFormat="1" x14ac:dyDescent="0.25">
      <c r="A58" s="21">
        <v>8</v>
      </c>
      <c r="B58" s="55" t="s">
        <v>113</v>
      </c>
      <c r="C58" s="775">
        <v>1973</v>
      </c>
      <c r="D58" s="775">
        <v>2</v>
      </c>
      <c r="E58" s="775">
        <v>16</v>
      </c>
      <c r="F58" s="672">
        <v>32</v>
      </c>
      <c r="G58" s="676">
        <v>722.8</v>
      </c>
      <c r="H58" s="951"/>
      <c r="I58" s="951"/>
      <c r="J58" s="1239">
        <v>26021.52</v>
      </c>
      <c r="K58" s="1239">
        <v>25647.23</v>
      </c>
      <c r="L58" s="1240"/>
      <c r="M58" s="1240"/>
      <c r="N58" s="1241">
        <f t="shared" si="24"/>
        <v>3939.0532413693923</v>
      </c>
      <c r="O58" s="1242">
        <v>3924.95</v>
      </c>
      <c r="P58" s="235">
        <f t="shared" si="27"/>
        <v>14.103241369392389</v>
      </c>
      <c r="Q58" s="1243"/>
      <c r="R58" s="1244"/>
      <c r="S58" s="1235"/>
      <c r="T58" s="236">
        <f t="shared" si="25"/>
        <v>22082.46675863061</v>
      </c>
      <c r="U58" s="1235">
        <f t="shared" si="26"/>
        <v>98.561613618266719</v>
      </c>
      <c r="V58" s="1245">
        <f t="shared" si="28"/>
        <v>0.90828565794350491</v>
      </c>
      <c r="W58" s="1242">
        <v>6</v>
      </c>
      <c r="X58" s="473">
        <f t="shared" si="29"/>
        <v>374.29000000000087</v>
      </c>
      <c r="Y58" s="375"/>
      <c r="Z58" s="375"/>
      <c r="AA58" s="375"/>
      <c r="AB58" s="375"/>
      <c r="AC58" s="375"/>
      <c r="AD58" s="375"/>
      <c r="AE58" s="375"/>
      <c r="AF58" s="375"/>
      <c r="AG58" s="250"/>
      <c r="AH58" s="250"/>
      <c r="AI58" s="35"/>
      <c r="AJ58" s="35"/>
      <c r="AK58" s="30"/>
      <c r="AL58" s="67"/>
      <c r="AM58" s="67"/>
      <c r="AN58" s="68"/>
      <c r="AO58" s="67"/>
      <c r="AP58" s="68"/>
      <c r="AQ58" s="35"/>
      <c r="AR58" s="79"/>
      <c r="AS58" s="35"/>
      <c r="AT58" s="30"/>
    </row>
    <row r="59" spans="1:46" s="124" customFormat="1" x14ac:dyDescent="0.25">
      <c r="A59" s="21">
        <v>9</v>
      </c>
      <c r="B59" s="55" t="s">
        <v>114</v>
      </c>
      <c r="C59" s="775">
        <v>1973</v>
      </c>
      <c r="D59" s="775">
        <v>2</v>
      </c>
      <c r="E59" s="775">
        <v>16</v>
      </c>
      <c r="F59" s="672">
        <v>46</v>
      </c>
      <c r="G59" s="676">
        <v>714.4</v>
      </c>
      <c r="H59" s="951"/>
      <c r="I59" s="951"/>
      <c r="J59" s="1239">
        <v>25714.799999999999</v>
      </c>
      <c r="K59" s="1239">
        <v>28629.03</v>
      </c>
      <c r="L59" s="1240"/>
      <c r="M59" s="1240"/>
      <c r="N59" s="1241">
        <f t="shared" si="24"/>
        <v>1000.6393409439595</v>
      </c>
      <c r="O59" s="1242">
        <v>986.7</v>
      </c>
      <c r="P59" s="235">
        <f t="shared" si="27"/>
        <v>13.939340943959495</v>
      </c>
      <c r="Q59" s="1243"/>
      <c r="R59" s="1244"/>
      <c r="S59" s="1235"/>
      <c r="T59" s="236">
        <f t="shared" si="25"/>
        <v>24714.16065905604</v>
      </c>
      <c r="U59" s="1235">
        <f t="shared" si="26"/>
        <v>111.33289000886649</v>
      </c>
      <c r="V59" s="1245">
        <f t="shared" si="28"/>
        <v>0.23344516166105811</v>
      </c>
      <c r="W59" s="1242">
        <v>6</v>
      </c>
      <c r="X59" s="473">
        <f t="shared" si="29"/>
        <v>-2914.2299999999996</v>
      </c>
      <c r="Y59" s="375"/>
      <c r="Z59" s="375"/>
      <c r="AA59" s="375"/>
      <c r="AB59" s="375"/>
      <c r="AC59" s="375"/>
      <c r="AD59" s="375"/>
      <c r="AE59" s="375"/>
      <c r="AF59" s="375"/>
      <c r="AG59" s="250"/>
      <c r="AH59" s="250"/>
      <c r="AI59" s="35"/>
      <c r="AJ59" s="35"/>
      <c r="AK59" s="30"/>
      <c r="AL59" s="67"/>
      <c r="AM59" s="67"/>
      <c r="AN59" s="68"/>
      <c r="AO59" s="67"/>
      <c r="AP59" s="68"/>
      <c r="AQ59" s="35"/>
      <c r="AR59" s="79"/>
      <c r="AS59" s="35"/>
      <c r="AT59" s="30"/>
    </row>
    <row r="60" spans="1:46" s="124" customFormat="1" x14ac:dyDescent="0.25">
      <c r="A60" s="21">
        <v>10</v>
      </c>
      <c r="B60" s="55" t="s">
        <v>117</v>
      </c>
      <c r="C60" s="775">
        <v>1969</v>
      </c>
      <c r="D60" s="775">
        <v>2</v>
      </c>
      <c r="E60" s="775">
        <v>16</v>
      </c>
      <c r="F60" s="672">
        <v>37</v>
      </c>
      <c r="G60" s="676">
        <v>716.27</v>
      </c>
      <c r="H60" s="951"/>
      <c r="I60" s="951"/>
      <c r="J60" s="1239">
        <v>25785.72</v>
      </c>
      <c r="K60" s="1239">
        <v>23202.35</v>
      </c>
      <c r="L60" s="1240"/>
      <c r="M60" s="1240"/>
      <c r="N60" s="1241">
        <f t="shared" si="24"/>
        <v>13864.975828300574</v>
      </c>
      <c r="O60" s="1242">
        <v>57</v>
      </c>
      <c r="P60" s="235">
        <f t="shared" si="27"/>
        <v>13.975828300573722</v>
      </c>
      <c r="Q60" s="1243">
        <v>13794</v>
      </c>
      <c r="R60" s="1244"/>
      <c r="S60" s="1235"/>
      <c r="T60" s="236">
        <f t="shared" si="25"/>
        <v>11920.744171699427</v>
      </c>
      <c r="U60" s="1235">
        <f t="shared" si="26"/>
        <v>89.981392801907404</v>
      </c>
      <c r="V60" s="1245">
        <f t="shared" si="28"/>
        <v>3.2261986467627604</v>
      </c>
      <c r="W60" s="1242">
        <v>6</v>
      </c>
      <c r="X60" s="473">
        <f t="shared" si="29"/>
        <v>2583.3700000000026</v>
      </c>
      <c r="Y60" s="375"/>
      <c r="Z60" s="375"/>
      <c r="AA60" s="375"/>
      <c r="AB60" s="375"/>
      <c r="AC60" s="375"/>
      <c r="AD60" s="375"/>
      <c r="AE60" s="375"/>
      <c r="AF60" s="375"/>
      <c r="AG60" s="250"/>
      <c r="AH60" s="250"/>
      <c r="AI60" s="35"/>
      <c r="AJ60" s="35"/>
      <c r="AK60" s="30"/>
      <c r="AL60" s="67"/>
      <c r="AM60" s="67"/>
      <c r="AN60" s="68"/>
      <c r="AO60" s="67"/>
      <c r="AP60" s="68"/>
      <c r="AQ60" s="35"/>
      <c r="AR60" s="79"/>
      <c r="AS60" s="35"/>
      <c r="AT60" s="30"/>
    </row>
    <row r="61" spans="1:46" s="124" customFormat="1" x14ac:dyDescent="0.25">
      <c r="A61" s="21">
        <v>11</v>
      </c>
      <c r="B61" s="55" t="s">
        <v>119</v>
      </c>
      <c r="C61" s="775">
        <v>1968</v>
      </c>
      <c r="D61" s="775">
        <v>2</v>
      </c>
      <c r="E61" s="775">
        <v>16</v>
      </c>
      <c r="F61" s="672">
        <v>54</v>
      </c>
      <c r="G61" s="676">
        <v>714.5</v>
      </c>
      <c r="H61" s="951"/>
      <c r="I61" s="951"/>
      <c r="J61" s="1239">
        <v>25722</v>
      </c>
      <c r="K61" s="1239">
        <v>21253.23</v>
      </c>
      <c r="L61" s="1246"/>
      <c r="M61" s="1246"/>
      <c r="N61" s="1241">
        <f t="shared" si="24"/>
        <v>13.941292139500364</v>
      </c>
      <c r="O61" s="1242"/>
      <c r="P61" s="235">
        <f t="shared" si="27"/>
        <v>13.941292139500364</v>
      </c>
      <c r="Q61" s="1243"/>
      <c r="R61" s="1244"/>
      <c r="S61" s="1235"/>
      <c r="T61" s="236">
        <f t="shared" si="25"/>
        <v>25708.058707860499</v>
      </c>
      <c r="U61" s="1235">
        <f t="shared" si="26"/>
        <v>82.626662001399581</v>
      </c>
      <c r="V61" s="1245">
        <f t="shared" si="28"/>
        <v>3.2519925681129842E-3</v>
      </c>
      <c r="W61" s="1242">
        <v>6</v>
      </c>
      <c r="X61" s="473">
        <f t="shared" si="29"/>
        <v>4468.7700000000004</v>
      </c>
      <c r="Y61" s="375"/>
      <c r="Z61" s="375"/>
      <c r="AA61" s="375"/>
      <c r="AB61" s="375"/>
      <c r="AC61" s="375"/>
      <c r="AD61" s="375"/>
      <c r="AE61" s="375"/>
      <c r="AF61" s="375"/>
      <c r="AG61" s="250"/>
      <c r="AH61" s="250"/>
      <c r="AI61" s="35"/>
      <c r="AJ61" s="35"/>
      <c r="AK61" s="30"/>
      <c r="AL61" s="67"/>
      <c r="AM61" s="67"/>
      <c r="AN61" s="68"/>
      <c r="AO61" s="67"/>
      <c r="AP61" s="68"/>
      <c r="AQ61" s="35"/>
      <c r="AR61" s="79"/>
      <c r="AS61" s="35"/>
      <c r="AT61" s="30"/>
    </row>
    <row r="62" spans="1:46" s="124" customFormat="1" x14ac:dyDescent="0.25">
      <c r="A62" s="263">
        <v>12</v>
      </c>
      <c r="B62" s="55" t="s">
        <v>121</v>
      </c>
      <c r="C62" s="776">
        <v>1970</v>
      </c>
      <c r="D62" s="776">
        <v>2</v>
      </c>
      <c r="E62" s="776">
        <v>16</v>
      </c>
      <c r="F62" s="777">
        <v>35</v>
      </c>
      <c r="G62" s="689">
        <v>714.01</v>
      </c>
      <c r="H62" s="971"/>
      <c r="I62" s="971"/>
      <c r="J62" s="1247">
        <v>25736.76</v>
      </c>
      <c r="K62" s="1247">
        <v>26979.06</v>
      </c>
      <c r="L62" s="1246"/>
      <c r="M62" s="1246"/>
      <c r="N62" s="1241">
        <f t="shared" si="24"/>
        <v>158.9317312813501</v>
      </c>
      <c r="O62" s="1248">
        <v>145</v>
      </c>
      <c r="P62" s="235">
        <f t="shared" si="27"/>
        <v>13.93173128135011</v>
      </c>
      <c r="Q62" s="1249"/>
      <c r="R62" s="1250"/>
      <c r="S62" s="1235"/>
      <c r="T62" s="236">
        <f t="shared" si="25"/>
        <v>25577.828268718647</v>
      </c>
      <c r="U62" s="1235">
        <f t="shared" si="26"/>
        <v>104.82694791418967</v>
      </c>
      <c r="V62" s="1245">
        <f t="shared" si="28"/>
        <v>3.7098390611090902E-2</v>
      </c>
      <c r="W62" s="1248">
        <v>6</v>
      </c>
      <c r="X62" s="473">
        <f t="shared" si="29"/>
        <v>-1242.3000000000029</v>
      </c>
      <c r="Y62" s="375"/>
      <c r="Z62" s="375"/>
      <c r="AA62" s="375"/>
      <c r="AB62" s="375"/>
      <c r="AC62" s="375"/>
      <c r="AD62" s="375"/>
      <c r="AE62" s="375"/>
      <c r="AF62" s="375"/>
      <c r="AG62" s="250"/>
      <c r="AH62" s="250"/>
      <c r="AI62" s="35"/>
      <c r="AJ62" s="35"/>
      <c r="AK62" s="30"/>
      <c r="AL62" s="67"/>
      <c r="AM62" s="67"/>
      <c r="AN62" s="68"/>
      <c r="AO62" s="67"/>
      <c r="AP62" s="68"/>
      <c r="AQ62" s="35"/>
      <c r="AR62" s="79"/>
      <c r="AS62" s="35"/>
      <c r="AT62" s="30"/>
    </row>
    <row r="63" spans="1:46" s="124" customFormat="1" x14ac:dyDescent="0.25">
      <c r="A63" s="251">
        <v>13</v>
      </c>
      <c r="B63" s="252" t="s">
        <v>123</v>
      </c>
      <c r="C63" s="776">
        <v>1990</v>
      </c>
      <c r="D63" s="776">
        <v>3</v>
      </c>
      <c r="E63" s="776">
        <v>24</v>
      </c>
      <c r="F63" s="777">
        <v>61</v>
      </c>
      <c r="G63" s="689">
        <v>1440.1</v>
      </c>
      <c r="H63" s="971"/>
      <c r="I63" s="971"/>
      <c r="J63" s="1247">
        <v>51969.599999999999</v>
      </c>
      <c r="K63" s="1247">
        <v>46714.77</v>
      </c>
      <c r="L63" s="1246"/>
      <c r="M63" s="1246"/>
      <c r="N63" s="1241">
        <f t="shared" si="24"/>
        <v>155.09916698403705</v>
      </c>
      <c r="O63" s="1248">
        <v>127</v>
      </c>
      <c r="P63" s="235">
        <f t="shared" si="27"/>
        <v>28.099166984037048</v>
      </c>
      <c r="Q63" s="1249"/>
      <c r="R63" s="1250"/>
      <c r="S63" s="1235"/>
      <c r="T63" s="236">
        <f t="shared" si="25"/>
        <v>51814.500833015962</v>
      </c>
      <c r="U63" s="1235">
        <f t="shared" si="26"/>
        <v>89.888646439456906</v>
      </c>
      <c r="V63" s="1245">
        <f t="shared" si="28"/>
        <v>1.7950045944035955E-2</v>
      </c>
      <c r="W63" s="1248">
        <v>6</v>
      </c>
      <c r="X63" s="473">
        <f t="shared" si="29"/>
        <v>5254.8300000000017</v>
      </c>
      <c r="Y63" s="375"/>
      <c r="Z63" s="375"/>
      <c r="AA63" s="375"/>
      <c r="AB63" s="375"/>
      <c r="AC63" s="375"/>
      <c r="AD63" s="375"/>
      <c r="AE63" s="375"/>
      <c r="AF63" s="375"/>
      <c r="AG63" s="250"/>
      <c r="AH63" s="250"/>
      <c r="AI63" s="35"/>
      <c r="AJ63" s="35"/>
      <c r="AK63" s="30"/>
      <c r="AL63" s="67"/>
      <c r="AM63" s="67"/>
      <c r="AN63" s="68"/>
      <c r="AO63" s="67"/>
      <c r="AP63" s="68"/>
      <c r="AQ63" s="35"/>
      <c r="AR63" s="79"/>
      <c r="AS63" s="35"/>
      <c r="AT63" s="30"/>
    </row>
    <row r="64" spans="1:46" s="124" customFormat="1" x14ac:dyDescent="0.25">
      <c r="A64" s="19"/>
      <c r="B64" s="396" t="s">
        <v>23</v>
      </c>
      <c r="C64" s="780"/>
      <c r="D64" s="780"/>
      <c r="E64" s="781">
        <f>SUM(E50:E63)</f>
        <v>260</v>
      </c>
      <c r="F64" s="781">
        <f>SUM(F50:F63)</f>
        <v>709</v>
      </c>
      <c r="G64" s="781">
        <f>SUM(G50:G63)</f>
        <v>13837.67</v>
      </c>
      <c r="H64" s="981"/>
      <c r="I64" s="981"/>
      <c r="J64" s="397">
        <f t="shared" ref="J64:T64" si="30">SUM(J51:J63)</f>
        <v>497991.24</v>
      </c>
      <c r="K64" s="397">
        <f t="shared" si="30"/>
        <v>476756.46999999991</v>
      </c>
      <c r="L64" s="1236"/>
      <c r="M64" s="1236"/>
      <c r="N64" s="397">
        <f t="shared" si="30"/>
        <v>92157.340000000026</v>
      </c>
      <c r="O64" s="468">
        <f t="shared" si="30"/>
        <v>36998.339999999997</v>
      </c>
      <c r="P64" s="397">
        <f t="shared" si="30"/>
        <v>270</v>
      </c>
      <c r="Q64" s="1251">
        <f t="shared" si="30"/>
        <v>13794</v>
      </c>
      <c r="R64" s="1251">
        <f t="shared" si="30"/>
        <v>41095</v>
      </c>
      <c r="S64" s="1237">
        <f t="shared" si="30"/>
        <v>0</v>
      </c>
      <c r="T64" s="1237">
        <f t="shared" si="30"/>
        <v>405833.9</v>
      </c>
      <c r="U64" s="1238">
        <f t="shared" si="26"/>
        <v>95.73591495304214</v>
      </c>
      <c r="V64" s="1252">
        <f t="shared" si="28"/>
        <v>1.109981425100228</v>
      </c>
      <c r="W64" s="468"/>
      <c r="X64" s="474">
        <f>SUM(X51:X63)</f>
        <v>21234.770000000015</v>
      </c>
      <c r="Y64" s="375"/>
      <c r="Z64" s="375"/>
      <c r="AA64" s="375"/>
      <c r="AB64" s="375"/>
      <c r="AC64" s="375"/>
      <c r="AD64" s="375"/>
      <c r="AE64" s="375"/>
      <c r="AF64" s="375"/>
      <c r="AG64" s="250"/>
      <c r="AH64" s="250"/>
      <c r="AI64" s="35"/>
      <c r="AJ64" s="35"/>
      <c r="AK64" s="30"/>
      <c r="AL64" s="67"/>
      <c r="AM64" s="67"/>
      <c r="AN64" s="68"/>
      <c r="AO64" s="67"/>
      <c r="AP64" s="68"/>
      <c r="AQ64" s="35"/>
      <c r="AR64" s="79"/>
      <c r="AS64" s="35"/>
      <c r="AT64" s="30"/>
    </row>
    <row r="65" spans="1:46" s="124" customFormat="1" x14ac:dyDescent="0.25">
      <c r="A65"/>
      <c r="B65"/>
      <c r="C65" s="375"/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786">
        <f>O64+P64</f>
        <v>37268.339999999997</v>
      </c>
      <c r="P65" s="375"/>
      <c r="Q65" s="787"/>
      <c r="R65" s="375"/>
      <c r="S65" s="375"/>
      <c r="T65" s="375"/>
      <c r="U65" s="375"/>
      <c r="V65" s="375"/>
      <c r="W65" s="375"/>
      <c r="X65" s="375"/>
      <c r="Y65" s="375"/>
      <c r="Z65" s="375"/>
      <c r="AA65" s="375"/>
      <c r="AB65" s="375"/>
      <c r="AC65" s="375"/>
      <c r="AD65" s="375"/>
      <c r="AE65" s="375"/>
      <c r="AF65" s="375"/>
      <c r="AG65" s="66"/>
      <c r="AH65" s="66"/>
      <c r="AI65" s="35"/>
      <c r="AJ65" s="35"/>
      <c r="AK65" s="30"/>
      <c r="AL65" s="67"/>
      <c r="AM65" s="67"/>
      <c r="AN65" s="68"/>
      <c r="AO65" s="67"/>
      <c r="AP65" s="71"/>
      <c r="AQ65" s="35"/>
      <c r="AR65" s="79"/>
      <c r="AS65" s="35"/>
      <c r="AT65" s="30"/>
    </row>
    <row r="66" spans="1:46" s="124" customFormat="1" x14ac:dyDescent="0.25">
      <c r="A66" s="80"/>
      <c r="B66" s="81"/>
      <c r="C66" s="788"/>
      <c r="D66" s="788"/>
      <c r="E66" s="788"/>
      <c r="F66" s="349"/>
      <c r="G66" s="349"/>
      <c r="H66" s="349"/>
      <c r="I66" s="349"/>
      <c r="J66" s="789"/>
      <c r="K66" s="789"/>
      <c r="L66" s="789"/>
      <c r="M66" s="789"/>
      <c r="N66" s="789"/>
      <c r="O66" s="789"/>
      <c r="P66" s="789"/>
      <c r="Q66" s="789"/>
      <c r="R66" s="789"/>
      <c r="S66" s="790"/>
      <c r="T66" s="789"/>
      <c r="U66" s="789"/>
      <c r="V66" s="789"/>
      <c r="W66" s="789"/>
      <c r="X66" s="375"/>
      <c r="Y66" s="375"/>
      <c r="Z66" s="375"/>
      <c r="AA66" s="375"/>
      <c r="AB66" s="375"/>
      <c r="AC66" s="375"/>
      <c r="AD66" s="375"/>
      <c r="AE66" s="375"/>
      <c r="AF66" s="375"/>
      <c r="AG66" s="66"/>
      <c r="AH66" s="66"/>
      <c r="AI66" s="35"/>
      <c r="AJ66" s="35"/>
      <c r="AK66" s="30"/>
      <c r="AL66" s="67"/>
      <c r="AM66" s="67"/>
      <c r="AN66" s="68"/>
      <c r="AO66" s="67"/>
      <c r="AP66" s="71"/>
      <c r="AQ66" s="35"/>
      <c r="AR66" s="79"/>
      <c r="AS66" s="35"/>
      <c r="AT66" s="30"/>
    </row>
    <row r="67" spans="1:46" s="124" customFormat="1" x14ac:dyDescent="0.25">
      <c r="A67" s="80"/>
      <c r="B67" s="82"/>
      <c r="C67" s="788"/>
      <c r="D67" s="788"/>
      <c r="E67" s="791"/>
      <c r="F67" s="791"/>
      <c r="G67" s="791"/>
      <c r="H67" s="791"/>
      <c r="I67" s="791"/>
      <c r="J67" s="792"/>
      <c r="K67" s="792"/>
      <c r="L67" s="792"/>
      <c r="M67" s="792"/>
      <c r="N67" s="792"/>
      <c r="O67" s="792"/>
      <c r="P67" s="793"/>
      <c r="Q67" s="793"/>
      <c r="R67" s="793"/>
      <c r="S67" s="792"/>
      <c r="T67" s="792"/>
      <c r="U67" s="792"/>
      <c r="V67" s="792"/>
      <c r="W67" s="792"/>
      <c r="X67" s="375"/>
      <c r="Y67" s="375"/>
      <c r="Z67" s="375"/>
      <c r="AA67" s="375"/>
      <c r="AB67" s="375"/>
      <c r="AC67" s="375"/>
      <c r="AD67" s="375"/>
      <c r="AE67" s="375"/>
      <c r="AF67" s="375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3"/>
      <c r="AS67" s="72"/>
      <c r="AT67" s="30"/>
    </row>
    <row r="68" spans="1:46" ht="23.25" customHeight="1" x14ac:dyDescent="0.3">
      <c r="B68" s="74" t="s">
        <v>638</v>
      </c>
      <c r="C68" s="765"/>
      <c r="D68" s="765"/>
      <c r="E68" s="765"/>
      <c r="F68" s="765"/>
      <c r="G68" s="765"/>
      <c r="H68" s="765"/>
      <c r="I68" s="765"/>
      <c r="J68" s="765"/>
      <c r="K68" s="765"/>
      <c r="L68" s="765"/>
      <c r="M68" s="765"/>
      <c r="N68" s="766"/>
      <c r="O68" s="766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</row>
    <row r="69" spans="1:46" ht="18" x14ac:dyDescent="0.25">
      <c r="A69" s="17"/>
      <c r="B69" s="1"/>
      <c r="C69" s="766"/>
      <c r="D69" s="766"/>
      <c r="E69" s="766"/>
      <c r="F69" s="766"/>
      <c r="G69" s="766"/>
      <c r="H69" s="766"/>
      <c r="I69" s="766"/>
      <c r="J69" s="766"/>
      <c r="K69" s="766"/>
      <c r="L69" s="766"/>
      <c r="M69" s="766"/>
      <c r="N69" s="766"/>
      <c r="O69" s="766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  <c r="AD69" s="375"/>
      <c r="AE69" s="375"/>
      <c r="AF69" s="375"/>
    </row>
    <row r="70" spans="1:46" ht="18" x14ac:dyDescent="0.25">
      <c r="A70" s="17"/>
      <c r="B70" s="1"/>
      <c r="C70" s="766"/>
      <c r="D70" s="766"/>
      <c r="E70" s="766"/>
      <c r="F70" s="766"/>
      <c r="G70" s="766"/>
      <c r="H70" s="766"/>
      <c r="I70" s="766"/>
      <c r="J70" s="766"/>
      <c r="K70" s="766"/>
      <c r="L70" s="766"/>
      <c r="M70" s="766"/>
      <c r="N70" s="766"/>
      <c r="O70" s="766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5"/>
      <c r="AD70" s="375"/>
      <c r="AE70" s="375"/>
      <c r="AF70" s="375"/>
    </row>
    <row r="71" spans="1:46" ht="27" customHeight="1" x14ac:dyDescent="0.25">
      <c r="A71" s="2020" t="s">
        <v>0</v>
      </c>
      <c r="B71" s="2020" t="s">
        <v>184</v>
      </c>
      <c r="C71" s="2228" t="s">
        <v>54</v>
      </c>
      <c r="D71" s="2228" t="s">
        <v>55</v>
      </c>
      <c r="E71" s="2228" t="s">
        <v>56</v>
      </c>
      <c r="F71" s="2228" t="s">
        <v>57</v>
      </c>
      <c r="G71" s="2232" t="s">
        <v>6</v>
      </c>
      <c r="H71" s="979"/>
      <c r="I71" s="979"/>
      <c r="J71" s="2087" t="s">
        <v>290</v>
      </c>
      <c r="K71" s="2088"/>
      <c r="L71" s="943"/>
      <c r="M71" s="943"/>
      <c r="N71" s="2074" t="s">
        <v>181</v>
      </c>
      <c r="O71" s="2074" t="s">
        <v>332</v>
      </c>
      <c r="P71" s="2074" t="s">
        <v>333</v>
      </c>
      <c r="Q71" s="2236" t="s">
        <v>308</v>
      </c>
      <c r="R71" s="2236" t="s">
        <v>317</v>
      </c>
      <c r="S71" s="2234" t="s">
        <v>461</v>
      </c>
      <c r="T71" s="2230" t="s">
        <v>313</v>
      </c>
      <c r="U71" s="2093" t="s">
        <v>554</v>
      </c>
      <c r="V71" s="2243" t="s">
        <v>264</v>
      </c>
      <c r="W71" s="2074" t="s">
        <v>175</v>
      </c>
      <c r="X71" s="2074" t="s">
        <v>183</v>
      </c>
      <c r="Y71" s="2080" t="s">
        <v>182</v>
      </c>
      <c r="Z71" s="2080" t="s">
        <v>182</v>
      </c>
      <c r="AA71" s="2226" t="s">
        <v>544</v>
      </c>
      <c r="AB71" s="2184" t="s">
        <v>566</v>
      </c>
      <c r="AC71" s="1028"/>
      <c r="AD71" s="375"/>
      <c r="AE71" s="375"/>
      <c r="AF71" s="375"/>
    </row>
    <row r="72" spans="1:46" ht="32.25" customHeight="1" x14ac:dyDescent="0.25">
      <c r="A72" s="2021"/>
      <c r="B72" s="2021"/>
      <c r="C72" s="2229"/>
      <c r="D72" s="2229"/>
      <c r="E72" s="2229"/>
      <c r="F72" s="2229"/>
      <c r="G72" s="2233"/>
      <c r="H72" s="980"/>
      <c r="I72" s="980"/>
      <c r="J72" s="767" t="s">
        <v>15</v>
      </c>
      <c r="K72" s="1228" t="s">
        <v>16</v>
      </c>
      <c r="L72" s="944"/>
      <c r="M72" s="944"/>
      <c r="N72" s="2075"/>
      <c r="O72" s="2075"/>
      <c r="P72" s="2075"/>
      <c r="Q72" s="2237"/>
      <c r="R72" s="2237"/>
      <c r="S72" s="2235"/>
      <c r="T72" s="2231"/>
      <c r="U72" s="2093"/>
      <c r="V72" s="2244"/>
      <c r="W72" s="2075"/>
      <c r="X72" s="2075"/>
      <c r="Y72" s="2079"/>
      <c r="Z72" s="2079"/>
      <c r="AA72" s="2227"/>
      <c r="AB72" s="2185"/>
      <c r="AC72" s="1028"/>
      <c r="AD72" s="375"/>
      <c r="AE72" s="375"/>
      <c r="AF72" s="375"/>
    </row>
    <row r="73" spans="1:46" x14ac:dyDescent="0.25">
      <c r="A73" s="19">
        <v>1</v>
      </c>
      <c r="B73" s="55" t="s">
        <v>100</v>
      </c>
      <c r="C73" s="745">
        <v>1980</v>
      </c>
      <c r="D73" s="745">
        <v>3</v>
      </c>
      <c r="E73" s="745">
        <v>24</v>
      </c>
      <c r="F73" s="349">
        <v>59</v>
      </c>
      <c r="G73" s="741">
        <v>1440.6</v>
      </c>
      <c r="H73" s="985"/>
      <c r="I73" s="985"/>
      <c r="J73" s="794">
        <v>20831.22</v>
      </c>
      <c r="K73" s="794">
        <v>17802.5</v>
      </c>
      <c r="L73" s="987"/>
      <c r="M73" s="987"/>
      <c r="N73" s="728">
        <f>O73+P73+Q73+R73+S73+T73+U73</f>
        <v>16404.392807514792</v>
      </c>
      <c r="O73" s="730">
        <v>87.85</v>
      </c>
      <c r="P73" s="730">
        <f>2763/8714.01*G73</f>
        <v>456.77911776552929</v>
      </c>
      <c r="Q73" s="795"/>
      <c r="R73" s="795"/>
      <c r="S73" s="796"/>
      <c r="T73" s="730">
        <f>79811.76/8714.01*G73</f>
        <v>13194.478943219021</v>
      </c>
      <c r="U73" s="730">
        <f>T73*0.202</f>
        <v>2665.2847465302425</v>
      </c>
      <c r="V73" s="1253">
        <v>174.9</v>
      </c>
      <c r="W73" s="730">
        <f t="shared" ref="W73:W79" si="31">J73-N73</f>
        <v>4426.8271924852088</v>
      </c>
      <c r="X73" s="730">
        <f>K73/J73*100</f>
        <v>85.460669130276571</v>
      </c>
      <c r="Y73" s="730">
        <f>N73/G73/11</f>
        <v>1.0351995259244755</v>
      </c>
      <c r="Z73" s="730">
        <f>N73/G73/6</f>
        <v>1.8978657975282049</v>
      </c>
      <c r="AA73" s="730">
        <v>2.41</v>
      </c>
      <c r="AB73" s="736">
        <f>J73-K73</f>
        <v>3028.7200000000012</v>
      </c>
      <c r="AC73" s="350"/>
      <c r="AD73" s="375"/>
      <c r="AE73" s="375"/>
      <c r="AF73" s="375"/>
    </row>
    <row r="74" spans="1:46" x14ac:dyDescent="0.25">
      <c r="A74" s="19">
        <v>2</v>
      </c>
      <c r="B74" s="55" t="s">
        <v>101</v>
      </c>
      <c r="C74" s="745">
        <v>1978</v>
      </c>
      <c r="D74" s="745">
        <v>3</v>
      </c>
      <c r="E74" s="745">
        <v>24</v>
      </c>
      <c r="F74" s="708">
        <v>71</v>
      </c>
      <c r="G74" s="741">
        <v>1449.9</v>
      </c>
      <c r="H74" s="985"/>
      <c r="I74" s="985"/>
      <c r="J74" s="794">
        <v>20965.62</v>
      </c>
      <c r="K74" s="794">
        <v>16823.11</v>
      </c>
      <c r="L74" s="987"/>
      <c r="M74" s="987"/>
      <c r="N74" s="728">
        <f t="shared" ref="N74:N79" si="32">O74+P74+Q74+R74+S74+T74+U74</f>
        <v>16509.726590736984</v>
      </c>
      <c r="O74" s="730">
        <v>87.85</v>
      </c>
      <c r="P74" s="730">
        <f t="shared" ref="P74:P78" si="33">2763/8714.01*G74</f>
        <v>459.72792089979242</v>
      </c>
      <c r="Q74" s="795"/>
      <c r="R74" s="795"/>
      <c r="S74" s="796"/>
      <c r="T74" s="730">
        <f t="shared" ref="T74:T78" si="34">79811.76/8714.01*G74</f>
        <v>13279.65779520565</v>
      </c>
      <c r="U74" s="730">
        <f t="shared" ref="U74:U78" si="35">T74*0.202</f>
        <v>2682.4908746315414</v>
      </c>
      <c r="V74" s="1253">
        <v>178.2</v>
      </c>
      <c r="W74" s="730">
        <f t="shared" si="31"/>
        <v>4455.8934092630152</v>
      </c>
      <c r="X74" s="730">
        <f t="shared" ref="X74:X79" si="36">K74/J74*100</f>
        <v>80.241414277278707</v>
      </c>
      <c r="Y74" s="730">
        <f t="shared" ref="Y74:Y78" si="37">N74/G74/11</f>
        <v>1.0351639668401571</v>
      </c>
      <c r="Z74" s="730">
        <f t="shared" ref="Z74:Z79" si="38">N74/G74/6</f>
        <v>1.8978006058736214</v>
      </c>
      <c r="AA74" s="730">
        <v>2.41</v>
      </c>
      <c r="AB74" s="736">
        <f t="shared" ref="AB74:AB78" si="39">J74-K74</f>
        <v>4142.5099999999984</v>
      </c>
      <c r="AC74" s="350"/>
      <c r="AD74" s="375"/>
      <c r="AE74" s="375"/>
      <c r="AF74" s="375"/>
    </row>
    <row r="75" spans="1:46" x14ac:dyDescent="0.25">
      <c r="A75" s="19">
        <v>3</v>
      </c>
      <c r="B75" s="55" t="s">
        <v>102</v>
      </c>
      <c r="C75" s="745">
        <v>1979</v>
      </c>
      <c r="D75" s="745">
        <v>3</v>
      </c>
      <c r="E75" s="745">
        <v>24</v>
      </c>
      <c r="F75" s="349">
        <v>79</v>
      </c>
      <c r="G75" s="741">
        <v>1460.41</v>
      </c>
      <c r="H75" s="985"/>
      <c r="I75" s="985"/>
      <c r="J75" s="794">
        <v>21116.04</v>
      </c>
      <c r="K75" s="794">
        <v>20813.14</v>
      </c>
      <c r="L75" s="987"/>
      <c r="M75" s="987"/>
      <c r="N75" s="728">
        <f t="shared" si="32"/>
        <v>16628.76509199131</v>
      </c>
      <c r="O75" s="730">
        <v>87.85</v>
      </c>
      <c r="P75" s="730">
        <f t="shared" si="33"/>
        <v>463.06038551711555</v>
      </c>
      <c r="Q75" s="795"/>
      <c r="R75" s="795"/>
      <c r="S75" s="796"/>
      <c r="T75" s="730">
        <f t="shared" si="34"/>
        <v>13375.919056966883</v>
      </c>
      <c r="U75" s="730">
        <f t="shared" si="35"/>
        <v>2701.9356495073102</v>
      </c>
      <c r="V75" s="1253">
        <v>178.6</v>
      </c>
      <c r="W75" s="730">
        <f t="shared" si="31"/>
        <v>4487.2749080086905</v>
      </c>
      <c r="X75" s="730">
        <f t="shared" si="36"/>
        <v>98.565545433708209</v>
      </c>
      <c r="Y75" s="730">
        <f t="shared" si="37"/>
        <v>1.0351243263561296</v>
      </c>
      <c r="Z75" s="730">
        <f t="shared" si="38"/>
        <v>1.8977279316529045</v>
      </c>
      <c r="AA75" s="730">
        <v>2.41</v>
      </c>
      <c r="AB75" s="736">
        <f t="shared" si="39"/>
        <v>302.90000000000146</v>
      </c>
      <c r="AC75" s="350"/>
      <c r="AD75" s="375"/>
      <c r="AE75" s="375"/>
      <c r="AF75" s="375"/>
    </row>
    <row r="76" spans="1:46" x14ac:dyDescent="0.25">
      <c r="A76" s="19">
        <v>4</v>
      </c>
      <c r="B76" s="55" t="s">
        <v>103</v>
      </c>
      <c r="C76" s="745">
        <v>1986</v>
      </c>
      <c r="D76" s="745">
        <v>3</v>
      </c>
      <c r="E76" s="745">
        <v>24</v>
      </c>
      <c r="F76" s="746">
        <v>63</v>
      </c>
      <c r="G76" s="741">
        <v>1454.3</v>
      </c>
      <c r="H76" s="985"/>
      <c r="I76" s="985"/>
      <c r="J76" s="794">
        <v>20941.919999999998</v>
      </c>
      <c r="K76" s="794">
        <v>19851.560000000001</v>
      </c>
      <c r="L76" s="987"/>
      <c r="M76" s="987"/>
      <c r="N76" s="728">
        <f t="shared" si="32"/>
        <v>16559.561929035655</v>
      </c>
      <c r="O76" s="730">
        <v>87.85</v>
      </c>
      <c r="P76" s="730">
        <f t="shared" si="33"/>
        <v>461.12305356546523</v>
      </c>
      <c r="Q76" s="795"/>
      <c r="R76" s="795"/>
      <c r="S76" s="796"/>
      <c r="T76" s="730">
        <f t="shared" si="34"/>
        <v>13319.957467113301</v>
      </c>
      <c r="U76" s="730">
        <f t="shared" si="35"/>
        <v>2690.6314083568873</v>
      </c>
      <c r="V76" s="1253">
        <v>179.8</v>
      </c>
      <c r="W76" s="730">
        <f t="shared" si="31"/>
        <v>4382.3580709643429</v>
      </c>
      <c r="X76" s="730">
        <f t="shared" si="36"/>
        <v>94.793409582311469</v>
      </c>
      <c r="Y76" s="730">
        <f t="shared" si="37"/>
        <v>1.0351473016718857</v>
      </c>
      <c r="Z76" s="730">
        <f t="shared" si="38"/>
        <v>1.8977700530651236</v>
      </c>
      <c r="AA76" s="730">
        <v>2.4</v>
      </c>
      <c r="AB76" s="736">
        <f t="shared" si="39"/>
        <v>1090.3599999999969</v>
      </c>
      <c r="AC76" s="350"/>
      <c r="AD76" s="375"/>
      <c r="AE76" s="375"/>
      <c r="AF76" s="375"/>
    </row>
    <row r="77" spans="1:46" x14ac:dyDescent="0.25">
      <c r="A77" s="19">
        <v>5</v>
      </c>
      <c r="B77" s="55" t="s">
        <v>104</v>
      </c>
      <c r="C77" s="745">
        <v>1985</v>
      </c>
      <c r="D77" s="745">
        <v>3</v>
      </c>
      <c r="E77" s="745">
        <v>24</v>
      </c>
      <c r="F77" s="708">
        <v>88</v>
      </c>
      <c r="G77" s="741">
        <v>1464.7</v>
      </c>
      <c r="H77" s="985"/>
      <c r="I77" s="985"/>
      <c r="J77" s="794">
        <v>21085.919999999998</v>
      </c>
      <c r="K77" s="794">
        <v>21023.08</v>
      </c>
      <c r="L77" s="987"/>
      <c r="M77" s="987"/>
      <c r="N77" s="728">
        <f t="shared" si="32"/>
        <v>16677.35454683251</v>
      </c>
      <c r="O77" s="730">
        <v>87.85</v>
      </c>
      <c r="P77" s="730">
        <f t="shared" si="33"/>
        <v>464.42063986614659</v>
      </c>
      <c r="Q77" s="797"/>
      <c r="R77" s="795"/>
      <c r="S77" s="796"/>
      <c r="T77" s="730">
        <f t="shared" si="34"/>
        <v>13415.211237076843</v>
      </c>
      <c r="U77" s="730">
        <f t="shared" si="35"/>
        <v>2709.8726698895225</v>
      </c>
      <c r="V77" s="1253">
        <v>179.9</v>
      </c>
      <c r="W77" s="730">
        <f t="shared" si="31"/>
        <v>4408.5654531674882</v>
      </c>
      <c r="X77" s="730">
        <f t="shared" si="36"/>
        <v>99.701981227283426</v>
      </c>
      <c r="Y77" s="730">
        <f t="shared" si="37"/>
        <v>1.0351083092927817</v>
      </c>
      <c r="Z77" s="730">
        <f t="shared" si="38"/>
        <v>1.8976985670367663</v>
      </c>
      <c r="AA77" s="730">
        <v>2.4</v>
      </c>
      <c r="AB77" s="736">
        <f t="shared" si="39"/>
        <v>62.839999999996508</v>
      </c>
      <c r="AC77" s="350"/>
      <c r="AD77" s="375"/>
      <c r="AE77" s="375"/>
      <c r="AF77" s="375"/>
    </row>
    <row r="78" spans="1:46" x14ac:dyDescent="0.25">
      <c r="A78" s="251">
        <v>6</v>
      </c>
      <c r="B78" s="252" t="s">
        <v>123</v>
      </c>
      <c r="C78" s="748">
        <v>1990</v>
      </c>
      <c r="D78" s="748">
        <v>3</v>
      </c>
      <c r="E78" s="748">
        <v>24</v>
      </c>
      <c r="F78" s="349">
        <v>61</v>
      </c>
      <c r="G78" s="798">
        <v>1444.1</v>
      </c>
      <c r="H78" s="986"/>
      <c r="I78" s="986"/>
      <c r="J78" s="799">
        <v>20787.84</v>
      </c>
      <c r="K78" s="799">
        <v>18697.91</v>
      </c>
      <c r="L78" s="988"/>
      <c r="M78" s="988"/>
      <c r="N78" s="751">
        <f t="shared" si="32"/>
        <v>16444.034553888734</v>
      </c>
      <c r="O78" s="752">
        <v>87.85</v>
      </c>
      <c r="P78" s="730">
        <f t="shared" si="33"/>
        <v>457.88888238595086</v>
      </c>
      <c r="Q78" s="800"/>
      <c r="R78" s="800"/>
      <c r="S78" s="801"/>
      <c r="T78" s="730">
        <f t="shared" si="34"/>
        <v>13226.535500418289</v>
      </c>
      <c r="U78" s="730">
        <f t="shared" si="35"/>
        <v>2671.7601710844947</v>
      </c>
      <c r="V78" s="1254">
        <v>119.3</v>
      </c>
      <c r="W78" s="730">
        <f t="shared" si="31"/>
        <v>4343.8054461112661</v>
      </c>
      <c r="X78" s="730">
        <f t="shared" si="36"/>
        <v>89.946382115698412</v>
      </c>
      <c r="Y78" s="730">
        <f t="shared" si="37"/>
        <v>1.0351860897248828</v>
      </c>
      <c r="Z78" s="730">
        <f t="shared" si="38"/>
        <v>1.8978411644956183</v>
      </c>
      <c r="AA78" s="752">
        <v>2.4</v>
      </c>
      <c r="AB78" s="736">
        <f t="shared" si="39"/>
        <v>2089.9300000000003</v>
      </c>
      <c r="AC78" s="350"/>
      <c r="AD78" s="375"/>
      <c r="AE78" s="375"/>
      <c r="AF78" s="375"/>
    </row>
    <row r="79" spans="1:46" s="250" customFormat="1" x14ac:dyDescent="0.25">
      <c r="A79" s="19"/>
      <c r="B79" s="392" t="s">
        <v>23</v>
      </c>
      <c r="C79" s="745"/>
      <c r="D79" s="780"/>
      <c r="E79" s="781">
        <f>SUM(E72:E78)</f>
        <v>144</v>
      </c>
      <c r="F79" s="781">
        <f>SUM(F72:F78)</f>
        <v>421</v>
      </c>
      <c r="G79" s="781">
        <f>SUM(G72:G78)</f>
        <v>8714.01</v>
      </c>
      <c r="H79" s="981"/>
      <c r="I79" s="981"/>
      <c r="J79" s="639">
        <f>SUM(J73:J78)</f>
        <v>125728.55999999998</v>
      </c>
      <c r="K79" s="639">
        <f>SUM(K73:K78)</f>
        <v>115011.3</v>
      </c>
      <c r="L79" s="989"/>
      <c r="M79" s="989"/>
      <c r="N79" s="639">
        <f t="shared" si="32"/>
        <v>99223.835519999993</v>
      </c>
      <c r="O79" s="640">
        <f>SUM(O73:O78)</f>
        <v>527.1</v>
      </c>
      <c r="P79" s="640">
        <f>SUM(P73:P78)</f>
        <v>2763</v>
      </c>
      <c r="Q79" s="802"/>
      <c r="R79" s="802"/>
      <c r="S79" s="803"/>
      <c r="T79" s="783">
        <f>SUM(T73:T78)</f>
        <v>79811.759999999995</v>
      </c>
      <c r="U79" s="783">
        <f>SUM(U73:U78)</f>
        <v>16121.975519999996</v>
      </c>
      <c r="V79" s="1255">
        <f>SUM(V73:V78)</f>
        <v>1010.6999999999999</v>
      </c>
      <c r="W79" s="640">
        <f t="shared" si="31"/>
        <v>26504.72447999999</v>
      </c>
      <c r="X79" s="783">
        <f t="shared" si="36"/>
        <v>91.475874693864327</v>
      </c>
      <c r="Y79" s="804">
        <f>N79/G79/11</f>
        <v>1.0351547317063399</v>
      </c>
      <c r="Z79" s="1256">
        <f t="shared" si="38"/>
        <v>1.8977836747949564</v>
      </c>
      <c r="AA79" s="661"/>
      <c r="AB79" s="647">
        <f>SUM(AB73:AB78)</f>
        <v>10717.259999999995</v>
      </c>
      <c r="AC79" s="1029"/>
      <c r="AD79" s="375"/>
      <c r="AE79" s="375"/>
      <c r="AF79" s="375"/>
      <c r="AR79" s="269"/>
    </row>
    <row r="80" spans="1:46" x14ac:dyDescent="0.25">
      <c r="C80" s="375"/>
      <c r="D80" s="375"/>
      <c r="E80" s="375"/>
      <c r="F80" s="375"/>
      <c r="G80" s="375"/>
      <c r="H80" s="375"/>
      <c r="I80" s="375"/>
      <c r="J80" s="375"/>
      <c r="K80" s="375"/>
      <c r="L80" s="375"/>
      <c r="M80" s="375"/>
      <c r="N80" s="375"/>
      <c r="O80" s="786">
        <f>O79+P79</f>
        <v>3290.1</v>
      </c>
      <c r="P80" s="349"/>
      <c r="Q80" s="806"/>
      <c r="R80" s="349"/>
      <c r="S80" s="375"/>
      <c r="T80" s="786">
        <f>T79+U79</f>
        <v>95933.735519999987</v>
      </c>
      <c r="U80" s="375"/>
      <c r="V80" s="375"/>
      <c r="W80" s="375"/>
      <c r="X80" s="375"/>
      <c r="Y80" s="375"/>
      <c r="Z80" s="375"/>
      <c r="AA80" s="375"/>
      <c r="AB80" s="375"/>
      <c r="AC80" s="375"/>
      <c r="AD80" s="375"/>
      <c r="AE80" s="375"/>
      <c r="AF80" s="375"/>
    </row>
    <row r="81" spans="1:32" x14ac:dyDescent="0.25">
      <c r="B81" s="395"/>
      <c r="C81" s="787"/>
      <c r="D81" s="787"/>
      <c r="E81" s="787"/>
      <c r="F81" s="787"/>
      <c r="G81" s="787"/>
      <c r="H81" s="787"/>
      <c r="I81" s="787"/>
      <c r="J81" s="807"/>
      <c r="K81" s="807"/>
      <c r="L81" s="807"/>
      <c r="M81" s="807"/>
      <c r="N81" s="375"/>
      <c r="O81" s="375"/>
      <c r="P81" s="349"/>
      <c r="Q81" s="349"/>
      <c r="R81" s="349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5"/>
      <c r="AD81" s="375"/>
      <c r="AE81" s="375"/>
      <c r="AF81" s="375"/>
    </row>
    <row r="82" spans="1:32" x14ac:dyDescent="0.25">
      <c r="B82" s="395"/>
      <c r="C82" s="787"/>
      <c r="D82" s="787"/>
      <c r="E82" s="787"/>
      <c r="F82" s="787"/>
      <c r="G82" s="787"/>
      <c r="H82" s="787"/>
      <c r="I82" s="787"/>
      <c r="J82" s="807"/>
      <c r="K82" s="807"/>
      <c r="L82" s="807"/>
      <c r="M82" s="807"/>
      <c r="N82" s="375"/>
      <c r="O82" s="375"/>
      <c r="P82" s="349"/>
      <c r="Q82" s="349"/>
      <c r="R82" s="349"/>
      <c r="S82" s="375"/>
      <c r="T82" s="375"/>
      <c r="U82" s="375"/>
      <c r="V82" s="375"/>
      <c r="W82" s="375"/>
      <c r="X82" s="375"/>
      <c r="Y82" s="375"/>
      <c r="Z82" s="375"/>
      <c r="AA82" s="375"/>
      <c r="AB82" s="375"/>
      <c r="AC82" s="375"/>
      <c r="AD82" s="375"/>
      <c r="AE82" s="375"/>
      <c r="AF82" s="375"/>
    </row>
    <row r="83" spans="1:32" x14ac:dyDescent="0.25">
      <c r="C83" s="375"/>
      <c r="D83" s="375"/>
      <c r="E83" s="375"/>
      <c r="F83" s="375"/>
      <c r="G83" s="375"/>
      <c r="H83" s="375"/>
      <c r="I83" s="375"/>
      <c r="J83" s="808"/>
      <c r="K83" s="808"/>
      <c r="L83" s="808"/>
      <c r="M83" s="808"/>
      <c r="N83" s="375"/>
      <c r="O83" s="375"/>
      <c r="P83" s="349"/>
      <c r="Q83" s="349"/>
      <c r="R83" s="349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  <c r="AE83" s="375"/>
      <c r="AF83" s="375"/>
    </row>
    <row r="84" spans="1:32" ht="18.75" x14ac:dyDescent="0.3">
      <c r="B84" s="74" t="s">
        <v>639</v>
      </c>
      <c r="C84" s="765"/>
      <c r="D84" s="765"/>
      <c r="E84" s="765"/>
      <c r="F84" s="765"/>
      <c r="G84" s="765"/>
      <c r="H84" s="765"/>
      <c r="I84" s="765"/>
      <c r="J84" s="765"/>
      <c r="K84" s="765"/>
      <c r="L84" s="765"/>
      <c r="M84" s="765"/>
      <c r="N84" s="766"/>
      <c r="O84" s="766"/>
      <c r="P84" s="375"/>
      <c r="Q84" s="375"/>
      <c r="R84" s="375"/>
      <c r="S84" s="375"/>
      <c r="T84" s="375"/>
      <c r="U84" s="375"/>
      <c r="V84" s="375"/>
      <c r="W84" s="375"/>
      <c r="X84" s="375"/>
      <c r="Y84" s="375"/>
      <c r="Z84" s="375"/>
      <c r="AA84" s="375"/>
      <c r="AB84" s="375"/>
      <c r="AC84" s="375"/>
      <c r="AD84" s="375"/>
      <c r="AE84" s="375"/>
      <c r="AF84" s="375"/>
    </row>
    <row r="85" spans="1:32" ht="18" x14ac:dyDescent="0.25">
      <c r="A85" s="17"/>
      <c r="B85" s="1"/>
      <c r="C85" s="766"/>
      <c r="D85" s="766"/>
      <c r="E85" s="766"/>
      <c r="F85" s="766"/>
      <c r="G85" s="766"/>
      <c r="H85" s="766"/>
      <c r="I85" s="766"/>
      <c r="J85" s="766"/>
      <c r="K85" s="766"/>
      <c r="L85" s="766"/>
      <c r="M85" s="766"/>
      <c r="N85" s="766"/>
      <c r="O85" s="766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  <c r="AE85" s="375"/>
      <c r="AF85" s="375"/>
    </row>
    <row r="86" spans="1:32" ht="18" x14ac:dyDescent="0.25">
      <c r="A86" s="17"/>
      <c r="B86" s="1"/>
      <c r="C86" s="766"/>
      <c r="D86" s="766"/>
      <c r="E86" s="766"/>
      <c r="F86" s="766"/>
      <c r="G86" s="766"/>
      <c r="H86" s="766"/>
      <c r="I86" s="766"/>
      <c r="J86" s="766"/>
      <c r="K86" s="766"/>
      <c r="L86" s="766"/>
      <c r="M86" s="766"/>
      <c r="N86" s="766"/>
      <c r="O86" s="766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  <c r="AD86" s="375"/>
      <c r="AE86" s="375"/>
      <c r="AF86" s="375"/>
    </row>
    <row r="87" spans="1:32" ht="21" customHeight="1" x14ac:dyDescent="0.25">
      <c r="A87" s="2020" t="s">
        <v>0</v>
      </c>
      <c r="B87" s="2020" t="s">
        <v>184</v>
      </c>
      <c r="C87" s="2228" t="s">
        <v>54</v>
      </c>
      <c r="D87" s="2228" t="s">
        <v>55</v>
      </c>
      <c r="E87" s="2228" t="s">
        <v>56</v>
      </c>
      <c r="F87" s="2228" t="s">
        <v>57</v>
      </c>
      <c r="G87" s="2232" t="s">
        <v>6</v>
      </c>
      <c r="H87" s="979"/>
      <c r="I87" s="979"/>
      <c r="J87" s="2087" t="s">
        <v>552</v>
      </c>
      <c r="K87" s="2088"/>
      <c r="L87" s="943"/>
      <c r="M87" s="943"/>
      <c r="N87" s="2074" t="s">
        <v>181</v>
      </c>
      <c r="O87" s="2074" t="s">
        <v>332</v>
      </c>
      <c r="P87" s="2074" t="s">
        <v>333</v>
      </c>
      <c r="Q87" s="2236" t="s">
        <v>308</v>
      </c>
      <c r="R87" s="2236" t="s">
        <v>317</v>
      </c>
      <c r="S87" s="2238" t="s">
        <v>588</v>
      </c>
      <c r="T87" s="2230" t="s">
        <v>313</v>
      </c>
      <c r="U87" s="2093" t="s">
        <v>554</v>
      </c>
      <c r="V87" s="2074"/>
      <c r="W87" s="2074" t="s">
        <v>175</v>
      </c>
      <c r="X87" s="2074" t="s">
        <v>183</v>
      </c>
      <c r="Y87" s="2080" t="s">
        <v>182</v>
      </c>
      <c r="Z87" s="2226" t="s">
        <v>544</v>
      </c>
      <c r="AA87" s="2184" t="s">
        <v>566</v>
      </c>
      <c r="AB87" s="375"/>
      <c r="AC87" s="375"/>
      <c r="AD87" s="375"/>
      <c r="AE87" s="375"/>
      <c r="AF87" s="375"/>
    </row>
    <row r="88" spans="1:32" ht="33" customHeight="1" x14ac:dyDescent="0.25">
      <c r="A88" s="2021"/>
      <c r="B88" s="2021"/>
      <c r="C88" s="2229"/>
      <c r="D88" s="2229"/>
      <c r="E88" s="2229"/>
      <c r="F88" s="2229"/>
      <c r="G88" s="2233"/>
      <c r="H88" s="980"/>
      <c r="I88" s="980"/>
      <c r="J88" s="767" t="s">
        <v>15</v>
      </c>
      <c r="K88" s="1228" t="s">
        <v>16</v>
      </c>
      <c r="L88" s="944"/>
      <c r="M88" s="944"/>
      <c r="N88" s="2075"/>
      <c r="O88" s="2075"/>
      <c r="P88" s="2075"/>
      <c r="Q88" s="2237"/>
      <c r="R88" s="2237"/>
      <c r="S88" s="2239"/>
      <c r="T88" s="2231"/>
      <c r="U88" s="2093"/>
      <c r="V88" s="2075"/>
      <c r="W88" s="2075"/>
      <c r="X88" s="2075"/>
      <c r="Y88" s="2079"/>
      <c r="Z88" s="2227"/>
      <c r="AA88" s="2185"/>
      <c r="AB88" s="375"/>
      <c r="AC88" s="375"/>
      <c r="AD88" s="375"/>
      <c r="AE88" s="375"/>
      <c r="AF88" s="375"/>
    </row>
    <row r="89" spans="1:32" x14ac:dyDescent="0.25">
      <c r="A89" s="19">
        <v>1</v>
      </c>
      <c r="B89" s="55" t="s">
        <v>100</v>
      </c>
      <c r="C89" s="745">
        <v>1980</v>
      </c>
      <c r="D89" s="745">
        <v>3</v>
      </c>
      <c r="E89" s="745">
        <v>24</v>
      </c>
      <c r="F89" s="349">
        <v>59</v>
      </c>
      <c r="G89" s="741">
        <v>1440.6</v>
      </c>
      <c r="H89" s="985"/>
      <c r="I89" s="985"/>
      <c r="J89" s="794">
        <v>8643.6</v>
      </c>
      <c r="K89" s="794">
        <v>7992.1</v>
      </c>
      <c r="L89" s="987"/>
      <c r="M89" s="987"/>
      <c r="N89" s="728">
        <f>O89+P89+Q89+R89+S89+T89+U89</f>
        <v>1526.2106482816016</v>
      </c>
      <c r="O89" s="730"/>
      <c r="P89" s="730"/>
      <c r="Q89" s="795"/>
      <c r="R89" s="795"/>
      <c r="S89" s="743">
        <f>2500/13841.67*G89</f>
        <v>260.19259236782847</v>
      </c>
      <c r="T89" s="730">
        <f>10120/13841.67*G89</f>
        <v>1053.2596139049695</v>
      </c>
      <c r="U89" s="730">
        <f>T89*0.202</f>
        <v>212.75844200880385</v>
      </c>
      <c r="V89" s="730"/>
      <c r="W89" s="730">
        <f>J89-N89</f>
        <v>7117.3893517183988</v>
      </c>
      <c r="X89" s="730">
        <f>K89/J89*100</f>
        <v>92.462631311027806</v>
      </c>
      <c r="Y89" s="730"/>
      <c r="Z89" s="730">
        <v>1</v>
      </c>
      <c r="AA89" s="736">
        <f>J89-K89</f>
        <v>651.5</v>
      </c>
      <c r="AB89" s="375"/>
      <c r="AC89" s="375"/>
      <c r="AD89" s="375"/>
      <c r="AE89" s="375"/>
      <c r="AF89" s="375"/>
    </row>
    <row r="90" spans="1:32" x14ac:dyDescent="0.25">
      <c r="A90" s="19">
        <v>2</v>
      </c>
      <c r="B90" s="55" t="s">
        <v>101</v>
      </c>
      <c r="C90" s="745">
        <v>1978</v>
      </c>
      <c r="D90" s="745">
        <v>3</v>
      </c>
      <c r="E90" s="745">
        <v>24</v>
      </c>
      <c r="F90" s="708">
        <v>71</v>
      </c>
      <c r="G90" s="741">
        <v>1449.9</v>
      </c>
      <c r="H90" s="985"/>
      <c r="I90" s="985"/>
      <c r="J90" s="794">
        <v>8699.4</v>
      </c>
      <c r="K90" s="794">
        <v>7514.69</v>
      </c>
      <c r="L90" s="987"/>
      <c r="M90" s="987"/>
      <c r="N90" s="728">
        <f t="shared" ref="N90:N101" si="40">O90+P90+Q90+R90+S90+T90+U90</f>
        <v>1536.063320105161</v>
      </c>
      <c r="O90" s="730"/>
      <c r="P90" s="730"/>
      <c r="Q90" s="795"/>
      <c r="R90" s="795"/>
      <c r="S90" s="743">
        <f t="shared" ref="S90:S101" si="41">2500/13841.67*G90</f>
        <v>261.87230298078197</v>
      </c>
      <c r="T90" s="730">
        <f t="shared" ref="T90:T101" si="42">10120/13841.67*G90</f>
        <v>1060.0590824662054</v>
      </c>
      <c r="U90" s="730">
        <f t="shared" ref="U90:U101" si="43">T90*0.202</f>
        <v>214.13193465817349</v>
      </c>
      <c r="V90" s="730"/>
      <c r="W90" s="730">
        <f t="shared" ref="W90:W102" si="44">J90-N90</f>
        <v>7163.3366798948391</v>
      </c>
      <c r="X90" s="730">
        <f t="shared" ref="X90:X102" si="45">K90/J90*100</f>
        <v>86.381704485366811</v>
      </c>
      <c r="Y90" s="730"/>
      <c r="Z90" s="730">
        <v>1</v>
      </c>
      <c r="AA90" s="736">
        <f t="shared" ref="AA90:AA101" si="46">J90-K90</f>
        <v>1184.71</v>
      </c>
      <c r="AB90" s="375"/>
      <c r="AC90" s="375"/>
      <c r="AD90" s="375"/>
      <c r="AE90" s="375"/>
      <c r="AF90" s="375"/>
    </row>
    <row r="91" spans="1:32" x14ac:dyDescent="0.25">
      <c r="A91" s="19">
        <v>3</v>
      </c>
      <c r="B91" s="55" t="s">
        <v>102</v>
      </c>
      <c r="C91" s="745">
        <v>1979</v>
      </c>
      <c r="D91" s="745">
        <v>3</v>
      </c>
      <c r="E91" s="745">
        <v>24</v>
      </c>
      <c r="F91" s="349">
        <v>79</v>
      </c>
      <c r="G91" s="741">
        <v>1460.41</v>
      </c>
      <c r="H91" s="985"/>
      <c r="I91" s="985"/>
      <c r="J91" s="794">
        <v>8761.86</v>
      </c>
      <c r="K91" s="794">
        <v>9313.52</v>
      </c>
      <c r="L91" s="987"/>
      <c r="M91" s="987"/>
      <c r="N91" s="728">
        <f t="shared" si="40"/>
        <v>1547.1978986928605</v>
      </c>
      <c r="O91" s="730"/>
      <c r="P91" s="730"/>
      <c r="Q91" s="795"/>
      <c r="R91" s="795"/>
      <c r="S91" s="743">
        <f t="shared" si="41"/>
        <v>263.77055658746383</v>
      </c>
      <c r="T91" s="730">
        <f t="shared" si="42"/>
        <v>1067.7432130660536</v>
      </c>
      <c r="U91" s="730">
        <f t="shared" si="43"/>
        <v>215.68412903934285</v>
      </c>
      <c r="V91" s="730"/>
      <c r="W91" s="730">
        <f t="shared" si="44"/>
        <v>7214.6621013071399</v>
      </c>
      <c r="X91" s="730">
        <f t="shared" si="45"/>
        <v>106.29615173034036</v>
      </c>
      <c r="Y91" s="730"/>
      <c r="Z91" s="730">
        <v>1</v>
      </c>
      <c r="AA91" s="736">
        <f t="shared" si="46"/>
        <v>-551.65999999999985</v>
      </c>
      <c r="AB91" s="375"/>
      <c r="AC91" s="375"/>
      <c r="AD91" s="375"/>
      <c r="AE91" s="375"/>
      <c r="AF91" s="375"/>
    </row>
    <row r="92" spans="1:32" x14ac:dyDescent="0.25">
      <c r="A92" s="19">
        <v>4</v>
      </c>
      <c r="B92" s="55" t="s">
        <v>103</v>
      </c>
      <c r="C92" s="745">
        <v>1986</v>
      </c>
      <c r="D92" s="745">
        <v>3</v>
      </c>
      <c r="E92" s="745">
        <v>24</v>
      </c>
      <c r="F92" s="746">
        <v>63</v>
      </c>
      <c r="G92" s="741">
        <v>1454.3</v>
      </c>
      <c r="H92" s="985"/>
      <c r="I92" s="985"/>
      <c r="J92" s="794">
        <v>8725.7999999999993</v>
      </c>
      <c r="K92" s="794">
        <v>8271.4599999999991</v>
      </c>
      <c r="L92" s="987"/>
      <c r="M92" s="987"/>
      <c r="N92" s="728">
        <f t="shared" si="40"/>
        <v>1540.7247992474895</v>
      </c>
      <c r="O92" s="730"/>
      <c r="P92" s="730"/>
      <c r="Q92" s="795"/>
      <c r="R92" s="795"/>
      <c r="S92" s="743">
        <f t="shared" si="41"/>
        <v>262.6670047761578</v>
      </c>
      <c r="T92" s="730">
        <f t="shared" si="42"/>
        <v>1063.2760353338867</v>
      </c>
      <c r="U92" s="730">
        <f t="shared" si="43"/>
        <v>214.78175913744514</v>
      </c>
      <c r="V92" s="730"/>
      <c r="W92" s="730">
        <f t="shared" si="44"/>
        <v>7185.0752007525098</v>
      </c>
      <c r="X92" s="730">
        <f t="shared" si="45"/>
        <v>94.793142176075534</v>
      </c>
      <c r="Y92" s="730"/>
      <c r="Z92" s="730">
        <v>1</v>
      </c>
      <c r="AA92" s="736">
        <f t="shared" si="46"/>
        <v>454.34000000000015</v>
      </c>
      <c r="AB92" s="375"/>
      <c r="AC92" s="375"/>
      <c r="AD92" s="375"/>
      <c r="AE92" s="375"/>
      <c r="AF92" s="375"/>
    </row>
    <row r="93" spans="1:32" x14ac:dyDescent="0.25">
      <c r="A93" s="19">
        <v>5</v>
      </c>
      <c r="B93" s="55" t="s">
        <v>104</v>
      </c>
      <c r="C93" s="745">
        <v>1985</v>
      </c>
      <c r="D93" s="745">
        <v>3</v>
      </c>
      <c r="E93" s="745">
        <v>24</v>
      </c>
      <c r="F93" s="708">
        <v>88</v>
      </c>
      <c r="G93" s="741">
        <v>1464.7</v>
      </c>
      <c r="H93" s="985"/>
      <c r="I93" s="985"/>
      <c r="J93" s="794">
        <v>8785.7999999999993</v>
      </c>
      <c r="K93" s="794">
        <v>8759.6200000000008</v>
      </c>
      <c r="L93" s="987"/>
      <c r="M93" s="987"/>
      <c r="N93" s="728">
        <f t="shared" si="40"/>
        <v>1551.7428408566309</v>
      </c>
      <c r="O93" s="730"/>
      <c r="P93" s="730"/>
      <c r="Q93" s="797"/>
      <c r="R93" s="795"/>
      <c r="S93" s="743">
        <f t="shared" si="41"/>
        <v>264.54539083795527</v>
      </c>
      <c r="T93" s="730">
        <f t="shared" si="42"/>
        <v>1070.879742112043</v>
      </c>
      <c r="U93" s="730">
        <f t="shared" si="43"/>
        <v>216.31770790663271</v>
      </c>
      <c r="V93" s="730"/>
      <c r="W93" s="730">
        <f t="shared" si="44"/>
        <v>7234.0571591433682</v>
      </c>
      <c r="X93" s="730">
        <f t="shared" si="45"/>
        <v>99.702019167292704</v>
      </c>
      <c r="Y93" s="730"/>
      <c r="Z93" s="730">
        <v>1</v>
      </c>
      <c r="AA93" s="736">
        <f t="shared" si="46"/>
        <v>26.179999999998472</v>
      </c>
      <c r="AB93" s="375"/>
      <c r="AC93" s="375"/>
      <c r="AD93" s="375"/>
      <c r="AE93" s="375"/>
      <c r="AF93" s="375"/>
    </row>
    <row r="94" spans="1:32" x14ac:dyDescent="0.25">
      <c r="A94" s="251">
        <v>6</v>
      </c>
      <c r="B94" s="55" t="s">
        <v>105</v>
      </c>
      <c r="C94" s="745">
        <v>1976</v>
      </c>
      <c r="D94" s="745">
        <v>2</v>
      </c>
      <c r="E94" s="745">
        <v>18</v>
      </c>
      <c r="F94" s="708">
        <v>35</v>
      </c>
      <c r="G94" s="741">
        <v>766.9</v>
      </c>
      <c r="H94" s="986"/>
      <c r="I94" s="986"/>
      <c r="J94" s="799">
        <v>3834.5</v>
      </c>
      <c r="K94" s="799">
        <v>3779.59</v>
      </c>
      <c r="L94" s="988"/>
      <c r="M94" s="988"/>
      <c r="N94" s="728">
        <f t="shared" si="40"/>
        <v>812.47462596637536</v>
      </c>
      <c r="O94" s="752"/>
      <c r="P94" s="730"/>
      <c r="Q94" s="809"/>
      <c r="R94" s="800"/>
      <c r="S94" s="743">
        <f t="shared" si="41"/>
        <v>138.51291065312205</v>
      </c>
      <c r="T94" s="730">
        <f t="shared" si="42"/>
        <v>560.70026232383805</v>
      </c>
      <c r="U94" s="730">
        <f t="shared" si="43"/>
        <v>113.26145298941529</v>
      </c>
      <c r="V94" s="752"/>
      <c r="W94" s="730">
        <f t="shared" si="44"/>
        <v>3022.0253740336248</v>
      </c>
      <c r="X94" s="730">
        <f t="shared" si="45"/>
        <v>98.568001043160777</v>
      </c>
      <c r="Y94" s="752"/>
      <c r="Z94" s="752">
        <v>1</v>
      </c>
      <c r="AA94" s="736">
        <f t="shared" si="46"/>
        <v>54.909999999999854</v>
      </c>
      <c r="AB94" s="375"/>
      <c r="AC94" s="375"/>
      <c r="AD94" s="375"/>
      <c r="AE94" s="375"/>
      <c r="AF94" s="375"/>
    </row>
    <row r="95" spans="1:32" x14ac:dyDescent="0.25">
      <c r="A95" s="251">
        <v>7</v>
      </c>
      <c r="B95" s="55" t="s">
        <v>106</v>
      </c>
      <c r="C95" s="745">
        <v>1975</v>
      </c>
      <c r="D95" s="745">
        <v>2</v>
      </c>
      <c r="E95" s="745">
        <v>18</v>
      </c>
      <c r="F95" s="661">
        <v>49</v>
      </c>
      <c r="G95" s="741">
        <v>778.78</v>
      </c>
      <c r="H95" s="986"/>
      <c r="I95" s="986"/>
      <c r="J95" s="799">
        <v>4622.28</v>
      </c>
      <c r="K95" s="799">
        <v>4785.32</v>
      </c>
      <c r="L95" s="988"/>
      <c r="M95" s="988"/>
      <c r="N95" s="728">
        <f t="shared" si="40"/>
        <v>825.06061965066363</v>
      </c>
      <c r="O95" s="752"/>
      <c r="P95" s="730"/>
      <c r="Q95" s="809"/>
      <c r="R95" s="800"/>
      <c r="S95" s="743">
        <f t="shared" si="41"/>
        <v>140.65860550063684</v>
      </c>
      <c r="T95" s="730">
        <f t="shared" si="42"/>
        <v>569.38603506657796</v>
      </c>
      <c r="U95" s="730">
        <f t="shared" si="43"/>
        <v>115.01597908344876</v>
      </c>
      <c r="V95" s="752"/>
      <c r="W95" s="730">
        <f t="shared" si="44"/>
        <v>3797.219380349336</v>
      </c>
      <c r="X95" s="730">
        <f t="shared" si="45"/>
        <v>103.52726360151267</v>
      </c>
      <c r="Y95" s="752"/>
      <c r="Z95" s="752">
        <v>1</v>
      </c>
      <c r="AA95" s="736">
        <f t="shared" si="46"/>
        <v>-163.03999999999996</v>
      </c>
      <c r="AB95" s="375"/>
      <c r="AC95" s="375"/>
      <c r="AD95" s="375"/>
      <c r="AE95" s="375"/>
      <c r="AF95" s="375"/>
    </row>
    <row r="96" spans="1:32" x14ac:dyDescent="0.25">
      <c r="A96" s="251">
        <v>8</v>
      </c>
      <c r="B96" s="252" t="s">
        <v>113</v>
      </c>
      <c r="C96" s="745">
        <v>1973</v>
      </c>
      <c r="D96" s="745">
        <v>2</v>
      </c>
      <c r="E96" s="745">
        <v>16</v>
      </c>
      <c r="F96" s="661">
        <v>32</v>
      </c>
      <c r="G96" s="741">
        <v>722.8</v>
      </c>
      <c r="H96" s="986"/>
      <c r="I96" s="986"/>
      <c r="J96" s="799">
        <v>4336.9799999999996</v>
      </c>
      <c r="K96" s="799">
        <v>4453.07</v>
      </c>
      <c r="L96" s="988"/>
      <c r="M96" s="988"/>
      <c r="N96" s="728">
        <f t="shared" si="40"/>
        <v>765.75389183530592</v>
      </c>
      <c r="O96" s="752"/>
      <c r="P96" s="730"/>
      <c r="Q96" s="809"/>
      <c r="R96" s="800"/>
      <c r="S96" s="743">
        <f t="shared" si="41"/>
        <v>130.54783129492321</v>
      </c>
      <c r="T96" s="730">
        <f t="shared" si="42"/>
        <v>528.4576210818492</v>
      </c>
      <c r="U96" s="730">
        <f t="shared" si="43"/>
        <v>106.74843945853354</v>
      </c>
      <c r="V96" s="752"/>
      <c r="W96" s="730">
        <f t="shared" si="44"/>
        <v>3571.2261081646939</v>
      </c>
      <c r="X96" s="730">
        <f t="shared" si="45"/>
        <v>102.67674741409922</v>
      </c>
      <c r="Y96" s="752"/>
      <c r="Z96" s="752">
        <v>1</v>
      </c>
      <c r="AA96" s="736">
        <f t="shared" si="46"/>
        <v>-116.09000000000015</v>
      </c>
      <c r="AB96" s="375"/>
      <c r="AC96" s="375"/>
      <c r="AD96" s="375"/>
      <c r="AE96" s="375"/>
      <c r="AF96" s="375"/>
    </row>
    <row r="97" spans="1:32" x14ac:dyDescent="0.25">
      <c r="A97" s="251">
        <v>9</v>
      </c>
      <c r="B97" s="252" t="s">
        <v>114</v>
      </c>
      <c r="C97" s="745">
        <v>1973</v>
      </c>
      <c r="D97" s="745">
        <v>2</v>
      </c>
      <c r="E97" s="745">
        <v>16</v>
      </c>
      <c r="F97" s="661">
        <v>46</v>
      </c>
      <c r="G97" s="741">
        <v>714.4</v>
      </c>
      <c r="H97" s="986"/>
      <c r="I97" s="986"/>
      <c r="J97" s="799">
        <v>4285.8</v>
      </c>
      <c r="K97" s="799">
        <v>4865.1400000000003</v>
      </c>
      <c r="L97" s="988"/>
      <c r="M97" s="988"/>
      <c r="N97" s="728">
        <f t="shared" si="40"/>
        <v>756.85470438176901</v>
      </c>
      <c r="O97" s="752"/>
      <c r="P97" s="730"/>
      <c r="Q97" s="809"/>
      <c r="R97" s="800"/>
      <c r="S97" s="743">
        <f t="shared" si="41"/>
        <v>129.03067332193297</v>
      </c>
      <c r="T97" s="730">
        <f t="shared" si="42"/>
        <v>522.31616560718464</v>
      </c>
      <c r="U97" s="730">
        <f t="shared" si="43"/>
        <v>105.5078654526513</v>
      </c>
      <c r="V97" s="752"/>
      <c r="W97" s="730">
        <f t="shared" si="44"/>
        <v>3528.9452956182313</v>
      </c>
      <c r="X97" s="730">
        <f t="shared" si="45"/>
        <v>113.51766298007374</v>
      </c>
      <c r="Y97" s="752"/>
      <c r="Z97" s="752">
        <v>1</v>
      </c>
      <c r="AA97" s="736">
        <f t="shared" si="46"/>
        <v>-579.34000000000015</v>
      </c>
      <c r="AB97" s="375"/>
      <c r="AC97" s="375"/>
      <c r="AD97" s="375"/>
      <c r="AE97" s="375"/>
      <c r="AF97" s="375"/>
    </row>
    <row r="98" spans="1:32" x14ac:dyDescent="0.25">
      <c r="A98" s="251">
        <v>10</v>
      </c>
      <c r="B98" s="252" t="s">
        <v>123</v>
      </c>
      <c r="C98" s="745">
        <v>1990</v>
      </c>
      <c r="D98" s="745">
        <v>3</v>
      </c>
      <c r="E98" s="745">
        <v>24</v>
      </c>
      <c r="F98" s="661">
        <v>61</v>
      </c>
      <c r="G98" s="741">
        <v>1444.1</v>
      </c>
      <c r="H98" s="986"/>
      <c r="I98" s="986"/>
      <c r="J98" s="799">
        <v>8661.6</v>
      </c>
      <c r="K98" s="799">
        <v>7790.8</v>
      </c>
      <c r="L98" s="988"/>
      <c r="M98" s="988"/>
      <c r="N98" s="728">
        <f t="shared" si="40"/>
        <v>1529.9186430539089</v>
      </c>
      <c r="O98" s="752"/>
      <c r="P98" s="730"/>
      <c r="Q98" s="800"/>
      <c r="R98" s="800"/>
      <c r="S98" s="743">
        <f t="shared" si="41"/>
        <v>260.82474152324107</v>
      </c>
      <c r="T98" s="730">
        <f t="shared" si="42"/>
        <v>1055.8185536860797</v>
      </c>
      <c r="U98" s="730">
        <f t="shared" si="43"/>
        <v>213.27534784458811</v>
      </c>
      <c r="V98" s="752"/>
      <c r="W98" s="730">
        <f t="shared" si="44"/>
        <v>7131.6813569460919</v>
      </c>
      <c r="X98" s="730">
        <f t="shared" si="45"/>
        <v>89.946430220744432</v>
      </c>
      <c r="Y98" s="752"/>
      <c r="Z98" s="752">
        <v>1</v>
      </c>
      <c r="AA98" s="736">
        <f t="shared" si="46"/>
        <v>870.80000000000018</v>
      </c>
      <c r="AB98" s="375"/>
      <c r="AC98" s="375"/>
      <c r="AD98" s="375"/>
      <c r="AE98" s="375"/>
      <c r="AF98" s="375"/>
    </row>
    <row r="99" spans="1:32" x14ac:dyDescent="0.25">
      <c r="A99" s="251">
        <v>11</v>
      </c>
      <c r="B99" s="252" t="s">
        <v>117</v>
      </c>
      <c r="C99" s="745">
        <v>1969</v>
      </c>
      <c r="D99" s="745">
        <v>2</v>
      </c>
      <c r="E99" s="745">
        <v>16</v>
      </c>
      <c r="F99" s="661">
        <v>37</v>
      </c>
      <c r="G99" s="741">
        <v>716.27</v>
      </c>
      <c r="H99" s="986"/>
      <c r="I99" s="986"/>
      <c r="J99" s="799">
        <v>4297.62</v>
      </c>
      <c r="K99" s="799">
        <v>3867.04</v>
      </c>
      <c r="L99" s="988"/>
      <c r="M99" s="988"/>
      <c r="N99" s="728">
        <f t="shared" si="40"/>
        <v>758.83583301725878</v>
      </c>
      <c r="O99" s="752"/>
      <c r="P99" s="730"/>
      <c r="Q99" s="800"/>
      <c r="R99" s="800"/>
      <c r="S99" s="743">
        <f t="shared" si="41"/>
        <v>129.36842158496771</v>
      </c>
      <c r="T99" s="730">
        <f t="shared" si="42"/>
        <v>523.68337057594931</v>
      </c>
      <c r="U99" s="730">
        <f t="shared" si="43"/>
        <v>105.78404085634176</v>
      </c>
      <c r="V99" s="752"/>
      <c r="W99" s="730">
        <f t="shared" si="44"/>
        <v>3538.7841669827412</v>
      </c>
      <c r="X99" s="730">
        <f t="shared" si="45"/>
        <v>89.980966209204155</v>
      </c>
      <c r="Y99" s="752"/>
      <c r="Z99" s="752">
        <v>1</v>
      </c>
      <c r="AA99" s="736">
        <f t="shared" si="46"/>
        <v>430.57999999999993</v>
      </c>
      <c r="AB99" s="375"/>
      <c r="AC99" s="375"/>
      <c r="AD99" s="375"/>
      <c r="AE99" s="375"/>
      <c r="AF99" s="375"/>
    </row>
    <row r="100" spans="1:32" x14ac:dyDescent="0.25">
      <c r="A100" s="251">
        <v>12</v>
      </c>
      <c r="B100" s="252" t="s">
        <v>119</v>
      </c>
      <c r="C100" s="745">
        <v>1968</v>
      </c>
      <c r="D100" s="745">
        <v>2</v>
      </c>
      <c r="E100" s="745">
        <v>16</v>
      </c>
      <c r="F100" s="661">
        <v>54</v>
      </c>
      <c r="G100" s="741">
        <v>714.5</v>
      </c>
      <c r="H100" s="986"/>
      <c r="I100" s="986"/>
      <c r="J100" s="799">
        <v>4287</v>
      </c>
      <c r="K100" s="799">
        <v>3542.19</v>
      </c>
      <c r="L100" s="988"/>
      <c r="M100" s="988"/>
      <c r="N100" s="728">
        <f t="shared" si="40"/>
        <v>756.96064708954918</v>
      </c>
      <c r="O100" s="752"/>
      <c r="P100" s="730"/>
      <c r="Q100" s="800"/>
      <c r="R100" s="800"/>
      <c r="S100" s="743">
        <f t="shared" si="41"/>
        <v>129.04873472637334</v>
      </c>
      <c r="T100" s="730">
        <f t="shared" si="42"/>
        <v>522.38927817235924</v>
      </c>
      <c r="U100" s="730">
        <f t="shared" si="43"/>
        <v>105.52263419081658</v>
      </c>
      <c r="V100" s="752"/>
      <c r="W100" s="730">
        <f t="shared" si="44"/>
        <v>3530.0393529104508</v>
      </c>
      <c r="X100" s="730">
        <f t="shared" si="45"/>
        <v>82.62631210636809</v>
      </c>
      <c r="Y100" s="752"/>
      <c r="Z100" s="752">
        <v>1</v>
      </c>
      <c r="AA100" s="736">
        <f t="shared" si="46"/>
        <v>744.81</v>
      </c>
      <c r="AB100" s="375"/>
      <c r="AC100" s="375"/>
      <c r="AD100" s="375"/>
      <c r="AE100" s="375"/>
      <c r="AF100" s="375"/>
    </row>
    <row r="101" spans="1:32" x14ac:dyDescent="0.25">
      <c r="A101" s="251">
        <v>13</v>
      </c>
      <c r="B101" s="252" t="s">
        <v>121</v>
      </c>
      <c r="C101" s="745">
        <v>1970</v>
      </c>
      <c r="D101" s="745">
        <v>2</v>
      </c>
      <c r="E101" s="745">
        <v>16</v>
      </c>
      <c r="F101" s="661">
        <v>35</v>
      </c>
      <c r="G101" s="741">
        <v>714.01</v>
      </c>
      <c r="H101" s="986"/>
      <c r="I101" s="986"/>
      <c r="J101" s="799">
        <v>4289.46</v>
      </c>
      <c r="K101" s="799">
        <v>4555.32</v>
      </c>
      <c r="L101" s="988"/>
      <c r="M101" s="988"/>
      <c r="N101" s="728">
        <f t="shared" si="40"/>
        <v>756.44152782142623</v>
      </c>
      <c r="O101" s="752"/>
      <c r="P101" s="730"/>
      <c r="Q101" s="800"/>
      <c r="R101" s="800"/>
      <c r="S101" s="743">
        <f t="shared" si="41"/>
        <v>128.96023384461557</v>
      </c>
      <c r="T101" s="730">
        <f t="shared" si="42"/>
        <v>522.03102660300385</v>
      </c>
      <c r="U101" s="730">
        <f t="shared" si="43"/>
        <v>105.45026737380678</v>
      </c>
      <c r="V101" s="752"/>
      <c r="W101" s="730">
        <f t="shared" si="44"/>
        <v>3533.0184721785736</v>
      </c>
      <c r="X101" s="730">
        <f t="shared" si="45"/>
        <v>106.19798296289042</v>
      </c>
      <c r="Y101" s="752"/>
      <c r="Z101" s="752">
        <v>1</v>
      </c>
      <c r="AA101" s="736">
        <f t="shared" si="46"/>
        <v>-265.85999999999967</v>
      </c>
      <c r="AB101" s="375"/>
      <c r="AC101" s="375"/>
      <c r="AD101" s="375"/>
      <c r="AE101" s="375"/>
      <c r="AF101" s="375"/>
    </row>
    <row r="102" spans="1:32" x14ac:dyDescent="0.25">
      <c r="A102" s="19"/>
      <c r="B102" s="392" t="s">
        <v>23</v>
      </c>
      <c r="C102" s="745"/>
      <c r="D102" s="780"/>
      <c r="E102" s="781">
        <f t="shared" ref="E102:N102" si="47">SUM(E89:E101)</f>
        <v>260</v>
      </c>
      <c r="F102" s="781">
        <f t="shared" si="47"/>
        <v>709</v>
      </c>
      <c r="G102" s="810">
        <f t="shared" si="47"/>
        <v>13841.67</v>
      </c>
      <c r="H102" s="963"/>
      <c r="I102" s="963"/>
      <c r="J102" s="639">
        <f t="shared" si="47"/>
        <v>82231.700000000012</v>
      </c>
      <c r="K102" s="639">
        <f t="shared" si="47"/>
        <v>79489.860000000015</v>
      </c>
      <c r="L102" s="989"/>
      <c r="M102" s="989"/>
      <c r="N102" s="639">
        <f t="shared" si="47"/>
        <v>14664.24</v>
      </c>
      <c r="O102" s="640">
        <f>SUM(O89:O98)</f>
        <v>0</v>
      </c>
      <c r="P102" s="640">
        <f>SUM(P89:P98)</f>
        <v>0</v>
      </c>
      <c r="Q102" s="802"/>
      <c r="R102" s="802"/>
      <c r="S102" s="811">
        <f>SUM(S89:S101)</f>
        <v>2500.0000000000005</v>
      </c>
      <c r="T102" s="783">
        <f>SUM(T89:T101)</f>
        <v>10120.000000000002</v>
      </c>
      <c r="U102" s="783">
        <f>SUM(U89:U101)</f>
        <v>2044.24</v>
      </c>
      <c r="V102" s="640"/>
      <c r="W102" s="804">
        <f t="shared" si="44"/>
        <v>67567.460000000006</v>
      </c>
      <c r="X102" s="804">
        <f t="shared" si="45"/>
        <v>96.665714073769607</v>
      </c>
      <c r="Y102" s="640"/>
      <c r="Z102" s="812"/>
      <c r="AA102" s="647">
        <f>SUM(AA89:AA101)</f>
        <v>2741.8399999999988</v>
      </c>
      <c r="AB102" s="375"/>
      <c r="AC102" s="375"/>
      <c r="AD102" s="375"/>
      <c r="AE102" s="375"/>
      <c r="AF102" s="375"/>
    </row>
    <row r="103" spans="1:32" x14ac:dyDescent="0.25">
      <c r="T103" s="352">
        <f>T102+U102</f>
        <v>12164.240000000002</v>
      </c>
    </row>
    <row r="107" spans="1:32" ht="18.75" customHeight="1" x14ac:dyDescent="0.25">
      <c r="A107" s="250"/>
      <c r="B107" s="250"/>
      <c r="C107" s="250"/>
      <c r="D107" s="250"/>
      <c r="E107" s="250"/>
      <c r="F107" s="250"/>
      <c r="G107" s="250"/>
      <c r="H107" s="250"/>
      <c r="I107" s="250"/>
      <c r="J107" s="250"/>
      <c r="K107" s="250"/>
      <c r="L107" s="250"/>
      <c r="M107" s="250"/>
      <c r="N107" s="250"/>
      <c r="O107" s="250"/>
      <c r="P107" s="250"/>
      <c r="Q107" s="250"/>
      <c r="R107" s="250"/>
      <c r="S107" s="250"/>
      <c r="T107" s="250"/>
      <c r="U107" s="250"/>
      <c r="V107" s="250"/>
      <c r="W107" s="250"/>
      <c r="X107" s="250"/>
      <c r="Y107" s="250"/>
      <c r="Z107" s="250"/>
    </row>
    <row r="108" spans="1:32" ht="18" customHeight="1" x14ac:dyDescent="0.25">
      <c r="A108" s="250"/>
      <c r="B108" s="250"/>
      <c r="C108" s="250"/>
      <c r="D108" s="250"/>
      <c r="E108" s="250"/>
      <c r="F108" s="250"/>
      <c r="G108" s="250"/>
      <c r="H108" s="250"/>
      <c r="I108" s="250"/>
      <c r="J108" s="250"/>
      <c r="K108" s="250"/>
      <c r="L108" s="250"/>
      <c r="M108" s="250"/>
      <c r="N108" s="250"/>
      <c r="O108" s="250"/>
      <c r="P108" s="250"/>
      <c r="Q108" s="250"/>
      <c r="R108" s="250"/>
      <c r="S108" s="250"/>
      <c r="T108" s="250"/>
      <c r="U108" s="250"/>
      <c r="V108" s="250"/>
      <c r="W108" s="250"/>
      <c r="X108" s="250"/>
      <c r="Y108" s="250"/>
      <c r="Z108" s="250"/>
    </row>
    <row r="109" spans="1:32" ht="18" customHeight="1" x14ac:dyDescent="0.25">
      <c r="A109" s="250"/>
      <c r="B109" s="250"/>
      <c r="C109" s="250"/>
      <c r="D109" s="250"/>
      <c r="E109" s="250"/>
      <c r="F109" s="250"/>
      <c r="G109" s="250"/>
      <c r="H109" s="250"/>
      <c r="I109" s="250"/>
      <c r="J109" s="250"/>
      <c r="K109" s="250"/>
      <c r="L109" s="250"/>
      <c r="M109" s="250"/>
      <c r="N109" s="250"/>
      <c r="O109" s="250"/>
      <c r="P109" s="250"/>
      <c r="Q109" s="250"/>
      <c r="R109" s="250"/>
      <c r="S109" s="250"/>
      <c r="T109" s="250"/>
      <c r="U109" s="250"/>
      <c r="V109" s="250"/>
      <c r="W109" s="250"/>
      <c r="X109" s="250"/>
      <c r="Y109" s="250"/>
      <c r="Z109" s="250"/>
    </row>
    <row r="110" spans="1:32" ht="15.75" customHeight="1" x14ac:dyDescent="0.25">
      <c r="A110" s="250"/>
      <c r="B110" s="250"/>
      <c r="C110" s="250"/>
      <c r="D110" s="250"/>
      <c r="E110" s="250"/>
      <c r="F110" s="250"/>
      <c r="G110" s="250"/>
      <c r="H110" s="250"/>
      <c r="I110" s="250"/>
      <c r="J110" s="250"/>
      <c r="K110" s="250"/>
      <c r="L110" s="250"/>
      <c r="M110" s="250"/>
      <c r="N110" s="250"/>
      <c r="O110" s="250"/>
      <c r="P110" s="250"/>
      <c r="Q110" s="250"/>
      <c r="R110" s="250"/>
      <c r="S110" s="250"/>
      <c r="T110" s="250"/>
      <c r="U110" s="250"/>
      <c r="V110" s="250"/>
      <c r="W110" s="250"/>
      <c r="X110" s="250"/>
      <c r="Y110" s="250"/>
      <c r="Z110" s="250"/>
    </row>
    <row r="111" spans="1:32" ht="21" customHeight="1" x14ac:dyDescent="0.25">
      <c r="A111" s="250"/>
      <c r="B111" s="250"/>
      <c r="C111" s="250"/>
      <c r="D111" s="250"/>
      <c r="E111" s="250"/>
      <c r="F111" s="250"/>
      <c r="G111" s="250"/>
      <c r="H111" s="250"/>
      <c r="I111" s="250"/>
      <c r="J111" s="250"/>
      <c r="K111" s="250"/>
      <c r="L111" s="250"/>
      <c r="M111" s="250"/>
      <c r="N111" s="250"/>
      <c r="O111" s="250"/>
      <c r="P111" s="250"/>
      <c r="Q111" s="250"/>
      <c r="R111" s="250"/>
      <c r="S111" s="250"/>
      <c r="T111" s="250"/>
      <c r="U111" s="250"/>
      <c r="V111" s="250"/>
      <c r="W111" s="250"/>
      <c r="X111" s="250"/>
      <c r="Y111" s="250"/>
      <c r="Z111" s="250"/>
    </row>
    <row r="112" spans="1:32" x14ac:dyDescent="0.25">
      <c r="A112" s="250"/>
      <c r="B112" s="250"/>
      <c r="C112" s="250"/>
      <c r="D112" s="250"/>
      <c r="E112" s="250"/>
      <c r="F112" s="250"/>
      <c r="G112" s="250"/>
      <c r="H112" s="250"/>
      <c r="I112" s="250"/>
      <c r="J112" s="250"/>
      <c r="K112" s="250"/>
      <c r="L112" s="250"/>
      <c r="M112" s="250"/>
      <c r="N112" s="250"/>
      <c r="O112" s="250"/>
      <c r="P112" s="250"/>
      <c r="Q112" s="250"/>
      <c r="R112" s="250"/>
      <c r="S112" s="250"/>
      <c r="T112" s="250"/>
      <c r="U112" s="250"/>
      <c r="V112" s="250"/>
      <c r="W112" s="250"/>
      <c r="X112" s="250"/>
      <c r="Y112" s="250"/>
      <c r="Z112" s="250"/>
    </row>
    <row r="113" spans="1:27" x14ac:dyDescent="0.25">
      <c r="A113" s="250"/>
      <c r="B113" s="250"/>
      <c r="C113" s="250"/>
      <c r="D113" s="250"/>
      <c r="E113" s="250"/>
      <c r="F113" s="250"/>
      <c r="G113" s="250"/>
      <c r="H113" s="250"/>
      <c r="I113" s="250"/>
      <c r="J113" s="250"/>
      <c r="K113" s="250"/>
      <c r="L113" s="250"/>
      <c r="M113" s="250"/>
      <c r="N113" s="250"/>
      <c r="O113" s="250"/>
      <c r="P113" s="250"/>
      <c r="Q113" s="250"/>
      <c r="R113" s="250"/>
      <c r="S113" s="250"/>
      <c r="T113" s="250"/>
      <c r="U113" s="250"/>
      <c r="V113" s="250"/>
      <c r="W113" s="250"/>
      <c r="X113" s="250"/>
      <c r="Y113" s="250"/>
      <c r="Z113" s="250"/>
    </row>
    <row r="114" spans="1:27" x14ac:dyDescent="0.25">
      <c r="A114" s="250"/>
      <c r="B114" s="250"/>
      <c r="C114" s="250"/>
      <c r="D114" s="250"/>
      <c r="E114" s="250"/>
      <c r="F114" s="250"/>
      <c r="G114" s="250"/>
      <c r="H114" s="250"/>
      <c r="I114" s="250"/>
      <c r="J114" s="250"/>
      <c r="K114" s="250"/>
      <c r="L114" s="250"/>
      <c r="M114" s="250"/>
      <c r="N114" s="250"/>
      <c r="O114" s="250"/>
      <c r="P114" s="250"/>
      <c r="Q114" s="250"/>
      <c r="R114" s="250"/>
      <c r="S114" s="250"/>
      <c r="T114" s="250"/>
      <c r="U114" s="250"/>
      <c r="V114" s="250"/>
      <c r="W114" s="250"/>
      <c r="X114" s="250"/>
      <c r="Y114" s="250"/>
      <c r="Z114" s="250"/>
    </row>
    <row r="115" spans="1:27" x14ac:dyDescent="0.25">
      <c r="A115" s="250"/>
      <c r="B115" s="250"/>
      <c r="C115" s="250"/>
      <c r="D115" s="250"/>
      <c r="E115" s="250"/>
      <c r="F115" s="250"/>
      <c r="G115" s="250"/>
      <c r="H115" s="250"/>
      <c r="I115" s="250"/>
      <c r="J115" s="250"/>
      <c r="K115" s="250"/>
      <c r="L115" s="250"/>
      <c r="M115" s="250"/>
      <c r="N115" s="250"/>
      <c r="O115" s="250"/>
      <c r="P115" s="250"/>
      <c r="Q115" s="250"/>
      <c r="R115" s="250"/>
      <c r="S115" s="250"/>
      <c r="T115" s="250"/>
      <c r="U115" s="250"/>
      <c r="V115" s="250"/>
      <c r="W115" s="250"/>
      <c r="X115" s="250"/>
      <c r="Y115" s="250"/>
      <c r="Z115" s="250"/>
    </row>
    <row r="116" spans="1:27" x14ac:dyDescent="0.25">
      <c r="A116" s="250"/>
      <c r="B116" s="250"/>
      <c r="C116" s="250"/>
      <c r="D116" s="250"/>
      <c r="E116" s="250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  <c r="Q116" s="250"/>
      <c r="R116" s="250"/>
      <c r="S116" s="250"/>
      <c r="T116" s="250"/>
      <c r="U116" s="250"/>
      <c r="V116" s="250"/>
      <c r="W116" s="250"/>
      <c r="X116" s="250"/>
      <c r="Y116" s="250"/>
      <c r="Z116" s="250"/>
    </row>
    <row r="117" spans="1:27" x14ac:dyDescent="0.25">
      <c r="A117" s="250" t="s">
        <v>180</v>
      </c>
      <c r="B117" s="250"/>
      <c r="C117" s="250"/>
      <c r="D117" s="250"/>
      <c r="E117" s="250"/>
      <c r="F117" s="250"/>
      <c r="G117" s="250"/>
      <c r="H117" s="250"/>
      <c r="I117" s="250"/>
      <c r="J117" s="250"/>
      <c r="K117" s="250"/>
      <c r="L117" s="250"/>
      <c r="M117" s="250"/>
      <c r="N117" s="250"/>
      <c r="O117" s="250"/>
      <c r="P117" s="250"/>
      <c r="Q117" s="250"/>
      <c r="R117" s="250"/>
      <c r="S117" s="250"/>
      <c r="T117" s="250"/>
      <c r="U117" s="250"/>
      <c r="V117" s="250"/>
      <c r="W117" s="250"/>
      <c r="X117" s="250"/>
      <c r="Y117" s="250"/>
      <c r="Z117" s="250"/>
      <c r="AA117" s="250"/>
    </row>
    <row r="118" spans="1:27" x14ac:dyDescent="0.25">
      <c r="A118" s="250"/>
      <c r="B118" s="250"/>
      <c r="C118" s="250"/>
      <c r="D118" s="250"/>
      <c r="E118" s="250"/>
      <c r="F118" s="250"/>
      <c r="G118" s="250"/>
      <c r="H118" s="250"/>
      <c r="I118" s="250"/>
      <c r="J118" s="250"/>
      <c r="K118" s="250"/>
      <c r="L118" s="250"/>
      <c r="M118" s="250"/>
      <c r="N118" s="250"/>
      <c r="O118" s="250"/>
      <c r="P118" s="250"/>
      <c r="Q118" s="250"/>
      <c r="R118" s="250"/>
      <c r="S118" s="250"/>
      <c r="T118" s="250"/>
      <c r="U118" s="250"/>
      <c r="V118" s="250"/>
      <c r="W118" s="250"/>
      <c r="X118" s="250"/>
      <c r="Y118" s="250"/>
      <c r="Z118" s="250"/>
      <c r="AA118" s="250"/>
    </row>
    <row r="119" spans="1:27" x14ac:dyDescent="0.25">
      <c r="A119" s="250"/>
      <c r="B119" s="250"/>
      <c r="C119" s="250"/>
      <c r="D119" s="250"/>
      <c r="E119" s="250"/>
      <c r="F119" s="250"/>
      <c r="G119" s="250"/>
      <c r="H119" s="250"/>
      <c r="I119" s="250"/>
      <c r="J119" s="250"/>
      <c r="K119" s="250"/>
      <c r="L119" s="250"/>
      <c r="M119" s="250"/>
      <c r="N119" s="250"/>
      <c r="O119" s="250"/>
      <c r="P119" s="250"/>
      <c r="Q119" s="250"/>
      <c r="R119" s="250"/>
      <c r="S119" s="250"/>
      <c r="T119" s="250"/>
      <c r="U119" s="250"/>
      <c r="V119" s="250"/>
      <c r="W119" s="250"/>
      <c r="X119" s="250"/>
      <c r="Y119" s="250"/>
      <c r="Z119" s="250"/>
      <c r="AA119" s="250"/>
    </row>
    <row r="120" spans="1:27" x14ac:dyDescent="0.25">
      <c r="A120" s="250"/>
      <c r="B120" s="250"/>
      <c r="C120" s="250"/>
      <c r="D120" s="250"/>
      <c r="E120" s="250"/>
      <c r="F120" s="250"/>
      <c r="G120" s="250"/>
      <c r="H120" s="250"/>
      <c r="I120" s="250"/>
      <c r="J120" s="250"/>
      <c r="K120" s="250"/>
      <c r="L120" s="250"/>
      <c r="M120" s="250"/>
      <c r="N120" s="250"/>
      <c r="O120" s="250"/>
      <c r="P120" s="250"/>
      <c r="Q120" s="250"/>
      <c r="R120" s="250"/>
      <c r="S120" s="250"/>
      <c r="T120" s="250"/>
      <c r="U120" s="250"/>
      <c r="V120" s="250"/>
      <c r="W120" s="250"/>
      <c r="X120" s="250"/>
      <c r="Y120" s="250"/>
      <c r="Z120" s="250"/>
      <c r="AA120" s="250"/>
    </row>
  </sheetData>
  <mergeCells count="100">
    <mergeCell ref="U4:U5"/>
    <mergeCell ref="O4:O5"/>
    <mergeCell ref="A4:A5"/>
    <mergeCell ref="B4:B5"/>
    <mergeCell ref="C4:C5"/>
    <mergeCell ref="D4:D5"/>
    <mergeCell ref="E4:E5"/>
    <mergeCell ref="F4:F5"/>
    <mergeCell ref="G4:G5"/>
    <mergeCell ref="H4:I4"/>
    <mergeCell ref="J4:K4"/>
    <mergeCell ref="L4:M4"/>
    <mergeCell ref="N4:N5"/>
    <mergeCell ref="P4:P5"/>
    <mergeCell ref="Q4:Q5"/>
    <mergeCell ref="R4:R5"/>
    <mergeCell ref="S4:S5"/>
    <mergeCell ref="T4:T5"/>
    <mergeCell ref="A49:A50"/>
    <mergeCell ref="B49:B50"/>
    <mergeCell ref="C49:C50"/>
    <mergeCell ref="D49:D50"/>
    <mergeCell ref="E49:E50"/>
    <mergeCell ref="X49:X50"/>
    <mergeCell ref="AR49:AR50"/>
    <mergeCell ref="AS49:AS50"/>
    <mergeCell ref="U49:U50"/>
    <mergeCell ref="V49:V50"/>
    <mergeCell ref="W49:W50"/>
    <mergeCell ref="AB4:AB5"/>
    <mergeCell ref="AC4:AC5"/>
    <mergeCell ref="AD4:AD5"/>
    <mergeCell ref="AE4:AE5"/>
    <mergeCell ref="V4:V5"/>
    <mergeCell ref="W4:W5"/>
    <mergeCell ref="X4:X5"/>
    <mergeCell ref="Y4:Y5"/>
    <mergeCell ref="Z4:Z5"/>
    <mergeCell ref="AA4:AA5"/>
    <mergeCell ref="AL4:AL5"/>
    <mergeCell ref="AM4:AM5"/>
    <mergeCell ref="AN4:AO4"/>
    <mergeCell ref="AS4:AS5"/>
    <mergeCell ref="AF4:AF5"/>
    <mergeCell ref="AI4:AI5"/>
    <mergeCell ref="A71:A72"/>
    <mergeCell ref="B71:B72"/>
    <mergeCell ref="C71:C72"/>
    <mergeCell ref="D71:D72"/>
    <mergeCell ref="E71:E72"/>
    <mergeCell ref="F71:F72"/>
    <mergeCell ref="G71:G72"/>
    <mergeCell ref="R49:R50"/>
    <mergeCell ref="S49:S50"/>
    <mergeCell ref="T49:T50"/>
    <mergeCell ref="G49:G50"/>
    <mergeCell ref="J49:K49"/>
    <mergeCell ref="N49:N50"/>
    <mergeCell ref="O49:O50"/>
    <mergeCell ref="P49:P50"/>
    <mergeCell ref="Q49:Q50"/>
    <mergeCell ref="F49:F50"/>
    <mergeCell ref="F87:F88"/>
    <mergeCell ref="S71:S72"/>
    <mergeCell ref="T71:T72"/>
    <mergeCell ref="U71:U72"/>
    <mergeCell ref="V71:V72"/>
    <mergeCell ref="J71:K71"/>
    <mergeCell ref="N71:N72"/>
    <mergeCell ref="O71:O72"/>
    <mergeCell ref="P71:P72"/>
    <mergeCell ref="Q71:Q72"/>
    <mergeCell ref="R71:R72"/>
    <mergeCell ref="Q87:Q88"/>
    <mergeCell ref="G87:G88"/>
    <mergeCell ref="J87:K87"/>
    <mergeCell ref="N87:N88"/>
    <mergeCell ref="O87:O88"/>
    <mergeCell ref="A87:A88"/>
    <mergeCell ref="B87:B88"/>
    <mergeCell ref="C87:C88"/>
    <mergeCell ref="D87:D88"/>
    <mergeCell ref="E87:E88"/>
    <mergeCell ref="Y71:Y72"/>
    <mergeCell ref="Z71:Z72"/>
    <mergeCell ref="AA71:AA72"/>
    <mergeCell ref="AB71:AB72"/>
    <mergeCell ref="W71:W72"/>
    <mergeCell ref="X71:X72"/>
    <mergeCell ref="P87:P88"/>
    <mergeCell ref="X87:X88"/>
    <mergeCell ref="Y87:Y88"/>
    <mergeCell ref="Z87:Z88"/>
    <mergeCell ref="AA87:AA88"/>
    <mergeCell ref="R87:R88"/>
    <mergeCell ref="S87:S88"/>
    <mergeCell ref="T87:T88"/>
    <mergeCell ref="U87:U88"/>
    <mergeCell ref="V87:V88"/>
    <mergeCell ref="W87:W88"/>
  </mergeCells>
  <pageMargins left="0.27559055118110237" right="0.19685039370078741" top="0.15748031496062992" bottom="0.9055118110236221" header="0.15748031496062992" footer="0.31496062992125984"/>
  <pageSetup paperSize="9" scale="74" orientation="landscape" horizontalDpi="180" verticalDpi="180" r:id="rId1"/>
  <rowBreaks count="1" manualBreakCount="1">
    <brk id="36" max="25" man="1"/>
  </rowBreaks>
  <colBreaks count="1" manualBreakCount="1">
    <brk id="26" max="104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20"/>
  <sheetViews>
    <sheetView topLeftCell="A56" zoomScaleNormal="100" workbookViewId="0">
      <selection activeCell="B67" sqref="B1:J1048576"/>
    </sheetView>
  </sheetViews>
  <sheetFormatPr defaultRowHeight="15.75" x14ac:dyDescent="0.25"/>
  <cols>
    <col min="1" max="1" width="4.28515625" customWidth="1"/>
    <col min="2" max="2" width="32.42578125" customWidth="1"/>
    <col min="3" max="3" width="9.28515625" hidden="1" customWidth="1"/>
    <col min="4" max="4" width="10.28515625" customWidth="1"/>
    <col min="5" max="5" width="7.140625" hidden="1" customWidth="1"/>
    <col min="6" max="6" width="8.140625" hidden="1" customWidth="1"/>
    <col min="7" max="7" width="11.28515625" customWidth="1"/>
    <col min="8" max="8" width="11.140625" customWidth="1"/>
    <col min="9" max="9" width="11.85546875" customWidth="1"/>
    <col min="10" max="10" width="11.140625" customWidth="1"/>
    <col min="11" max="11" width="11" customWidth="1"/>
    <col min="12" max="12" width="10.85546875" customWidth="1"/>
    <col min="13" max="13" width="11.28515625" customWidth="1"/>
    <col min="14" max="14" width="11.140625" customWidth="1"/>
    <col min="15" max="15" width="11.28515625" customWidth="1"/>
    <col min="16" max="16" width="13" customWidth="1"/>
    <col min="17" max="21" width="12" customWidth="1"/>
    <col min="22" max="22" width="14.140625" customWidth="1"/>
    <col min="23" max="23" width="12" customWidth="1"/>
    <col min="24" max="24" width="12.28515625" customWidth="1"/>
    <col min="25" max="25" width="12" customWidth="1"/>
    <col min="26" max="26" width="10.7109375" customWidth="1"/>
    <col min="27" max="27" width="10.28515625" customWidth="1"/>
    <col min="28" max="28" width="11.5703125" customWidth="1"/>
    <col min="29" max="29" width="11.42578125" customWidth="1"/>
    <col min="30" max="30" width="11.85546875" customWidth="1"/>
    <col min="31" max="31" width="10.5703125" customWidth="1"/>
    <col min="32" max="32" width="11.140625" customWidth="1"/>
    <col min="33" max="33" width="10.28515625" customWidth="1"/>
    <col min="34" max="34" width="11.140625" customWidth="1"/>
    <col min="35" max="35" width="11.7109375" customWidth="1"/>
    <col min="36" max="36" width="10.5703125" customWidth="1"/>
    <col min="37" max="40" width="10.140625" customWidth="1"/>
    <col min="41" max="41" width="10.5703125" customWidth="1"/>
    <col min="42" max="42" width="11.7109375" customWidth="1"/>
    <col min="43" max="43" width="9.28515625" customWidth="1"/>
    <col min="44" max="47" width="10.7109375" customWidth="1"/>
    <col min="48" max="48" width="10.28515625" customWidth="1"/>
    <col min="49" max="49" width="10.7109375" customWidth="1"/>
    <col min="50" max="50" width="11.28515625" customWidth="1"/>
    <col min="51" max="51" width="10.28515625" customWidth="1"/>
    <col min="52" max="52" width="11.5703125" customWidth="1"/>
    <col min="53" max="53" width="10.42578125" customWidth="1"/>
    <col min="54" max="54" width="11.140625" style="40" customWidth="1"/>
    <col min="55" max="55" width="10.28515625" customWidth="1"/>
    <col min="56" max="56" width="12.5703125" customWidth="1"/>
    <col min="57" max="57" width="12.140625" customWidth="1"/>
  </cols>
  <sheetData>
    <row r="1" spans="1:57" ht="18.75" x14ac:dyDescent="0.3">
      <c r="B1" s="74" t="s">
        <v>761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1"/>
      <c r="Y1" s="1"/>
    </row>
    <row r="2" spans="1:57" ht="18" x14ac:dyDescent="0.25">
      <c r="A2" s="17"/>
      <c r="B2" s="1"/>
      <c r="C2" s="58"/>
      <c r="D2" s="1"/>
      <c r="E2" s="1"/>
      <c r="F2" s="61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57" ht="18" x14ac:dyDescent="0.25">
      <c r="A3" s="1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AK3" s="1"/>
      <c r="AP3" s="250"/>
      <c r="AQ3" s="250"/>
      <c r="AR3" s="250"/>
    </row>
    <row r="4" spans="1:57" ht="43.5" customHeight="1" x14ac:dyDescent="0.25">
      <c r="A4" s="2020" t="s">
        <v>0</v>
      </c>
      <c r="B4" s="2020" t="s">
        <v>184</v>
      </c>
      <c r="C4" s="2020" t="s">
        <v>54</v>
      </c>
      <c r="D4" s="2020" t="s">
        <v>55</v>
      </c>
      <c r="E4" s="2020" t="s">
        <v>56</v>
      </c>
      <c r="F4" s="2020" t="s">
        <v>57</v>
      </c>
      <c r="G4" s="2241" t="s">
        <v>6</v>
      </c>
      <c r="H4" s="1991" t="s">
        <v>290</v>
      </c>
      <c r="I4" s="1992"/>
      <c r="J4" s="1991" t="s">
        <v>656</v>
      </c>
      <c r="K4" s="1992"/>
      <c r="L4" s="1991" t="s">
        <v>657</v>
      </c>
      <c r="M4" s="1992"/>
      <c r="N4" s="2214" t="s">
        <v>658</v>
      </c>
      <c r="O4" s="2215"/>
      <c r="P4" s="1991" t="s">
        <v>310</v>
      </c>
      <c r="Q4" s="1992"/>
      <c r="R4" s="2097" t="s">
        <v>593</v>
      </c>
      <c r="S4" s="2060"/>
      <c r="T4" s="1989" t="s">
        <v>284</v>
      </c>
      <c r="U4" s="1990"/>
      <c r="V4" s="1989" t="s">
        <v>745</v>
      </c>
      <c r="W4" s="1990"/>
      <c r="X4" s="1997" t="s">
        <v>747</v>
      </c>
      <c r="Y4" s="1987" t="s">
        <v>370</v>
      </c>
      <c r="Z4" s="1987" t="s">
        <v>333</v>
      </c>
      <c r="AA4" s="2003" t="s">
        <v>578</v>
      </c>
      <c r="AB4" s="2003" t="s">
        <v>586</v>
      </c>
      <c r="AC4" s="2172" t="s">
        <v>503</v>
      </c>
      <c r="AD4" s="2026" t="s">
        <v>316</v>
      </c>
      <c r="AE4" s="2026" t="s">
        <v>369</v>
      </c>
      <c r="AF4" s="2003" t="s">
        <v>337</v>
      </c>
      <c r="AG4" s="1997" t="s">
        <v>321</v>
      </c>
      <c r="AH4" s="2170" t="s">
        <v>554</v>
      </c>
      <c r="AI4" s="2022" t="s">
        <v>688</v>
      </c>
      <c r="AJ4" s="1997" t="s">
        <v>689</v>
      </c>
      <c r="AK4" s="1997" t="s">
        <v>640</v>
      </c>
      <c r="AL4" s="1997" t="s">
        <v>750</v>
      </c>
      <c r="AM4" s="1997" t="s">
        <v>372</v>
      </c>
      <c r="AN4" s="1997" t="s">
        <v>314</v>
      </c>
      <c r="AO4" s="1997" t="s">
        <v>616</v>
      </c>
      <c r="AP4" s="2173" t="s">
        <v>691</v>
      </c>
      <c r="AQ4" s="2026" t="s">
        <v>727</v>
      </c>
      <c r="AR4" s="2026" t="s">
        <v>690</v>
      </c>
      <c r="AS4" s="1997" t="s">
        <v>313</v>
      </c>
      <c r="AT4" s="1997" t="s">
        <v>554</v>
      </c>
      <c r="AU4" s="2216" t="s">
        <v>692</v>
      </c>
      <c r="AV4" s="1987" t="s">
        <v>693</v>
      </c>
      <c r="AW4" s="1987" t="s">
        <v>656</v>
      </c>
      <c r="AX4" s="1987" t="s">
        <v>694</v>
      </c>
      <c r="AY4" s="1987" t="s">
        <v>735</v>
      </c>
      <c r="AZ4" s="2005" t="s">
        <v>724</v>
      </c>
      <c r="BA4" s="2001" t="s">
        <v>182</v>
      </c>
      <c r="BB4" s="2001" t="s">
        <v>736</v>
      </c>
      <c r="BC4" s="2001" t="s">
        <v>725</v>
      </c>
      <c r="BD4" s="1999" t="s">
        <v>715</v>
      </c>
      <c r="BE4" s="1999" t="s">
        <v>716</v>
      </c>
    </row>
    <row r="5" spans="1:57" ht="51.75" customHeight="1" x14ac:dyDescent="0.25">
      <c r="A5" s="2021"/>
      <c r="B5" s="2021"/>
      <c r="C5" s="2021"/>
      <c r="D5" s="2021"/>
      <c r="E5" s="2021"/>
      <c r="F5" s="2021"/>
      <c r="G5" s="2242"/>
      <c r="H5" s="150" t="s">
        <v>15</v>
      </c>
      <c r="I5" s="1340" t="s">
        <v>16</v>
      </c>
      <c r="J5" s="150" t="s">
        <v>15</v>
      </c>
      <c r="K5" s="1340" t="s">
        <v>16</v>
      </c>
      <c r="L5" s="150" t="s">
        <v>15</v>
      </c>
      <c r="M5" s="1340" t="s">
        <v>16</v>
      </c>
      <c r="N5" s="150" t="s">
        <v>15</v>
      </c>
      <c r="O5" s="1340" t="s">
        <v>16</v>
      </c>
      <c r="P5" s="150" t="s">
        <v>15</v>
      </c>
      <c r="Q5" s="1340" t="s">
        <v>16</v>
      </c>
      <c r="R5" s="150" t="s">
        <v>15</v>
      </c>
      <c r="S5" s="1354" t="s">
        <v>16</v>
      </c>
      <c r="T5" s="767" t="s">
        <v>15</v>
      </c>
      <c r="U5" s="1485" t="s">
        <v>16</v>
      </c>
      <c r="V5" s="150" t="s">
        <v>15</v>
      </c>
      <c r="W5" s="1504" t="s">
        <v>16</v>
      </c>
      <c r="X5" s="1998"/>
      <c r="Y5" s="1988"/>
      <c r="Z5" s="1988"/>
      <c r="AA5" s="2004"/>
      <c r="AB5" s="2004"/>
      <c r="AC5" s="2172"/>
      <c r="AD5" s="2026"/>
      <c r="AE5" s="2169"/>
      <c r="AF5" s="2004"/>
      <c r="AG5" s="1998"/>
      <c r="AH5" s="2171"/>
      <c r="AI5" s="2023"/>
      <c r="AJ5" s="1998"/>
      <c r="AK5" s="1998"/>
      <c r="AL5" s="1998"/>
      <c r="AM5" s="1998"/>
      <c r="AN5" s="1998"/>
      <c r="AO5" s="1998"/>
      <c r="AP5" s="2174"/>
      <c r="AQ5" s="2026"/>
      <c r="AR5" s="2026"/>
      <c r="AS5" s="1998"/>
      <c r="AT5" s="1998"/>
      <c r="AU5" s="2217"/>
      <c r="AV5" s="1988"/>
      <c r="AW5" s="1988"/>
      <c r="AX5" s="1988"/>
      <c r="AY5" s="1988"/>
      <c r="AZ5" s="2006"/>
      <c r="BA5" s="2002"/>
      <c r="BB5" s="2002"/>
      <c r="BC5" s="2002"/>
      <c r="BD5" s="2000"/>
      <c r="BE5" s="2000"/>
    </row>
    <row r="6" spans="1:57" s="124" customFormat="1" ht="15" x14ac:dyDescent="0.25">
      <c r="A6" s="112">
        <v>1</v>
      </c>
      <c r="B6" s="1350" t="s">
        <v>90</v>
      </c>
      <c r="C6" s="702">
        <v>1967</v>
      </c>
      <c r="D6" s="702">
        <v>1</v>
      </c>
      <c r="E6" s="702">
        <v>2</v>
      </c>
      <c r="F6" s="349">
        <v>2</v>
      </c>
      <c r="G6" s="728">
        <v>34.9</v>
      </c>
      <c r="H6" s="728">
        <v>0</v>
      </c>
      <c r="I6" s="728">
        <v>0</v>
      </c>
      <c r="J6" s="728">
        <v>33.479999999999997</v>
      </c>
      <c r="K6" s="728">
        <v>39.06</v>
      </c>
      <c r="L6" s="728">
        <v>0</v>
      </c>
      <c r="M6" s="728">
        <v>0</v>
      </c>
      <c r="N6" s="728">
        <v>372.72</v>
      </c>
      <c r="O6" s="728">
        <v>434.84</v>
      </c>
      <c r="P6" s="728">
        <v>2922.15</v>
      </c>
      <c r="Q6" s="728">
        <v>2834.9</v>
      </c>
      <c r="R6" s="728"/>
      <c r="S6" s="728"/>
      <c r="T6" s="728"/>
      <c r="U6" s="728"/>
      <c r="V6" s="728">
        <f>H6+J6+L6+N6+P6+R6+T6</f>
        <v>3328.3500000000004</v>
      </c>
      <c r="W6" s="728">
        <f>I6+K6+M6+O6+Q6+S6+U6</f>
        <v>3308.8</v>
      </c>
      <c r="X6" s="729">
        <f>AI6+AP6+AU6+AV6+AW6+AX6</f>
        <v>1870.4231819491797</v>
      </c>
      <c r="Y6" s="730"/>
      <c r="Z6" s="730">
        <f>13467.75/15652.35*G6</f>
        <v>30.029003632042471</v>
      </c>
      <c r="AA6" s="731">
        <f>7978.56/15652.35*G6</f>
        <v>17.789772398393854</v>
      </c>
      <c r="AB6" s="731">
        <f>1000/15652.35*G6</f>
        <v>2.2296971381294179</v>
      </c>
      <c r="AC6" s="732">
        <f>40250.3/15272.85*G6</f>
        <v>91.975988109619365</v>
      </c>
      <c r="AD6" s="730">
        <f>414350.14/15272.85*G6</f>
        <v>946.83178882788741</v>
      </c>
      <c r="AE6" s="730">
        <f>79501.3/15272.85*G6</f>
        <v>181.66847510451552</v>
      </c>
      <c r="AF6" s="733"/>
      <c r="AG6" s="733"/>
      <c r="AH6" s="733"/>
      <c r="AI6" s="730">
        <f>AH6+AG6+AF6+AE6+AD6+AC6+AB6+AA6+Z6+Y6</f>
        <v>1270.524725210588</v>
      </c>
      <c r="AJ6" s="734"/>
      <c r="AK6" s="735"/>
      <c r="AL6" s="648"/>
      <c r="AM6" s="648"/>
      <c r="AN6" s="648"/>
      <c r="AO6" s="648"/>
      <c r="AP6" s="736">
        <f>AO6+AN6+AM6+AL6+AK6+AJ6</f>
        <v>0</v>
      </c>
      <c r="AQ6" s="467"/>
      <c r="AR6" s="467"/>
      <c r="AS6" s="1515"/>
      <c r="AT6" s="1515"/>
      <c r="AU6" s="1513">
        <f>AT6+AS6+AR6+AQ6</f>
        <v>0</v>
      </c>
      <c r="AV6" s="1501"/>
      <c r="AW6" s="1513">
        <f>19785.06/15272.85*G6</f>
        <v>45.21085416277905</v>
      </c>
      <c r="AX6" s="625">
        <f>242740.99/15272.85*G6</f>
        <v>554.68760257581266</v>
      </c>
      <c r="AY6" s="1501">
        <f>V6-X6</f>
        <v>1457.9268180508207</v>
      </c>
      <c r="AZ6" s="1502">
        <f>W6/V6*100</f>
        <v>99.412621869695187</v>
      </c>
      <c r="BA6" s="1513">
        <f>X6/G6/9</f>
        <v>5.9548652720445077</v>
      </c>
      <c r="BB6" s="1521">
        <f>V6-W6</f>
        <v>19.550000000000182</v>
      </c>
      <c r="BC6" s="1522">
        <f>T6-U6</f>
        <v>0</v>
      </c>
      <c r="BD6" s="1521">
        <v>10.97</v>
      </c>
      <c r="BE6" s="1521"/>
    </row>
    <row r="7" spans="1:57" s="124" customFormat="1" ht="15" x14ac:dyDescent="0.25">
      <c r="A7" s="6">
        <v>2</v>
      </c>
      <c r="B7" s="1320" t="s">
        <v>91</v>
      </c>
      <c r="C7" s="737">
        <v>1962</v>
      </c>
      <c r="D7" s="737">
        <v>1</v>
      </c>
      <c r="E7" s="737">
        <v>2</v>
      </c>
      <c r="F7" s="708">
        <v>5</v>
      </c>
      <c r="G7" s="738">
        <v>72.599999999999994</v>
      </c>
      <c r="H7" s="738">
        <v>0</v>
      </c>
      <c r="I7" s="738">
        <v>0</v>
      </c>
      <c r="J7" s="738">
        <v>69.72</v>
      </c>
      <c r="K7" s="738">
        <v>40.299999999999997</v>
      </c>
      <c r="L7" s="738">
        <v>0</v>
      </c>
      <c r="M7" s="738">
        <v>0</v>
      </c>
      <c r="N7" s="738">
        <v>775.38</v>
      </c>
      <c r="O7" s="738">
        <v>448.06</v>
      </c>
      <c r="P7" s="728">
        <v>6078.87</v>
      </c>
      <c r="Q7" s="728">
        <v>2924.06</v>
      </c>
      <c r="R7" s="728"/>
      <c r="S7" s="728"/>
      <c r="T7" s="728"/>
      <c r="U7" s="728"/>
      <c r="V7" s="728">
        <f t="shared" ref="V7:V40" si="0">H7+J7+L7+N7+P7+R7+T7</f>
        <v>6923.97</v>
      </c>
      <c r="W7" s="728">
        <f t="shared" ref="W7:W40" si="1">I7+K7+M7+O7+Q7+S7+U7</f>
        <v>3412.42</v>
      </c>
      <c r="X7" s="729">
        <f t="shared" ref="X7:X40" si="2">AI7+AP7+AU7+AV7+AW7+AX7</f>
        <v>3890.9089687538808</v>
      </c>
      <c r="Y7" s="730"/>
      <c r="Z7" s="730">
        <f t="shared" ref="Z7:Z40" si="3">13467.75/15652.35*G7</f>
        <v>62.467210993876307</v>
      </c>
      <c r="AA7" s="731">
        <f t="shared" ref="AA7:AA40" si="4">7978.56/15652.35*G7</f>
        <v>37.006804473449677</v>
      </c>
      <c r="AB7" s="731">
        <f t="shared" ref="AB7:AB40" si="5">1000/15652.35*G7</f>
        <v>4.6382811526703653</v>
      </c>
      <c r="AC7" s="732">
        <f t="shared" ref="AC7:AC24" si="6">40250.3/15272.85*G7</f>
        <v>191.33113858906492</v>
      </c>
      <c r="AD7" s="730">
        <f t="shared" ref="AD7:AD24" si="7">414350.14/15272.85*G7</f>
        <v>1969.6271595674677</v>
      </c>
      <c r="AE7" s="730">
        <f t="shared" ref="AE7:AE24" si="8">79501.3/15272.85*G7</f>
        <v>377.9120714208546</v>
      </c>
      <c r="AF7" s="733"/>
      <c r="AG7" s="733"/>
      <c r="AH7" s="733"/>
      <c r="AI7" s="730">
        <f t="shared" ref="AI7:AI40" si="9">AH7+AG7+AF7+AE7+AD7+AC7+AB7+AA7+Z7+Y7</f>
        <v>2642.9826661973839</v>
      </c>
      <c r="AJ7" s="734"/>
      <c r="AK7" s="735"/>
      <c r="AL7" s="648"/>
      <c r="AM7" s="648"/>
      <c r="AN7" s="648"/>
      <c r="AO7" s="648"/>
      <c r="AP7" s="736">
        <f t="shared" ref="AP7:AP40" si="10">AO7+AN7+AM7+AL7+AK7+AJ7</f>
        <v>0</v>
      </c>
      <c r="AQ7" s="467"/>
      <c r="AR7" s="467"/>
      <c r="AS7" s="1515"/>
      <c r="AT7" s="1515"/>
      <c r="AU7" s="1513">
        <f t="shared" ref="AU7:AU40" si="11">AT7+AS7+AR7+AQ7</f>
        <v>0</v>
      </c>
      <c r="AV7" s="1501"/>
      <c r="AW7" s="1513">
        <f t="shared" ref="AW7:AW24" si="12">19785.06/15272.85*G7</f>
        <v>94.048940178159285</v>
      </c>
      <c r="AX7" s="625">
        <f t="shared" ref="AX7:AX24" si="13">242740.99/15272.85*G7</f>
        <v>1153.8773623783379</v>
      </c>
      <c r="AY7" s="1501">
        <f t="shared" ref="AY7:AY40" si="14">V7-X7</f>
        <v>3033.0610312461195</v>
      </c>
      <c r="AZ7" s="1502">
        <f t="shared" ref="AZ7:AZ41" si="15">W7/V7*100</f>
        <v>49.284153455315376</v>
      </c>
      <c r="BA7" s="1513">
        <f t="shared" ref="BA7:BA41" si="16">X7/G7/9</f>
        <v>5.9548652720445077</v>
      </c>
      <c r="BB7" s="1521">
        <f t="shared" ref="BB7:BB41" si="17">V7-W7</f>
        <v>3511.55</v>
      </c>
      <c r="BC7" s="1522">
        <f t="shared" ref="BC7:BC41" si="18">T7-U7</f>
        <v>0</v>
      </c>
      <c r="BD7" s="1521">
        <v>10.97</v>
      </c>
      <c r="BE7" s="1521"/>
    </row>
    <row r="8" spans="1:57" s="124" customFormat="1" ht="15" x14ac:dyDescent="0.25">
      <c r="A8" s="6">
        <v>3</v>
      </c>
      <c r="B8" s="1320" t="s">
        <v>666</v>
      </c>
      <c r="C8" s="737">
        <v>1983</v>
      </c>
      <c r="D8" s="737">
        <v>1</v>
      </c>
      <c r="E8" s="737">
        <v>2</v>
      </c>
      <c r="F8" s="349">
        <v>4</v>
      </c>
      <c r="G8" s="738">
        <v>80</v>
      </c>
      <c r="H8" s="738">
        <v>0</v>
      </c>
      <c r="I8" s="738">
        <v>0</v>
      </c>
      <c r="J8" s="738">
        <v>9.9</v>
      </c>
      <c r="K8" s="738">
        <v>6.45</v>
      </c>
      <c r="L8" s="738">
        <v>0</v>
      </c>
      <c r="M8" s="738">
        <v>0</v>
      </c>
      <c r="N8" s="738">
        <v>110.16</v>
      </c>
      <c r="O8" s="738">
        <v>71.73</v>
      </c>
      <c r="P8" s="728">
        <v>524.20000000000005</v>
      </c>
      <c r="Q8" s="728">
        <v>341.34</v>
      </c>
      <c r="R8" s="728"/>
      <c r="S8" s="728"/>
      <c r="T8" s="728"/>
      <c r="U8" s="728"/>
      <c r="V8" s="728">
        <f t="shared" si="0"/>
        <v>644.26</v>
      </c>
      <c r="W8" s="728">
        <f t="shared" si="1"/>
        <v>419.52</v>
      </c>
      <c r="X8" s="729">
        <f t="shared" si="2"/>
        <v>4287.5029958720452</v>
      </c>
      <c r="Y8" s="730"/>
      <c r="Z8" s="730">
        <f t="shared" si="3"/>
        <v>68.834392279753516</v>
      </c>
      <c r="AA8" s="731">
        <f t="shared" si="4"/>
        <v>40.778847904627746</v>
      </c>
      <c r="AB8" s="731">
        <f t="shared" si="5"/>
        <v>5.1110536117579786</v>
      </c>
      <c r="AC8" s="732">
        <f t="shared" si="6"/>
        <v>210.83321056646272</v>
      </c>
      <c r="AD8" s="730">
        <f t="shared" si="7"/>
        <v>2170.3880546197993</v>
      </c>
      <c r="AE8" s="730">
        <f t="shared" si="8"/>
        <v>416.43203462353131</v>
      </c>
      <c r="AF8" s="733"/>
      <c r="AG8" s="733"/>
      <c r="AH8" s="733"/>
      <c r="AI8" s="730">
        <f t="shared" si="9"/>
        <v>2912.3775936059324</v>
      </c>
      <c r="AJ8" s="734"/>
      <c r="AK8" s="735"/>
      <c r="AL8" s="648"/>
      <c r="AM8" s="648"/>
      <c r="AN8" s="648"/>
      <c r="AO8" s="648"/>
      <c r="AP8" s="736">
        <f t="shared" si="10"/>
        <v>0</v>
      </c>
      <c r="AQ8" s="467"/>
      <c r="AR8" s="467"/>
      <c r="AS8" s="1515"/>
      <c r="AT8" s="1515"/>
      <c r="AU8" s="1513">
        <f t="shared" si="11"/>
        <v>0</v>
      </c>
      <c r="AV8" s="1501"/>
      <c r="AW8" s="1513">
        <f t="shared" si="12"/>
        <v>103.63519578860527</v>
      </c>
      <c r="AX8" s="625">
        <f t="shared" si="13"/>
        <v>1271.4902064775074</v>
      </c>
      <c r="AY8" s="1501">
        <f t="shared" si="14"/>
        <v>-3643.242995872045</v>
      </c>
      <c r="AZ8" s="1502">
        <f t="shared" si="15"/>
        <v>65.116567845279846</v>
      </c>
      <c r="BA8" s="1513">
        <f t="shared" si="16"/>
        <v>5.9548652720445068</v>
      </c>
      <c r="BB8" s="1521">
        <f t="shared" si="17"/>
        <v>224.74</v>
      </c>
      <c r="BC8" s="1522">
        <f t="shared" si="18"/>
        <v>0</v>
      </c>
      <c r="BD8" s="1521"/>
      <c r="BE8" s="1521"/>
    </row>
    <row r="9" spans="1:57" s="124" customFormat="1" ht="15" x14ac:dyDescent="0.25">
      <c r="A9" s="6">
        <v>4</v>
      </c>
      <c r="B9" s="1320" t="s">
        <v>667</v>
      </c>
      <c r="C9" s="737">
        <v>1963</v>
      </c>
      <c r="D9" s="737">
        <v>1</v>
      </c>
      <c r="E9" s="737">
        <v>2</v>
      </c>
      <c r="F9" s="708">
        <v>5</v>
      </c>
      <c r="G9" s="738">
        <v>114.5</v>
      </c>
      <c r="H9" s="738">
        <v>0</v>
      </c>
      <c r="I9" s="738">
        <v>0</v>
      </c>
      <c r="J9" s="738">
        <v>-36.64</v>
      </c>
      <c r="K9" s="738">
        <v>0</v>
      </c>
      <c r="L9" s="738">
        <v>0</v>
      </c>
      <c r="M9" s="738">
        <v>0</v>
      </c>
      <c r="N9" s="738">
        <v>-407.62</v>
      </c>
      <c r="O9" s="738">
        <v>0</v>
      </c>
      <c r="P9" s="728">
        <v>-1763.3</v>
      </c>
      <c r="Q9" s="728">
        <v>0</v>
      </c>
      <c r="R9" s="728"/>
      <c r="S9" s="728"/>
      <c r="T9" s="728"/>
      <c r="U9" s="728"/>
      <c r="V9" s="728">
        <f t="shared" si="0"/>
        <v>-2207.56</v>
      </c>
      <c r="W9" s="728">
        <f t="shared" si="1"/>
        <v>0</v>
      </c>
      <c r="X9" s="729">
        <f t="shared" si="2"/>
        <v>6136.4886628418653</v>
      </c>
      <c r="Y9" s="730"/>
      <c r="Z9" s="730">
        <f t="shared" si="3"/>
        <v>98.519223950397219</v>
      </c>
      <c r="AA9" s="731">
        <f t="shared" si="4"/>
        <v>58.364726063498459</v>
      </c>
      <c r="AB9" s="731">
        <f t="shared" si="5"/>
        <v>7.3151954818286065</v>
      </c>
      <c r="AC9" s="732">
        <f t="shared" si="6"/>
        <v>301.7550326232498</v>
      </c>
      <c r="AD9" s="730">
        <f t="shared" si="7"/>
        <v>3106.3679031745878</v>
      </c>
      <c r="AE9" s="730">
        <f t="shared" si="8"/>
        <v>596.01834955492916</v>
      </c>
      <c r="AF9" s="733"/>
      <c r="AG9" s="733"/>
      <c r="AH9" s="733"/>
      <c r="AI9" s="730">
        <f t="shared" si="9"/>
        <v>4168.3404308484915</v>
      </c>
      <c r="AJ9" s="734"/>
      <c r="AK9" s="735"/>
      <c r="AL9" s="648"/>
      <c r="AM9" s="648"/>
      <c r="AN9" s="648"/>
      <c r="AO9" s="648"/>
      <c r="AP9" s="736">
        <f t="shared" si="10"/>
        <v>0</v>
      </c>
      <c r="AQ9" s="467"/>
      <c r="AR9" s="467"/>
      <c r="AS9" s="1515"/>
      <c r="AT9" s="1515"/>
      <c r="AU9" s="1513">
        <f t="shared" si="11"/>
        <v>0</v>
      </c>
      <c r="AV9" s="1501"/>
      <c r="AW9" s="1513">
        <f t="shared" si="12"/>
        <v>148.3278739724413</v>
      </c>
      <c r="AX9" s="625">
        <f t="shared" si="13"/>
        <v>1819.8203580209326</v>
      </c>
      <c r="AY9" s="1501">
        <f t="shared" si="14"/>
        <v>-8344.0486628418657</v>
      </c>
      <c r="AZ9" s="1502">
        <f t="shared" si="15"/>
        <v>0</v>
      </c>
      <c r="BA9" s="1513">
        <f t="shared" si="16"/>
        <v>5.9548652720445077</v>
      </c>
      <c r="BB9" s="1521">
        <f t="shared" si="17"/>
        <v>-2207.56</v>
      </c>
      <c r="BC9" s="1522">
        <f t="shared" si="18"/>
        <v>0</v>
      </c>
      <c r="BD9" s="1521"/>
      <c r="BE9" s="1521"/>
    </row>
    <row r="10" spans="1:57" s="124" customFormat="1" ht="15" x14ac:dyDescent="0.25">
      <c r="A10" s="6">
        <v>5</v>
      </c>
      <c r="B10" s="1320" t="s">
        <v>94</v>
      </c>
      <c r="C10" s="737">
        <v>1963</v>
      </c>
      <c r="D10" s="737">
        <v>1</v>
      </c>
      <c r="E10" s="737">
        <v>1</v>
      </c>
      <c r="F10" s="349">
        <v>2</v>
      </c>
      <c r="G10" s="738">
        <v>47.8</v>
      </c>
      <c r="H10" s="738">
        <v>0</v>
      </c>
      <c r="I10" s="738">
        <v>0</v>
      </c>
      <c r="J10" s="738">
        <v>47.34</v>
      </c>
      <c r="K10" s="738">
        <v>55.23</v>
      </c>
      <c r="L10" s="738">
        <v>0</v>
      </c>
      <c r="M10" s="738">
        <v>0</v>
      </c>
      <c r="N10" s="738">
        <v>526.5</v>
      </c>
      <c r="O10" s="738">
        <v>614.25</v>
      </c>
      <c r="P10" s="728">
        <v>4114.5600000000004</v>
      </c>
      <c r="Q10" s="728">
        <v>3991.31</v>
      </c>
      <c r="R10" s="728"/>
      <c r="S10" s="728"/>
      <c r="T10" s="728"/>
      <c r="U10" s="728"/>
      <c r="V10" s="728">
        <f t="shared" si="0"/>
        <v>4688.4000000000005</v>
      </c>
      <c r="W10" s="728">
        <f t="shared" si="1"/>
        <v>4660.79</v>
      </c>
      <c r="X10" s="729">
        <f t="shared" si="2"/>
        <v>2561.783040033547</v>
      </c>
      <c r="Y10" s="730"/>
      <c r="Z10" s="730">
        <f t="shared" si="3"/>
        <v>41.128549387152724</v>
      </c>
      <c r="AA10" s="731">
        <f t="shared" si="4"/>
        <v>24.365361623015076</v>
      </c>
      <c r="AB10" s="731">
        <f t="shared" si="5"/>
        <v>3.0538545330253921</v>
      </c>
      <c r="AC10" s="732">
        <f t="shared" si="6"/>
        <v>125.97284331346148</v>
      </c>
      <c r="AD10" s="730">
        <f t="shared" si="7"/>
        <v>1296.8068626353299</v>
      </c>
      <c r="AE10" s="730">
        <f t="shared" si="8"/>
        <v>248.81814068755992</v>
      </c>
      <c r="AF10" s="733"/>
      <c r="AG10" s="733"/>
      <c r="AH10" s="733"/>
      <c r="AI10" s="730">
        <f t="shared" si="9"/>
        <v>1740.1456121795445</v>
      </c>
      <c r="AJ10" s="734"/>
      <c r="AK10" s="735"/>
      <c r="AL10" s="648"/>
      <c r="AM10" s="648"/>
      <c r="AN10" s="648"/>
      <c r="AO10" s="648"/>
      <c r="AP10" s="736">
        <f t="shared" si="10"/>
        <v>0</v>
      </c>
      <c r="AQ10" s="467"/>
      <c r="AR10" s="467"/>
      <c r="AS10" s="1515"/>
      <c r="AT10" s="1515"/>
      <c r="AU10" s="1513">
        <f t="shared" si="11"/>
        <v>0</v>
      </c>
      <c r="AV10" s="1501"/>
      <c r="AW10" s="1513">
        <f t="shared" si="12"/>
        <v>61.922029483691652</v>
      </c>
      <c r="AX10" s="625">
        <f t="shared" si="13"/>
        <v>759.71539837031071</v>
      </c>
      <c r="AY10" s="1501">
        <f t="shared" si="14"/>
        <v>2126.6169599664536</v>
      </c>
      <c r="AZ10" s="1502">
        <f t="shared" si="15"/>
        <v>99.411099735517439</v>
      </c>
      <c r="BA10" s="1513">
        <f t="shared" si="16"/>
        <v>5.9548652720445077</v>
      </c>
      <c r="BB10" s="1521">
        <f t="shared" si="17"/>
        <v>27.610000000000582</v>
      </c>
      <c r="BC10" s="1522">
        <f t="shared" si="18"/>
        <v>0</v>
      </c>
      <c r="BD10" s="1521">
        <v>10.94</v>
      </c>
      <c r="BE10" s="1521"/>
    </row>
    <row r="11" spans="1:57" s="124" customFormat="1" ht="15" x14ac:dyDescent="0.25">
      <c r="A11" s="6">
        <v>6</v>
      </c>
      <c r="B11" s="1320" t="s">
        <v>95</v>
      </c>
      <c r="C11" s="737">
        <v>1983</v>
      </c>
      <c r="D11" s="737">
        <v>1</v>
      </c>
      <c r="E11" s="737">
        <v>1</v>
      </c>
      <c r="F11" s="708">
        <v>4</v>
      </c>
      <c r="G11" s="738">
        <v>47.9</v>
      </c>
      <c r="H11" s="738">
        <v>0</v>
      </c>
      <c r="I11" s="738">
        <v>0</v>
      </c>
      <c r="J11" s="738">
        <v>43.56</v>
      </c>
      <c r="K11" s="738">
        <v>34.5</v>
      </c>
      <c r="L11" s="738">
        <v>0</v>
      </c>
      <c r="M11" s="738">
        <v>0</v>
      </c>
      <c r="N11" s="738">
        <v>484.86</v>
      </c>
      <c r="O11" s="738">
        <v>379.94</v>
      </c>
      <c r="P11" s="728">
        <v>3789.12</v>
      </c>
      <c r="Q11" s="728">
        <v>1820.95</v>
      </c>
      <c r="R11" s="728"/>
      <c r="S11" s="728"/>
      <c r="T11" s="728"/>
      <c r="U11" s="728"/>
      <c r="V11" s="728">
        <f t="shared" si="0"/>
        <v>4317.54</v>
      </c>
      <c r="W11" s="728">
        <f t="shared" si="1"/>
        <v>2235.39</v>
      </c>
      <c r="X11" s="729">
        <f t="shared" si="2"/>
        <v>2567.1424187783869</v>
      </c>
      <c r="Y11" s="730"/>
      <c r="Z11" s="730">
        <f t="shared" si="3"/>
        <v>41.214592377502413</v>
      </c>
      <c r="AA11" s="731">
        <f t="shared" si="4"/>
        <v>24.41633518289586</v>
      </c>
      <c r="AB11" s="731">
        <f t="shared" si="5"/>
        <v>3.0602433500400896</v>
      </c>
      <c r="AC11" s="732">
        <f t="shared" si="6"/>
        <v>126.23638482666956</v>
      </c>
      <c r="AD11" s="730">
        <f t="shared" si="7"/>
        <v>1299.5198477036049</v>
      </c>
      <c r="AE11" s="730">
        <f t="shared" si="8"/>
        <v>249.33868073083934</v>
      </c>
      <c r="AF11" s="733"/>
      <c r="AG11" s="733"/>
      <c r="AH11" s="733"/>
      <c r="AI11" s="730">
        <f t="shared" si="9"/>
        <v>1743.7860841715521</v>
      </c>
      <c r="AJ11" s="734"/>
      <c r="AK11" s="735"/>
      <c r="AL11" s="648"/>
      <c r="AM11" s="648"/>
      <c r="AN11" s="648"/>
      <c r="AO11" s="648"/>
      <c r="AP11" s="736">
        <f t="shared" si="10"/>
        <v>0</v>
      </c>
      <c r="AQ11" s="467"/>
      <c r="AR11" s="467"/>
      <c r="AS11" s="1515"/>
      <c r="AT11" s="1515"/>
      <c r="AU11" s="1513">
        <f t="shared" si="11"/>
        <v>0</v>
      </c>
      <c r="AV11" s="1501"/>
      <c r="AW11" s="1513">
        <f t="shared" si="12"/>
        <v>62.051573478427407</v>
      </c>
      <c r="AX11" s="625">
        <f t="shared" si="13"/>
        <v>761.30476112840756</v>
      </c>
      <c r="AY11" s="1501">
        <f t="shared" si="14"/>
        <v>1750.3975812216131</v>
      </c>
      <c r="AZ11" s="1502">
        <f t="shared" si="15"/>
        <v>51.774621659556132</v>
      </c>
      <c r="BA11" s="1513">
        <f t="shared" si="16"/>
        <v>5.9548652720445068</v>
      </c>
      <c r="BB11" s="1521">
        <f t="shared" si="17"/>
        <v>2082.15</v>
      </c>
      <c r="BC11" s="1522">
        <f t="shared" si="18"/>
        <v>0</v>
      </c>
      <c r="BD11" s="1521">
        <v>10.94</v>
      </c>
      <c r="BE11" s="1521"/>
    </row>
    <row r="12" spans="1:57" s="124" customFormat="1" ht="15" customHeight="1" x14ac:dyDescent="0.25">
      <c r="A12" s="6">
        <v>7</v>
      </c>
      <c r="B12" s="1320" t="s">
        <v>96</v>
      </c>
      <c r="C12" s="737">
        <v>1963</v>
      </c>
      <c r="D12" s="737">
        <v>1</v>
      </c>
      <c r="E12" s="737">
        <v>1</v>
      </c>
      <c r="F12" s="708">
        <v>4</v>
      </c>
      <c r="G12" s="738">
        <v>53.6</v>
      </c>
      <c r="H12" s="738">
        <v>0</v>
      </c>
      <c r="I12" s="738">
        <v>0</v>
      </c>
      <c r="J12" s="738">
        <v>51.48</v>
      </c>
      <c r="K12" s="738">
        <v>60.06</v>
      </c>
      <c r="L12" s="738">
        <v>0</v>
      </c>
      <c r="M12" s="738">
        <v>0</v>
      </c>
      <c r="N12" s="738">
        <v>366.6</v>
      </c>
      <c r="O12" s="738">
        <v>427.7</v>
      </c>
      <c r="P12" s="728">
        <v>4365.6899999999996</v>
      </c>
      <c r="Q12" s="728">
        <v>4267.6000000000004</v>
      </c>
      <c r="R12" s="728"/>
      <c r="S12" s="728"/>
      <c r="T12" s="728"/>
      <c r="U12" s="728"/>
      <c r="V12" s="728">
        <f t="shared" si="0"/>
        <v>4783.7699999999995</v>
      </c>
      <c r="W12" s="728">
        <f t="shared" si="1"/>
        <v>4755.3600000000006</v>
      </c>
      <c r="X12" s="729">
        <f t="shared" si="2"/>
        <v>2872.6270072342704</v>
      </c>
      <c r="Y12" s="730"/>
      <c r="Z12" s="730">
        <f t="shared" si="3"/>
        <v>46.119042827434853</v>
      </c>
      <c r="AA12" s="731">
        <f t="shared" si="4"/>
        <v>27.321828096100589</v>
      </c>
      <c r="AB12" s="731">
        <f t="shared" si="5"/>
        <v>3.4244059198778456</v>
      </c>
      <c r="AC12" s="732">
        <f t="shared" si="6"/>
        <v>141.25825107953003</v>
      </c>
      <c r="AD12" s="730">
        <f t="shared" si="7"/>
        <v>1454.1599965952655</v>
      </c>
      <c r="AE12" s="730">
        <f t="shared" si="8"/>
        <v>279.00946319776597</v>
      </c>
      <c r="AF12" s="733"/>
      <c r="AG12" s="733"/>
      <c r="AH12" s="733"/>
      <c r="AI12" s="730">
        <f t="shared" si="9"/>
        <v>1951.2929877159747</v>
      </c>
      <c r="AJ12" s="734"/>
      <c r="AK12" s="735"/>
      <c r="AL12" s="648"/>
      <c r="AM12" s="648"/>
      <c r="AN12" s="648"/>
      <c r="AO12" s="648"/>
      <c r="AP12" s="736">
        <f t="shared" si="10"/>
        <v>0</v>
      </c>
      <c r="AQ12" s="467"/>
      <c r="AR12" s="467"/>
      <c r="AS12" s="1515"/>
      <c r="AT12" s="1515"/>
      <c r="AU12" s="1513">
        <f t="shared" si="11"/>
        <v>0</v>
      </c>
      <c r="AV12" s="1501"/>
      <c r="AW12" s="1513">
        <f t="shared" si="12"/>
        <v>69.435581178365538</v>
      </c>
      <c r="AX12" s="625">
        <f t="shared" si="13"/>
        <v>851.89843833993007</v>
      </c>
      <c r="AY12" s="1501">
        <f t="shared" si="14"/>
        <v>1911.1429927657291</v>
      </c>
      <c r="AZ12" s="1502">
        <f t="shared" si="15"/>
        <v>99.406116932879314</v>
      </c>
      <c r="BA12" s="1513">
        <f t="shared" si="16"/>
        <v>5.9548652720445077</v>
      </c>
      <c r="BB12" s="1521">
        <f t="shared" si="17"/>
        <v>28.409999999998945</v>
      </c>
      <c r="BC12" s="1522">
        <f t="shared" si="18"/>
        <v>0</v>
      </c>
      <c r="BD12" s="1521">
        <v>10.27</v>
      </c>
      <c r="BE12" s="1521"/>
    </row>
    <row r="13" spans="1:57" s="124" customFormat="1" ht="15" x14ac:dyDescent="0.25">
      <c r="A13" s="6">
        <v>8</v>
      </c>
      <c r="B13" s="1320" t="s">
        <v>97</v>
      </c>
      <c r="C13" s="737">
        <v>1967</v>
      </c>
      <c r="D13" s="737">
        <v>1</v>
      </c>
      <c r="E13" s="737">
        <v>2</v>
      </c>
      <c r="F13" s="349">
        <v>4</v>
      </c>
      <c r="G13" s="738">
        <v>49.4</v>
      </c>
      <c r="H13" s="738">
        <v>0</v>
      </c>
      <c r="I13" s="738">
        <v>0</v>
      </c>
      <c r="J13" s="738">
        <v>47.46</v>
      </c>
      <c r="K13" s="738">
        <v>55.37</v>
      </c>
      <c r="L13" s="738">
        <v>0</v>
      </c>
      <c r="M13" s="738">
        <v>0</v>
      </c>
      <c r="N13" s="738">
        <v>337.86</v>
      </c>
      <c r="O13" s="738">
        <v>394.17</v>
      </c>
      <c r="P13" s="728">
        <v>2276.34</v>
      </c>
      <c r="Q13" s="728">
        <v>2196.31</v>
      </c>
      <c r="R13" s="728"/>
      <c r="S13" s="728"/>
      <c r="T13" s="728"/>
      <c r="U13" s="728"/>
      <c r="V13" s="728">
        <f t="shared" si="0"/>
        <v>2661.6600000000003</v>
      </c>
      <c r="W13" s="728">
        <f t="shared" si="1"/>
        <v>2645.85</v>
      </c>
      <c r="X13" s="729">
        <f t="shared" si="2"/>
        <v>2647.5330999509879</v>
      </c>
      <c r="Y13" s="730"/>
      <c r="Z13" s="730">
        <f t="shared" si="3"/>
        <v>42.505237232747795</v>
      </c>
      <c r="AA13" s="731">
        <f t="shared" si="4"/>
        <v>25.180938581107633</v>
      </c>
      <c r="AB13" s="731">
        <f t="shared" si="5"/>
        <v>3.1560756052605519</v>
      </c>
      <c r="AC13" s="732">
        <f t="shared" si="6"/>
        <v>130.18950752479074</v>
      </c>
      <c r="AD13" s="730">
        <f t="shared" si="7"/>
        <v>1340.2146237277261</v>
      </c>
      <c r="AE13" s="730">
        <f t="shared" si="8"/>
        <v>257.14678138003057</v>
      </c>
      <c r="AF13" s="733"/>
      <c r="AG13" s="733"/>
      <c r="AH13" s="733"/>
      <c r="AI13" s="730">
        <f t="shared" si="9"/>
        <v>1798.3931640516635</v>
      </c>
      <c r="AJ13" s="734"/>
      <c r="AK13" s="735"/>
      <c r="AL13" s="648"/>
      <c r="AM13" s="648"/>
      <c r="AN13" s="648"/>
      <c r="AO13" s="648"/>
      <c r="AP13" s="736">
        <f t="shared" si="10"/>
        <v>0</v>
      </c>
      <c r="AQ13" s="467"/>
      <c r="AR13" s="467"/>
      <c r="AS13" s="1515"/>
      <c r="AT13" s="1515"/>
      <c r="AU13" s="1513">
        <f t="shared" si="11"/>
        <v>0</v>
      </c>
      <c r="AV13" s="1501"/>
      <c r="AW13" s="1513">
        <f t="shared" si="12"/>
        <v>63.994733399463755</v>
      </c>
      <c r="AX13" s="625">
        <f t="shared" si="13"/>
        <v>785.14520249986083</v>
      </c>
      <c r="AY13" s="1501">
        <f t="shared" si="14"/>
        <v>14.12690004901242</v>
      </c>
      <c r="AZ13" s="1502">
        <f t="shared" si="15"/>
        <v>99.406009783368248</v>
      </c>
      <c r="BA13" s="1513">
        <f t="shared" si="16"/>
        <v>5.9548652720445077</v>
      </c>
      <c r="BB13" s="1521">
        <f t="shared" si="17"/>
        <v>15.8100000000004</v>
      </c>
      <c r="BC13" s="1522">
        <f t="shared" si="18"/>
        <v>0</v>
      </c>
      <c r="BD13" s="1521">
        <v>6.2</v>
      </c>
      <c r="BE13" s="1521"/>
    </row>
    <row r="14" spans="1:57" s="124" customFormat="1" ht="15" x14ac:dyDescent="0.25">
      <c r="A14" s="6">
        <v>9</v>
      </c>
      <c r="B14" s="1320" t="s">
        <v>98</v>
      </c>
      <c r="C14" s="737">
        <v>1972</v>
      </c>
      <c r="D14" s="737">
        <v>1</v>
      </c>
      <c r="E14" s="737">
        <v>1</v>
      </c>
      <c r="F14" s="708">
        <v>3</v>
      </c>
      <c r="G14" s="738">
        <v>24.6</v>
      </c>
      <c r="H14" s="738">
        <v>0</v>
      </c>
      <c r="I14" s="738">
        <v>0</v>
      </c>
      <c r="J14" s="738">
        <v>23.64</v>
      </c>
      <c r="K14" s="738">
        <v>27.58</v>
      </c>
      <c r="L14" s="738">
        <v>0</v>
      </c>
      <c r="M14" s="738">
        <v>0</v>
      </c>
      <c r="N14" s="738">
        <v>84.12</v>
      </c>
      <c r="O14" s="738">
        <v>98.14</v>
      </c>
      <c r="P14" s="728">
        <v>1089.3</v>
      </c>
      <c r="Q14" s="728">
        <v>1064.21</v>
      </c>
      <c r="R14" s="728"/>
      <c r="S14" s="728"/>
      <c r="T14" s="728"/>
      <c r="U14" s="728"/>
      <c r="V14" s="728">
        <f t="shared" si="0"/>
        <v>1197.06</v>
      </c>
      <c r="W14" s="728">
        <f t="shared" si="1"/>
        <v>1189.93</v>
      </c>
      <c r="X14" s="729">
        <f t="shared" si="2"/>
        <v>1318.4071712306538</v>
      </c>
      <c r="Y14" s="730"/>
      <c r="Z14" s="730">
        <f t="shared" si="3"/>
        <v>21.166575626024208</v>
      </c>
      <c r="AA14" s="731">
        <f t="shared" si="4"/>
        <v>12.539495730673032</v>
      </c>
      <c r="AB14" s="731">
        <f t="shared" si="5"/>
        <v>1.5716489856155784</v>
      </c>
      <c r="AC14" s="732">
        <f t="shared" si="6"/>
        <v>64.831212249187288</v>
      </c>
      <c r="AD14" s="730">
        <f t="shared" si="7"/>
        <v>667.39432679558831</v>
      </c>
      <c r="AE14" s="730">
        <f t="shared" si="8"/>
        <v>128.05285064673586</v>
      </c>
      <c r="AF14" s="733"/>
      <c r="AG14" s="733"/>
      <c r="AH14" s="733"/>
      <c r="AI14" s="730">
        <f t="shared" si="9"/>
        <v>895.5561100338241</v>
      </c>
      <c r="AJ14" s="734"/>
      <c r="AK14" s="735"/>
      <c r="AL14" s="648"/>
      <c r="AM14" s="648"/>
      <c r="AN14" s="648"/>
      <c r="AO14" s="648"/>
      <c r="AP14" s="736">
        <f t="shared" si="10"/>
        <v>0</v>
      </c>
      <c r="AQ14" s="467"/>
      <c r="AR14" s="467"/>
      <c r="AS14" s="1515"/>
      <c r="AT14" s="1515"/>
      <c r="AU14" s="1513">
        <f t="shared" si="11"/>
        <v>0</v>
      </c>
      <c r="AV14" s="1501"/>
      <c r="AW14" s="1513">
        <f t="shared" si="12"/>
        <v>31.867822704996126</v>
      </c>
      <c r="AX14" s="625">
        <f t="shared" si="13"/>
        <v>390.98323849183356</v>
      </c>
      <c r="AY14" s="1501">
        <f t="shared" si="14"/>
        <v>-121.34717123065388</v>
      </c>
      <c r="AZ14" s="1502">
        <f t="shared" si="15"/>
        <v>99.404374049755234</v>
      </c>
      <c r="BA14" s="1513">
        <f t="shared" si="16"/>
        <v>5.9548652720445068</v>
      </c>
      <c r="BB14" s="1521">
        <f t="shared" si="17"/>
        <v>7.1299999999998818</v>
      </c>
      <c r="BC14" s="1522">
        <f t="shared" si="18"/>
        <v>0</v>
      </c>
      <c r="BD14" s="1521">
        <v>5.6</v>
      </c>
      <c r="BE14" s="1521"/>
    </row>
    <row r="15" spans="1:57" s="124" customFormat="1" ht="15" x14ac:dyDescent="0.25">
      <c r="A15" s="270">
        <v>10</v>
      </c>
      <c r="B15" s="507" t="s">
        <v>99</v>
      </c>
      <c r="C15" s="739">
        <v>1993</v>
      </c>
      <c r="D15" s="739">
        <v>1</v>
      </c>
      <c r="E15" s="739">
        <v>1</v>
      </c>
      <c r="F15" s="740">
        <v>5</v>
      </c>
      <c r="G15" s="741">
        <v>92</v>
      </c>
      <c r="H15" s="741">
        <v>0</v>
      </c>
      <c r="I15" s="741">
        <v>0</v>
      </c>
      <c r="J15" s="741">
        <v>88.32</v>
      </c>
      <c r="K15" s="741">
        <v>140.53</v>
      </c>
      <c r="L15" s="741">
        <v>0</v>
      </c>
      <c r="M15" s="741">
        <v>0</v>
      </c>
      <c r="N15" s="741">
        <v>982.59</v>
      </c>
      <c r="O15" s="741">
        <v>1530.37</v>
      </c>
      <c r="P15" s="742">
        <v>4424.2700000000004</v>
      </c>
      <c r="Q15" s="742">
        <v>4476.53</v>
      </c>
      <c r="R15" s="742"/>
      <c r="S15" s="742"/>
      <c r="T15" s="742"/>
      <c r="U15" s="742"/>
      <c r="V15" s="728">
        <f t="shared" si="0"/>
        <v>5495.18</v>
      </c>
      <c r="W15" s="728">
        <f t="shared" si="1"/>
        <v>6147.4299999999994</v>
      </c>
      <c r="X15" s="729">
        <f t="shared" si="2"/>
        <v>4930.6284452528525</v>
      </c>
      <c r="Y15" s="742"/>
      <c r="Z15" s="730">
        <f t="shared" si="3"/>
        <v>79.159551121716547</v>
      </c>
      <c r="AA15" s="731">
        <f t="shared" si="4"/>
        <v>46.895675090321909</v>
      </c>
      <c r="AB15" s="731">
        <f t="shared" si="5"/>
        <v>5.8777116535216756</v>
      </c>
      <c r="AC15" s="732">
        <f t="shared" si="6"/>
        <v>242.45819215143214</v>
      </c>
      <c r="AD15" s="730">
        <f t="shared" si="7"/>
        <v>2495.9462628127694</v>
      </c>
      <c r="AE15" s="730">
        <f t="shared" si="8"/>
        <v>478.89683981706099</v>
      </c>
      <c r="AF15" s="733"/>
      <c r="AG15" s="733"/>
      <c r="AH15" s="733"/>
      <c r="AI15" s="730">
        <f t="shared" si="9"/>
        <v>3349.2342326468229</v>
      </c>
      <c r="AJ15" s="734"/>
      <c r="AK15" s="735"/>
      <c r="AL15" s="648"/>
      <c r="AM15" s="648"/>
      <c r="AN15" s="648"/>
      <c r="AO15" s="744"/>
      <c r="AP15" s="736">
        <f t="shared" si="10"/>
        <v>0</v>
      </c>
      <c r="AQ15" s="467"/>
      <c r="AR15" s="467"/>
      <c r="AS15" s="1515"/>
      <c r="AT15" s="1515"/>
      <c r="AU15" s="1513">
        <f t="shared" si="11"/>
        <v>0</v>
      </c>
      <c r="AV15" s="1501"/>
      <c r="AW15" s="1513">
        <f t="shared" si="12"/>
        <v>119.18047515689607</v>
      </c>
      <c r="AX15" s="625">
        <f t="shared" si="13"/>
        <v>1462.2137374491335</v>
      </c>
      <c r="AY15" s="1501">
        <f t="shared" si="14"/>
        <v>564.55155474714775</v>
      </c>
      <c r="AZ15" s="1502">
        <f t="shared" si="15"/>
        <v>111.86949290105146</v>
      </c>
      <c r="BA15" s="1513">
        <f t="shared" si="16"/>
        <v>5.9548652720445077</v>
      </c>
      <c r="BB15" s="1521">
        <f t="shared" si="17"/>
        <v>-652.24999999999909</v>
      </c>
      <c r="BC15" s="1522">
        <f t="shared" si="18"/>
        <v>0</v>
      </c>
      <c r="BD15" s="1521">
        <v>6.87</v>
      </c>
      <c r="BE15" s="1521"/>
    </row>
    <row r="16" spans="1:57" s="124" customFormat="1" ht="15" x14ac:dyDescent="0.25">
      <c r="A16" s="19">
        <v>11</v>
      </c>
      <c r="B16" s="1514" t="s">
        <v>100</v>
      </c>
      <c r="C16" s="745">
        <v>1980</v>
      </c>
      <c r="D16" s="745">
        <v>3</v>
      </c>
      <c r="E16" s="745">
        <v>24</v>
      </c>
      <c r="F16" s="349">
        <v>59</v>
      </c>
      <c r="G16" s="741">
        <v>1440.6</v>
      </c>
      <c r="H16" s="741">
        <v>20831.22</v>
      </c>
      <c r="I16" s="741">
        <v>22766.39</v>
      </c>
      <c r="J16" s="741">
        <v>1383</v>
      </c>
      <c r="K16" s="741">
        <v>1612.42</v>
      </c>
      <c r="L16" s="741">
        <v>0</v>
      </c>
      <c r="M16" s="741">
        <v>0</v>
      </c>
      <c r="N16" s="741">
        <v>15385.56</v>
      </c>
      <c r="O16" s="741">
        <v>17938.38</v>
      </c>
      <c r="P16" s="728">
        <v>144391.32</v>
      </c>
      <c r="Q16" s="728">
        <v>131795.64000000001</v>
      </c>
      <c r="R16" s="728">
        <v>3261.48</v>
      </c>
      <c r="S16" s="728">
        <v>3269.55</v>
      </c>
      <c r="T16" s="728">
        <v>77792.399999999994</v>
      </c>
      <c r="U16" s="728">
        <v>75567.350000000006</v>
      </c>
      <c r="V16" s="728">
        <f t="shared" si="0"/>
        <v>263044.98</v>
      </c>
      <c r="W16" s="728">
        <f t="shared" si="1"/>
        <v>252949.73</v>
      </c>
      <c r="X16" s="729">
        <f t="shared" si="2"/>
        <v>182945.43547290069</v>
      </c>
      <c r="Y16" s="730">
        <v>776.68</v>
      </c>
      <c r="Z16" s="730">
        <f t="shared" si="3"/>
        <v>1239.5353189776613</v>
      </c>
      <c r="AA16" s="731">
        <f t="shared" si="4"/>
        <v>734.32510364258405</v>
      </c>
      <c r="AB16" s="731">
        <f t="shared" si="5"/>
        <v>92.037297913731791</v>
      </c>
      <c r="AC16" s="732">
        <f t="shared" si="6"/>
        <v>3796.5790392755775</v>
      </c>
      <c r="AD16" s="730">
        <f t="shared" si="7"/>
        <v>39083.262893566032</v>
      </c>
      <c r="AE16" s="730">
        <f t="shared" si="8"/>
        <v>7498.8998634832387</v>
      </c>
      <c r="AF16" s="733">
        <v>2887.43</v>
      </c>
      <c r="AG16" s="733">
        <f>493689.35/13841.67*G16</f>
        <v>51381.724720355269</v>
      </c>
      <c r="AH16" s="733">
        <f>AG16*0.202</f>
        <v>10379.108393511766</v>
      </c>
      <c r="AI16" s="730">
        <f t="shared" si="9"/>
        <v>117869.58263072584</v>
      </c>
      <c r="AJ16" s="734">
        <v>4783.74</v>
      </c>
      <c r="AK16" s="735"/>
      <c r="AL16" s="648"/>
      <c r="AM16" s="648"/>
      <c r="AN16" s="648">
        <v>10246.280000000001</v>
      </c>
      <c r="AO16" s="648"/>
      <c r="AP16" s="736">
        <f t="shared" si="10"/>
        <v>15030.02</v>
      </c>
      <c r="AQ16" s="467">
        <f>2763/8714.01*G16</f>
        <v>456.77911776552929</v>
      </c>
      <c r="AR16" s="467">
        <v>87.85</v>
      </c>
      <c r="AS16" s="1515">
        <f>124493.27/8714.01*G16</f>
        <v>20581.225493429545</v>
      </c>
      <c r="AT16" s="1515">
        <f>AS16*0.202</f>
        <v>4157.4075496727683</v>
      </c>
      <c r="AU16" s="1513">
        <f t="shared" si="11"/>
        <v>25283.262160867842</v>
      </c>
      <c r="AV16" s="1501"/>
      <c r="AW16" s="1513">
        <f t="shared" si="12"/>
        <v>1866.2107881633094</v>
      </c>
      <c r="AX16" s="625">
        <f t="shared" si="13"/>
        <v>22896.359893143715</v>
      </c>
      <c r="AY16" s="1501">
        <f t="shared" si="14"/>
        <v>80099.544527099293</v>
      </c>
      <c r="AZ16" s="1502">
        <f t="shared" si="15"/>
        <v>96.162158274223685</v>
      </c>
      <c r="BA16" s="1513">
        <f t="shared" si="16"/>
        <v>14.110280860821934</v>
      </c>
      <c r="BB16" s="1521">
        <f t="shared" si="17"/>
        <v>10095.249999999971</v>
      </c>
      <c r="BC16" s="1522">
        <f t="shared" si="18"/>
        <v>2225.0499999999884</v>
      </c>
      <c r="BD16" s="1521">
        <v>14.53</v>
      </c>
      <c r="BE16" s="1521">
        <v>6</v>
      </c>
    </row>
    <row r="17" spans="1:57" s="124" customFormat="1" ht="15" x14ac:dyDescent="0.25">
      <c r="A17" s="19">
        <v>12</v>
      </c>
      <c r="B17" s="1514" t="s">
        <v>101</v>
      </c>
      <c r="C17" s="745">
        <v>1978</v>
      </c>
      <c r="D17" s="745">
        <v>3</v>
      </c>
      <c r="E17" s="745">
        <v>24</v>
      </c>
      <c r="F17" s="708">
        <v>71</v>
      </c>
      <c r="G17" s="741">
        <v>1449.9</v>
      </c>
      <c r="H17" s="741">
        <v>20965.62</v>
      </c>
      <c r="I17" s="741">
        <v>20131.669999999998</v>
      </c>
      <c r="J17" s="741">
        <v>1391.94</v>
      </c>
      <c r="K17" s="741">
        <v>1423.82</v>
      </c>
      <c r="L17" s="741">
        <v>0</v>
      </c>
      <c r="M17" s="741">
        <v>0</v>
      </c>
      <c r="N17" s="741">
        <v>15484.98</v>
      </c>
      <c r="O17" s="741">
        <v>15611.26</v>
      </c>
      <c r="P17" s="728">
        <v>145323.39000000001</v>
      </c>
      <c r="Q17" s="728">
        <v>112973.69</v>
      </c>
      <c r="R17" s="728">
        <v>3323.07</v>
      </c>
      <c r="S17" s="728">
        <v>2543.4</v>
      </c>
      <c r="T17" s="728">
        <v>78294.600000000006</v>
      </c>
      <c r="U17" s="728">
        <v>64155.71</v>
      </c>
      <c r="V17" s="728">
        <f t="shared" si="0"/>
        <v>264783.59999999998</v>
      </c>
      <c r="W17" s="728">
        <f t="shared" si="1"/>
        <v>216839.55</v>
      </c>
      <c r="X17" s="729">
        <f t="shared" si="2"/>
        <v>183968.81621418768</v>
      </c>
      <c r="Y17" s="730">
        <v>2353.5500000000002</v>
      </c>
      <c r="Z17" s="730">
        <f t="shared" si="3"/>
        <v>1247.5373170801829</v>
      </c>
      <c r="AA17" s="731">
        <f t="shared" si="4"/>
        <v>739.06564471149716</v>
      </c>
      <c r="AB17" s="731">
        <f t="shared" si="5"/>
        <v>92.631457896098667</v>
      </c>
      <c r="AC17" s="732">
        <f t="shared" si="6"/>
        <v>3821.0884000039291</v>
      </c>
      <c r="AD17" s="730">
        <f t="shared" si="7"/>
        <v>39335.570504915588</v>
      </c>
      <c r="AE17" s="730">
        <f t="shared" si="8"/>
        <v>7547.3100875082255</v>
      </c>
      <c r="AF17" s="733">
        <v>2331.98</v>
      </c>
      <c r="AG17" s="733">
        <f t="shared" ref="AG17:AG22" si="19">493689.35/13841.67*G17</f>
        <v>51713.426816634121</v>
      </c>
      <c r="AH17" s="733">
        <f t="shared" ref="AH17:AH22" si="20">AG17*0.202</f>
        <v>10446.112216960093</v>
      </c>
      <c r="AI17" s="730">
        <f t="shared" si="9"/>
        <v>119628.27244570975</v>
      </c>
      <c r="AJ17" s="734"/>
      <c r="AK17" s="735"/>
      <c r="AL17" s="648"/>
      <c r="AM17" s="648"/>
      <c r="AN17" s="648">
        <v>13972.2</v>
      </c>
      <c r="AO17" s="648"/>
      <c r="AP17" s="736">
        <f t="shared" si="10"/>
        <v>13972.2</v>
      </c>
      <c r="AQ17" s="467">
        <f t="shared" ref="AQ17:AQ20" si="21">2763/8714.01*G17</f>
        <v>459.72792089979242</v>
      </c>
      <c r="AR17" s="467">
        <v>87.85</v>
      </c>
      <c r="AS17" s="1515">
        <f t="shared" ref="AS17:AS20" si="22">124493.27/8714.01*G17</f>
        <v>20714.090547635358</v>
      </c>
      <c r="AT17" s="1515">
        <f t="shared" ref="AT17:AT20" si="23">AS17*0.202</f>
        <v>4184.2462906223427</v>
      </c>
      <c r="AU17" s="1513">
        <f t="shared" si="11"/>
        <v>25445.914759157495</v>
      </c>
      <c r="AV17" s="1501"/>
      <c r="AW17" s="1513">
        <f t="shared" si="12"/>
        <v>1878.2583796737349</v>
      </c>
      <c r="AX17" s="625">
        <f t="shared" si="13"/>
        <v>23044.170629646727</v>
      </c>
      <c r="AY17" s="1501">
        <f t="shared" si="14"/>
        <v>80814.783785812295</v>
      </c>
      <c r="AZ17" s="1502">
        <f t="shared" si="15"/>
        <v>81.893119513444191</v>
      </c>
      <c r="BA17" s="1513">
        <f t="shared" si="16"/>
        <v>14.098199585732937</v>
      </c>
      <c r="BB17" s="1521">
        <f t="shared" si="17"/>
        <v>47944.049999999988</v>
      </c>
      <c r="BC17" s="1522">
        <f t="shared" si="18"/>
        <v>14138.890000000007</v>
      </c>
      <c r="BD17" s="1521">
        <v>14.53</v>
      </c>
      <c r="BE17" s="1521">
        <v>6</v>
      </c>
    </row>
    <row r="18" spans="1:57" s="124" customFormat="1" ht="15" x14ac:dyDescent="0.25">
      <c r="A18" s="19">
        <v>13</v>
      </c>
      <c r="B18" s="1514" t="s">
        <v>102</v>
      </c>
      <c r="C18" s="745">
        <v>1979</v>
      </c>
      <c r="D18" s="745">
        <v>3</v>
      </c>
      <c r="E18" s="745">
        <v>24</v>
      </c>
      <c r="F18" s="349">
        <v>79</v>
      </c>
      <c r="G18" s="741">
        <v>1460.41</v>
      </c>
      <c r="H18" s="741">
        <v>21116.04</v>
      </c>
      <c r="I18" s="741">
        <v>24311.02</v>
      </c>
      <c r="J18" s="741">
        <v>1401.84</v>
      </c>
      <c r="K18" s="741">
        <v>1722.79</v>
      </c>
      <c r="L18" s="741">
        <v>0</v>
      </c>
      <c r="M18" s="741">
        <v>0</v>
      </c>
      <c r="N18" s="741">
        <v>15596.16</v>
      </c>
      <c r="O18" s="741">
        <v>19129.86</v>
      </c>
      <c r="P18" s="521">
        <v>146366.97</v>
      </c>
      <c r="Q18" s="728">
        <v>141914.63</v>
      </c>
      <c r="R18" s="728">
        <v>3330.51</v>
      </c>
      <c r="S18" s="728">
        <v>3322.38</v>
      </c>
      <c r="T18" s="728">
        <v>78856.740000000005</v>
      </c>
      <c r="U18" s="728">
        <v>81087.759999999995</v>
      </c>
      <c r="V18" s="728">
        <f t="shared" si="0"/>
        <v>266668.26</v>
      </c>
      <c r="W18" s="728">
        <f t="shared" si="1"/>
        <v>271488.44</v>
      </c>
      <c r="X18" s="729">
        <f t="shared" si="2"/>
        <v>183557.42240676036</v>
      </c>
      <c r="Y18" s="730">
        <v>1365.83</v>
      </c>
      <c r="Z18" s="730">
        <f t="shared" si="3"/>
        <v>1256.5804353659355</v>
      </c>
      <c r="AA18" s="731">
        <f t="shared" si="4"/>
        <v>744.42296585496763</v>
      </c>
      <c r="AB18" s="731">
        <f t="shared" si="5"/>
        <v>93.302922564343376</v>
      </c>
      <c r="AC18" s="732">
        <f t="shared" si="6"/>
        <v>3848.786613042098</v>
      </c>
      <c r="AD18" s="730">
        <f t="shared" si="7"/>
        <v>39620.705235591267</v>
      </c>
      <c r="AE18" s="730">
        <f t="shared" si="8"/>
        <v>7602.0188460568916</v>
      </c>
      <c r="AF18" s="733">
        <v>1435.77</v>
      </c>
      <c r="AG18" s="733">
        <f t="shared" si="19"/>
        <v>52088.285852321285</v>
      </c>
      <c r="AH18" s="733">
        <f t="shared" si="20"/>
        <v>10521.833742168901</v>
      </c>
      <c r="AI18" s="730">
        <f t="shared" si="9"/>
        <v>118577.53661296569</v>
      </c>
      <c r="AJ18" s="734">
        <v>42</v>
      </c>
      <c r="AK18" s="735"/>
      <c r="AL18" s="648"/>
      <c r="AM18" s="648"/>
      <c r="AN18" s="648">
        <v>14205.07</v>
      </c>
      <c r="AO18" s="648"/>
      <c r="AP18" s="736">
        <f t="shared" si="10"/>
        <v>14247.07</v>
      </c>
      <c r="AQ18" s="467">
        <f t="shared" si="21"/>
        <v>463.06038551711555</v>
      </c>
      <c r="AR18" s="467">
        <v>87.85</v>
      </c>
      <c r="AS18" s="1515">
        <f t="shared" si="22"/>
        <v>20864.242345452898</v>
      </c>
      <c r="AT18" s="1515">
        <f t="shared" si="23"/>
        <v>4214.5769537814858</v>
      </c>
      <c r="AU18" s="1513">
        <f t="shared" si="11"/>
        <v>25629.729684751495</v>
      </c>
      <c r="AV18" s="1501"/>
      <c r="AW18" s="1513">
        <f t="shared" si="12"/>
        <v>1891.873453520463</v>
      </c>
      <c r="AX18" s="625">
        <f t="shared" si="13"/>
        <v>23211.212655522708</v>
      </c>
      <c r="AY18" s="1501">
        <f t="shared" si="14"/>
        <v>83110.837593239645</v>
      </c>
      <c r="AZ18" s="1502">
        <f t="shared" si="15"/>
        <v>101.80755669984872</v>
      </c>
      <c r="BA18" s="1513">
        <f t="shared" si="16"/>
        <v>13.965440634004633</v>
      </c>
      <c r="BB18" s="1521">
        <f t="shared" si="17"/>
        <v>-4820.179999999993</v>
      </c>
      <c r="BC18" s="1522">
        <f t="shared" si="18"/>
        <v>-2231.0199999999895</v>
      </c>
      <c r="BD18" s="1521">
        <v>14.53</v>
      </c>
      <c r="BE18" s="1521">
        <v>6</v>
      </c>
    </row>
    <row r="19" spans="1:57" s="124" customFormat="1" ht="15" x14ac:dyDescent="0.25">
      <c r="A19" s="19">
        <v>14</v>
      </c>
      <c r="B19" s="1514" t="s">
        <v>103</v>
      </c>
      <c r="C19" s="745">
        <v>1986</v>
      </c>
      <c r="D19" s="745">
        <v>3</v>
      </c>
      <c r="E19" s="745">
        <v>24</v>
      </c>
      <c r="F19" s="746">
        <v>63</v>
      </c>
      <c r="G19" s="741">
        <v>1454.3</v>
      </c>
      <c r="H19" s="741">
        <v>20941.919999999998</v>
      </c>
      <c r="I19" s="741">
        <v>23318.89</v>
      </c>
      <c r="J19" s="741">
        <v>1396.08</v>
      </c>
      <c r="K19" s="741">
        <v>1554.54</v>
      </c>
      <c r="L19" s="741">
        <v>0</v>
      </c>
      <c r="M19" s="741">
        <v>0</v>
      </c>
      <c r="N19" s="741">
        <v>15531.78</v>
      </c>
      <c r="O19" s="741">
        <v>17254.96</v>
      </c>
      <c r="P19" s="728">
        <v>145720.98000000001</v>
      </c>
      <c r="Q19" s="728">
        <v>127305.72</v>
      </c>
      <c r="R19" s="728">
        <v>3352.92</v>
      </c>
      <c r="S19" s="728">
        <v>3090.34</v>
      </c>
      <c r="T19" s="728">
        <v>78532.2</v>
      </c>
      <c r="U19" s="728">
        <v>72514.009999999995</v>
      </c>
      <c r="V19" s="728">
        <f t="shared" si="0"/>
        <v>265475.88</v>
      </c>
      <c r="W19" s="728">
        <f t="shared" si="1"/>
        <v>245038.45999999996</v>
      </c>
      <c r="X19" s="729">
        <f t="shared" si="2"/>
        <v>245909.08785522668</v>
      </c>
      <c r="Y19" s="730">
        <v>2018.69</v>
      </c>
      <c r="Z19" s="730">
        <f t="shared" si="3"/>
        <v>1251.3232086555693</v>
      </c>
      <c r="AA19" s="731">
        <f t="shared" si="4"/>
        <v>741.3084813462516</v>
      </c>
      <c r="AB19" s="731">
        <f t="shared" si="5"/>
        <v>92.912565844745345</v>
      </c>
      <c r="AC19" s="732">
        <f t="shared" si="6"/>
        <v>3832.6842265850842</v>
      </c>
      <c r="AD19" s="730">
        <f t="shared" si="7"/>
        <v>39454.941847919676</v>
      </c>
      <c r="AE19" s="730">
        <f t="shared" si="8"/>
        <v>7570.2138494125193</v>
      </c>
      <c r="AF19" s="733">
        <v>1574.65</v>
      </c>
      <c r="AG19" s="733">
        <f t="shared" si="19"/>
        <v>51870.361141755289</v>
      </c>
      <c r="AH19" s="733">
        <f t="shared" si="20"/>
        <v>10477.812950634569</v>
      </c>
      <c r="AI19" s="730">
        <f t="shared" si="9"/>
        <v>118884.8982721537</v>
      </c>
      <c r="AJ19" s="734">
        <v>26326.33</v>
      </c>
      <c r="AK19" s="735"/>
      <c r="AL19" s="648"/>
      <c r="AM19" s="648">
        <v>41095</v>
      </c>
      <c r="AN19" s="648">
        <v>9081.93</v>
      </c>
      <c r="AO19" s="648"/>
      <c r="AP19" s="736">
        <f t="shared" si="10"/>
        <v>76503.260000000009</v>
      </c>
      <c r="AQ19" s="467">
        <f t="shared" si="21"/>
        <v>461.12305356546523</v>
      </c>
      <c r="AR19" s="467">
        <v>87.85</v>
      </c>
      <c r="AS19" s="1515">
        <f t="shared" si="22"/>
        <v>20776.951433496171</v>
      </c>
      <c r="AT19" s="1515">
        <f t="shared" si="23"/>
        <v>4196.9441895662267</v>
      </c>
      <c r="AU19" s="1513">
        <f t="shared" si="11"/>
        <v>25522.868676627862</v>
      </c>
      <c r="AV19" s="1501"/>
      <c r="AW19" s="1513">
        <f t="shared" si="12"/>
        <v>1883.9583154421082</v>
      </c>
      <c r="AX19" s="625">
        <f t="shared" si="13"/>
        <v>23114.102591002989</v>
      </c>
      <c r="AY19" s="1501">
        <f t="shared" si="14"/>
        <v>19566.792144773324</v>
      </c>
      <c r="AZ19" s="1502">
        <f t="shared" si="15"/>
        <v>92.30159063791406</v>
      </c>
      <c r="BA19" s="1513">
        <f t="shared" si="16"/>
        <v>18.787892445791154</v>
      </c>
      <c r="BB19" s="1521">
        <f t="shared" si="17"/>
        <v>20437.420000000042</v>
      </c>
      <c r="BC19" s="1522">
        <f t="shared" si="18"/>
        <v>6018.1900000000023</v>
      </c>
      <c r="BD19" s="1521">
        <v>14.52</v>
      </c>
      <c r="BE19" s="1521">
        <v>6</v>
      </c>
    </row>
    <row r="20" spans="1:57" s="124" customFormat="1" ht="15" x14ac:dyDescent="0.25">
      <c r="A20" s="19">
        <v>15</v>
      </c>
      <c r="B20" s="1514" t="s">
        <v>104</v>
      </c>
      <c r="C20" s="745">
        <v>1985</v>
      </c>
      <c r="D20" s="745">
        <v>3</v>
      </c>
      <c r="E20" s="745">
        <v>24</v>
      </c>
      <c r="F20" s="708">
        <v>88</v>
      </c>
      <c r="G20" s="741">
        <v>1464.7</v>
      </c>
      <c r="H20" s="741">
        <v>21085.919999999998</v>
      </c>
      <c r="I20" s="741">
        <v>25300.94</v>
      </c>
      <c r="J20" s="741">
        <v>1405.68</v>
      </c>
      <c r="K20" s="741">
        <v>1686.65</v>
      </c>
      <c r="L20" s="741">
        <v>0</v>
      </c>
      <c r="M20" s="741">
        <v>0</v>
      </c>
      <c r="N20" s="741">
        <v>15638.82</v>
      </c>
      <c r="O20" s="741">
        <v>18608.95</v>
      </c>
      <c r="P20" s="728">
        <v>146722.82999999999</v>
      </c>
      <c r="Q20" s="728">
        <v>137587.04999999999</v>
      </c>
      <c r="R20" s="728">
        <v>3354.78</v>
      </c>
      <c r="S20" s="728">
        <v>3120.36</v>
      </c>
      <c r="T20" s="728">
        <v>79072.2</v>
      </c>
      <c r="U20" s="728">
        <v>78143.990000000005</v>
      </c>
      <c r="V20" s="728">
        <f t="shared" si="0"/>
        <v>267280.23</v>
      </c>
      <c r="W20" s="728">
        <f t="shared" si="1"/>
        <v>264447.94</v>
      </c>
      <c r="X20" s="729">
        <f t="shared" si="2"/>
        <v>185023.28900677338</v>
      </c>
      <c r="Y20" s="730">
        <v>613.44000000000005</v>
      </c>
      <c r="Z20" s="730">
        <f t="shared" si="3"/>
        <v>1260.2716796519371</v>
      </c>
      <c r="AA20" s="731">
        <f t="shared" si="4"/>
        <v>746.6097315738532</v>
      </c>
      <c r="AB20" s="731">
        <f t="shared" si="5"/>
        <v>93.577002814273897</v>
      </c>
      <c r="AC20" s="732">
        <f t="shared" si="6"/>
        <v>3860.0925439587245</v>
      </c>
      <c r="AD20" s="730">
        <f t="shared" si="7"/>
        <v>39737.092295020251</v>
      </c>
      <c r="AE20" s="730">
        <f t="shared" si="8"/>
        <v>7624.3500139135786</v>
      </c>
      <c r="AF20" s="733">
        <v>2042.81</v>
      </c>
      <c r="AG20" s="733">
        <f t="shared" si="19"/>
        <v>52241.296819314433</v>
      </c>
      <c r="AH20" s="733">
        <f t="shared" si="20"/>
        <v>10552.741957501516</v>
      </c>
      <c r="AI20" s="730">
        <f t="shared" si="9"/>
        <v>118772.28204374858</v>
      </c>
      <c r="AJ20" s="734"/>
      <c r="AK20" s="735"/>
      <c r="AL20" s="648"/>
      <c r="AM20" s="648"/>
      <c r="AN20" s="648">
        <v>15369.42</v>
      </c>
      <c r="AO20" s="648"/>
      <c r="AP20" s="736">
        <f t="shared" si="10"/>
        <v>15369.42</v>
      </c>
      <c r="AQ20" s="467">
        <f t="shared" si="21"/>
        <v>464.42063986614659</v>
      </c>
      <c r="AR20" s="467">
        <v>87.85</v>
      </c>
      <c r="AS20" s="1515">
        <f t="shared" si="22"/>
        <v>20925.53170916719</v>
      </c>
      <c r="AT20" s="1515">
        <f t="shared" si="23"/>
        <v>4226.9574052517728</v>
      </c>
      <c r="AU20" s="1513">
        <f t="shared" si="11"/>
        <v>25704.759754285107</v>
      </c>
      <c r="AV20" s="1501"/>
      <c r="AW20" s="1513">
        <f t="shared" si="12"/>
        <v>1897.4308908946268</v>
      </c>
      <c r="AX20" s="625">
        <f t="shared" si="13"/>
        <v>23279.396317845065</v>
      </c>
      <c r="AY20" s="1501">
        <f t="shared" si="14"/>
        <v>82256.940993226599</v>
      </c>
      <c r="AZ20" s="1502">
        <f t="shared" si="15"/>
        <v>98.94032940633133</v>
      </c>
      <c r="BA20" s="1513">
        <f t="shared" si="16"/>
        <v>14.035736480490762</v>
      </c>
      <c r="BB20" s="1521">
        <f t="shared" si="17"/>
        <v>2832.289999999979</v>
      </c>
      <c r="BC20" s="1522">
        <f t="shared" si="18"/>
        <v>928.20999999999185</v>
      </c>
      <c r="BD20" s="1521">
        <v>14.52</v>
      </c>
      <c r="BE20" s="1521">
        <v>6</v>
      </c>
    </row>
    <row r="21" spans="1:57" s="124" customFormat="1" ht="15" x14ac:dyDescent="0.25">
      <c r="A21" s="19">
        <v>16</v>
      </c>
      <c r="B21" s="507" t="s">
        <v>105</v>
      </c>
      <c r="C21" s="745">
        <v>1976</v>
      </c>
      <c r="D21" s="745">
        <v>2</v>
      </c>
      <c r="E21" s="745">
        <v>18</v>
      </c>
      <c r="F21" s="349">
        <v>35</v>
      </c>
      <c r="G21" s="741">
        <v>766.9</v>
      </c>
      <c r="H21" s="741">
        <v>0</v>
      </c>
      <c r="I21" s="741">
        <v>0</v>
      </c>
      <c r="J21" s="741">
        <v>736.14</v>
      </c>
      <c r="K21" s="741">
        <v>891.11</v>
      </c>
      <c r="L21" s="741">
        <v>0</v>
      </c>
      <c r="M21" s="741">
        <v>0</v>
      </c>
      <c r="N21" s="741">
        <v>8190.36</v>
      </c>
      <c r="O21" s="741">
        <v>9878.8700000000008</v>
      </c>
      <c r="P21" s="728">
        <v>67019.490000000005</v>
      </c>
      <c r="Q21" s="728">
        <v>64949.03</v>
      </c>
      <c r="R21" s="728">
        <v>1589.16</v>
      </c>
      <c r="S21" s="728">
        <v>1468.07</v>
      </c>
      <c r="T21" s="728">
        <v>41412.6</v>
      </c>
      <c r="U21" s="728">
        <v>41419.199999999997</v>
      </c>
      <c r="V21" s="728">
        <f t="shared" si="0"/>
        <v>118947.75</v>
      </c>
      <c r="W21" s="728">
        <f t="shared" si="1"/>
        <v>118606.28</v>
      </c>
      <c r="X21" s="729">
        <f t="shared" si="2"/>
        <v>78554.648910174947</v>
      </c>
      <c r="Y21" s="730">
        <v>2298.94</v>
      </c>
      <c r="Z21" s="730">
        <f t="shared" si="3"/>
        <v>659.86369299178716</v>
      </c>
      <c r="AA21" s="731">
        <f t="shared" si="4"/>
        <v>390.91623072573771</v>
      </c>
      <c r="AB21" s="731">
        <f t="shared" si="5"/>
        <v>48.995837685714918</v>
      </c>
      <c r="AC21" s="732">
        <f t="shared" si="6"/>
        <v>2021.0998647927534</v>
      </c>
      <c r="AD21" s="730">
        <f t="shared" si="7"/>
        <v>20805.882488599051</v>
      </c>
      <c r="AE21" s="730">
        <f t="shared" si="8"/>
        <v>3992.0215919098268</v>
      </c>
      <c r="AF21" s="733">
        <v>2213.4</v>
      </c>
      <c r="AG21" s="733">
        <f t="shared" si="19"/>
        <v>27352.93953077916</v>
      </c>
      <c r="AH21" s="733">
        <f t="shared" si="20"/>
        <v>5525.2937852173909</v>
      </c>
      <c r="AI21" s="730">
        <f t="shared" si="9"/>
        <v>65309.353022701427</v>
      </c>
      <c r="AJ21" s="734">
        <v>63</v>
      </c>
      <c r="AK21" s="735"/>
      <c r="AL21" s="648"/>
      <c r="AM21" s="648"/>
      <c r="AN21" s="648"/>
      <c r="AO21" s="648"/>
      <c r="AP21" s="736">
        <f t="shared" si="10"/>
        <v>63</v>
      </c>
      <c r="AQ21" s="467"/>
      <c r="AR21" s="467"/>
      <c r="AS21" s="1515"/>
      <c r="AT21" s="1515"/>
      <c r="AU21" s="1513">
        <f t="shared" si="11"/>
        <v>0</v>
      </c>
      <c r="AV21" s="1501"/>
      <c r="AW21" s="1513">
        <f t="shared" si="12"/>
        <v>993.47289562851734</v>
      </c>
      <c r="AX21" s="625">
        <f t="shared" si="13"/>
        <v>12188.822991845005</v>
      </c>
      <c r="AY21" s="1501">
        <f t="shared" si="14"/>
        <v>40393.101089825053</v>
      </c>
      <c r="AZ21" s="1502">
        <f t="shared" si="15"/>
        <v>99.712924372255884</v>
      </c>
      <c r="BA21" s="1513">
        <f t="shared" si="16"/>
        <v>11.381267861980405</v>
      </c>
      <c r="BB21" s="1521">
        <f t="shared" si="17"/>
        <v>341.47000000000116</v>
      </c>
      <c r="BC21" s="1522">
        <f t="shared" si="18"/>
        <v>-6.5999999999985448</v>
      </c>
      <c r="BD21" s="1521">
        <v>11.39</v>
      </c>
      <c r="BE21" s="1521">
        <v>6</v>
      </c>
    </row>
    <row r="22" spans="1:57" s="124" customFormat="1" ht="15" x14ac:dyDescent="0.25">
      <c r="A22" s="19">
        <v>17</v>
      </c>
      <c r="B22" s="564" t="s">
        <v>106</v>
      </c>
      <c r="C22" s="745">
        <v>1975</v>
      </c>
      <c r="D22" s="745">
        <v>2</v>
      </c>
      <c r="E22" s="745">
        <v>18</v>
      </c>
      <c r="F22" s="708">
        <v>49</v>
      </c>
      <c r="G22" s="741">
        <v>778.78</v>
      </c>
      <c r="H22" s="741">
        <v>0</v>
      </c>
      <c r="I22" s="741">
        <v>0</v>
      </c>
      <c r="J22" s="741">
        <v>739.49</v>
      </c>
      <c r="K22" s="741">
        <v>901.51</v>
      </c>
      <c r="L22" s="741">
        <v>0</v>
      </c>
      <c r="M22" s="741">
        <v>0</v>
      </c>
      <c r="N22" s="741">
        <v>8227.7900000000009</v>
      </c>
      <c r="O22" s="741">
        <v>9962.41</v>
      </c>
      <c r="P22" s="728">
        <v>67254.11</v>
      </c>
      <c r="Q22" s="728">
        <v>64652.3</v>
      </c>
      <c r="R22" s="728">
        <v>1589.03</v>
      </c>
      <c r="S22" s="728">
        <v>1471.02</v>
      </c>
      <c r="T22" s="728">
        <v>41600.519999999997</v>
      </c>
      <c r="U22" s="728">
        <v>41237.19</v>
      </c>
      <c r="V22" s="728">
        <f t="shared" si="0"/>
        <v>119410.94</v>
      </c>
      <c r="W22" s="728">
        <f t="shared" si="1"/>
        <v>118224.43000000001</v>
      </c>
      <c r="X22" s="729">
        <f t="shared" si="2"/>
        <v>166255.66776381023</v>
      </c>
      <c r="Y22" s="730">
        <v>1220.33</v>
      </c>
      <c r="Z22" s="730">
        <f t="shared" si="3"/>
        <v>670.08560024533051</v>
      </c>
      <c r="AA22" s="731">
        <f t="shared" si="4"/>
        <v>396.9718896395749</v>
      </c>
      <c r="AB22" s="731">
        <f t="shared" si="5"/>
        <v>49.754829147060981</v>
      </c>
      <c r="AC22" s="732">
        <f t="shared" si="6"/>
        <v>2052.4085965618729</v>
      </c>
      <c r="AD22" s="730">
        <f t="shared" si="7"/>
        <v>21128.18511471009</v>
      </c>
      <c r="AE22" s="730">
        <f t="shared" si="8"/>
        <v>4053.8617490514212</v>
      </c>
      <c r="AF22" s="733">
        <v>2213.4</v>
      </c>
      <c r="AG22" s="733">
        <f t="shared" si="19"/>
        <v>27776.662208606329</v>
      </c>
      <c r="AH22" s="733">
        <f t="shared" si="20"/>
        <v>5610.8857661384791</v>
      </c>
      <c r="AI22" s="730">
        <f t="shared" si="9"/>
        <v>65172.54575410016</v>
      </c>
      <c r="AJ22" s="734">
        <v>812.62</v>
      </c>
      <c r="AK22" s="735"/>
      <c r="AL22" s="648">
        <v>86884</v>
      </c>
      <c r="AM22" s="648"/>
      <c r="AN22" s="648"/>
      <c r="AO22" s="648"/>
      <c r="AP22" s="736">
        <f t="shared" si="10"/>
        <v>87696.62</v>
      </c>
      <c r="AQ22" s="467"/>
      <c r="AR22" s="467"/>
      <c r="AS22" s="1515"/>
      <c r="AT22" s="1515"/>
      <c r="AU22" s="1513">
        <f t="shared" si="11"/>
        <v>0</v>
      </c>
      <c r="AV22" s="1501"/>
      <c r="AW22" s="1513">
        <f t="shared" si="12"/>
        <v>1008.8627222031251</v>
      </c>
      <c r="AX22" s="625">
        <f t="shared" si="13"/>
        <v>12377.639287506916</v>
      </c>
      <c r="AY22" s="1501">
        <f t="shared" si="14"/>
        <v>-46844.727763810224</v>
      </c>
      <c r="AZ22" s="1502">
        <f t="shared" si="15"/>
        <v>99.006364073509516</v>
      </c>
      <c r="BA22" s="1513">
        <f t="shared" si="16"/>
        <v>23.720244451265685</v>
      </c>
      <c r="BB22" s="1521">
        <f t="shared" si="17"/>
        <v>1186.5099999999948</v>
      </c>
      <c r="BC22" s="1522">
        <f t="shared" si="18"/>
        <v>363.32999999999447</v>
      </c>
      <c r="BD22" s="1521">
        <v>11.38</v>
      </c>
      <c r="BE22" s="1521">
        <v>6</v>
      </c>
    </row>
    <row r="23" spans="1:57" s="124" customFormat="1" ht="15" x14ac:dyDescent="0.25">
      <c r="A23" s="19">
        <v>18</v>
      </c>
      <c r="B23" s="564" t="s">
        <v>668</v>
      </c>
      <c r="C23" s="745">
        <v>1987</v>
      </c>
      <c r="D23" s="745">
        <v>1</v>
      </c>
      <c r="E23" s="745">
        <v>2</v>
      </c>
      <c r="F23" s="349">
        <v>10</v>
      </c>
      <c r="G23" s="747">
        <v>126.2</v>
      </c>
      <c r="H23" s="747">
        <v>0</v>
      </c>
      <c r="I23" s="747">
        <v>0</v>
      </c>
      <c r="J23" s="747">
        <v>69.349999999999994</v>
      </c>
      <c r="K23" s="747">
        <v>85.65</v>
      </c>
      <c r="L23" s="747">
        <v>0</v>
      </c>
      <c r="M23" s="747">
        <v>0</v>
      </c>
      <c r="N23" s="747">
        <v>771.26</v>
      </c>
      <c r="O23" s="747">
        <v>952.53</v>
      </c>
      <c r="P23" s="728">
        <v>3877.92</v>
      </c>
      <c r="Q23" s="728">
        <v>4789.34</v>
      </c>
      <c r="R23" s="728"/>
      <c r="S23" s="728"/>
      <c r="T23" s="728"/>
      <c r="U23" s="728"/>
      <c r="V23" s="728">
        <f t="shared" si="0"/>
        <v>4718.53</v>
      </c>
      <c r="W23" s="728">
        <f t="shared" si="1"/>
        <v>5827.52</v>
      </c>
      <c r="X23" s="729">
        <f t="shared" si="2"/>
        <v>180.97757346340967</v>
      </c>
      <c r="Y23" s="730"/>
      <c r="Z23" s="730">
        <f t="shared" si="3"/>
        <v>108.58625382131117</v>
      </c>
      <c r="AA23" s="731">
        <f t="shared" si="4"/>
        <v>64.328632569550265</v>
      </c>
      <c r="AB23" s="731">
        <f t="shared" si="5"/>
        <v>8.0626870725482114</v>
      </c>
      <c r="AC23" s="796"/>
      <c r="AD23" s="840"/>
      <c r="AE23" s="840"/>
      <c r="AF23" s="1505"/>
      <c r="AG23" s="1505"/>
      <c r="AH23" s="1505"/>
      <c r="AI23" s="840">
        <f t="shared" si="9"/>
        <v>180.97757346340967</v>
      </c>
      <c r="AJ23" s="1506"/>
      <c r="AK23" s="1507"/>
      <c r="AL23" s="1508"/>
      <c r="AM23" s="1508"/>
      <c r="AN23" s="1508"/>
      <c r="AO23" s="1508"/>
      <c r="AP23" s="736">
        <f t="shared" si="10"/>
        <v>0</v>
      </c>
      <c r="AQ23" s="1516"/>
      <c r="AR23" s="1516"/>
      <c r="AS23" s="1517"/>
      <c r="AT23" s="1517"/>
      <c r="AU23" s="1519">
        <f t="shared" si="11"/>
        <v>0</v>
      </c>
      <c r="AV23" s="1509"/>
      <c r="AW23" s="1519"/>
      <c r="AX23" s="1510"/>
      <c r="AY23" s="1501">
        <f t="shared" si="14"/>
        <v>4537.5524265365902</v>
      </c>
      <c r="AZ23" s="1502">
        <f t="shared" si="15"/>
        <v>123.50287059741065</v>
      </c>
      <c r="BA23" s="1513">
        <f t="shared" si="16"/>
        <v>0.15933929693908228</v>
      </c>
      <c r="BB23" s="1521">
        <f t="shared" si="17"/>
        <v>-1108.9900000000007</v>
      </c>
      <c r="BC23" s="1522">
        <f t="shared" si="18"/>
        <v>0</v>
      </c>
      <c r="BD23" s="1521"/>
      <c r="BE23" s="1521"/>
    </row>
    <row r="24" spans="1:57" s="124" customFormat="1" ht="15" x14ac:dyDescent="0.25">
      <c r="A24" s="19">
        <v>19</v>
      </c>
      <c r="B24" s="564" t="s">
        <v>108</v>
      </c>
      <c r="C24" s="745">
        <v>1987</v>
      </c>
      <c r="D24" s="745">
        <v>1</v>
      </c>
      <c r="E24" s="745">
        <v>2</v>
      </c>
      <c r="F24" s="708">
        <v>11</v>
      </c>
      <c r="G24" s="747">
        <v>125.8</v>
      </c>
      <c r="H24" s="747">
        <v>0</v>
      </c>
      <c r="I24" s="747">
        <v>0</v>
      </c>
      <c r="J24" s="747">
        <v>120.78</v>
      </c>
      <c r="K24" s="747">
        <v>140.91</v>
      </c>
      <c r="L24" s="747">
        <v>0</v>
      </c>
      <c r="M24" s="747">
        <v>0</v>
      </c>
      <c r="N24" s="747">
        <v>1343.58</v>
      </c>
      <c r="O24" s="747">
        <v>1567.51</v>
      </c>
      <c r="P24" s="728">
        <v>11076.69</v>
      </c>
      <c r="Q24" s="728">
        <v>10758.41</v>
      </c>
      <c r="R24" s="728"/>
      <c r="S24" s="728"/>
      <c r="T24" s="728"/>
      <c r="U24" s="728"/>
      <c r="V24" s="728">
        <f t="shared" si="0"/>
        <v>12541.050000000001</v>
      </c>
      <c r="W24" s="728">
        <f t="shared" si="1"/>
        <v>12466.83</v>
      </c>
      <c r="X24" s="729">
        <f t="shared" si="2"/>
        <v>6742.0984610087908</v>
      </c>
      <c r="Y24" s="730"/>
      <c r="Z24" s="730">
        <f t="shared" si="3"/>
        <v>108.2420818599124</v>
      </c>
      <c r="AA24" s="731">
        <f t="shared" si="4"/>
        <v>64.124738330027128</v>
      </c>
      <c r="AB24" s="731">
        <f t="shared" si="5"/>
        <v>8.0371318044894213</v>
      </c>
      <c r="AC24" s="732">
        <f t="shared" si="6"/>
        <v>331.53522361576262</v>
      </c>
      <c r="AD24" s="730">
        <f t="shared" si="7"/>
        <v>3412.9352158896345</v>
      </c>
      <c r="AE24" s="730">
        <f t="shared" si="8"/>
        <v>654.83937444550293</v>
      </c>
      <c r="AF24" s="733"/>
      <c r="AG24" s="733"/>
      <c r="AH24" s="733"/>
      <c r="AI24" s="730">
        <f t="shared" si="9"/>
        <v>4579.7137659453283</v>
      </c>
      <c r="AJ24" s="734"/>
      <c r="AK24" s="735"/>
      <c r="AL24" s="648"/>
      <c r="AM24" s="648"/>
      <c r="AN24" s="648"/>
      <c r="AO24" s="648"/>
      <c r="AP24" s="736">
        <f t="shared" si="10"/>
        <v>0</v>
      </c>
      <c r="AQ24" s="467"/>
      <c r="AR24" s="467"/>
      <c r="AS24" s="1515"/>
      <c r="AT24" s="1515"/>
      <c r="AU24" s="1513">
        <f t="shared" si="11"/>
        <v>0</v>
      </c>
      <c r="AV24" s="1501"/>
      <c r="AW24" s="1513">
        <f t="shared" si="12"/>
        <v>162.9663453775818</v>
      </c>
      <c r="AX24" s="625">
        <f t="shared" si="13"/>
        <v>1999.4183496858805</v>
      </c>
      <c r="AY24" s="1501">
        <f t="shared" si="14"/>
        <v>5798.9515389912103</v>
      </c>
      <c r="AZ24" s="1502">
        <f t="shared" si="15"/>
        <v>99.408183525302888</v>
      </c>
      <c r="BA24" s="1513">
        <f t="shared" si="16"/>
        <v>5.9548652720445068</v>
      </c>
      <c r="BB24" s="1521">
        <f t="shared" si="17"/>
        <v>74.220000000001164</v>
      </c>
      <c r="BC24" s="1522">
        <f t="shared" si="18"/>
        <v>0</v>
      </c>
      <c r="BD24" s="1521">
        <v>11.47</v>
      </c>
      <c r="BE24" s="1521">
        <v>6</v>
      </c>
    </row>
    <row r="25" spans="1:57" s="124" customFormat="1" ht="15" customHeight="1" x14ac:dyDescent="0.25">
      <c r="A25" s="3">
        <v>20</v>
      </c>
      <c r="B25" s="1320" t="s">
        <v>669</v>
      </c>
      <c r="C25" s="737">
        <v>1985</v>
      </c>
      <c r="D25" s="737">
        <v>1</v>
      </c>
      <c r="E25" s="737">
        <v>2</v>
      </c>
      <c r="F25" s="708">
        <v>5</v>
      </c>
      <c r="G25" s="738">
        <v>125.6</v>
      </c>
      <c r="H25" s="738">
        <v>0</v>
      </c>
      <c r="I25" s="738">
        <v>0</v>
      </c>
      <c r="J25" s="738">
        <v>68.98</v>
      </c>
      <c r="K25" s="738">
        <v>99.37</v>
      </c>
      <c r="L25" s="738">
        <v>0</v>
      </c>
      <c r="M25" s="738">
        <v>0</v>
      </c>
      <c r="N25" s="738">
        <v>767.59</v>
      </c>
      <c r="O25" s="738">
        <v>1105.8399999999999</v>
      </c>
      <c r="P25" s="728">
        <v>3855.18</v>
      </c>
      <c r="Q25" s="728">
        <v>5554.01</v>
      </c>
      <c r="R25" s="728"/>
      <c r="S25" s="728"/>
      <c r="T25" s="728"/>
      <c r="U25" s="728"/>
      <c r="V25" s="728">
        <f t="shared" si="0"/>
        <v>4691.75</v>
      </c>
      <c r="W25" s="728">
        <f t="shared" si="1"/>
        <v>6759.22</v>
      </c>
      <c r="X25" s="729">
        <f t="shared" si="2"/>
        <v>180.11714125993859</v>
      </c>
      <c r="Y25" s="730"/>
      <c r="Z25" s="730">
        <f t="shared" si="3"/>
        <v>108.06999587921301</v>
      </c>
      <c r="AA25" s="731">
        <f t="shared" si="4"/>
        <v>64.022791210265552</v>
      </c>
      <c r="AB25" s="731">
        <f t="shared" si="5"/>
        <v>8.0243541704600254</v>
      </c>
      <c r="AC25" s="796"/>
      <c r="AD25" s="840"/>
      <c r="AE25" s="840"/>
      <c r="AF25" s="1505"/>
      <c r="AG25" s="1505"/>
      <c r="AH25" s="1505"/>
      <c r="AI25" s="840">
        <f t="shared" si="9"/>
        <v>180.11714125993859</v>
      </c>
      <c r="AJ25" s="1506"/>
      <c r="AK25" s="1507"/>
      <c r="AL25" s="1508"/>
      <c r="AM25" s="1508"/>
      <c r="AN25" s="1508"/>
      <c r="AO25" s="1508"/>
      <c r="AP25" s="736">
        <f t="shared" si="10"/>
        <v>0</v>
      </c>
      <c r="AQ25" s="1516"/>
      <c r="AR25" s="1516"/>
      <c r="AS25" s="1517"/>
      <c r="AT25" s="1517"/>
      <c r="AU25" s="1519">
        <f t="shared" si="11"/>
        <v>0</v>
      </c>
      <c r="AV25" s="1509"/>
      <c r="AW25" s="1519"/>
      <c r="AX25" s="1510"/>
      <c r="AY25" s="1501">
        <f t="shared" si="14"/>
        <v>4511.6328587400612</v>
      </c>
      <c r="AZ25" s="1502">
        <f t="shared" si="15"/>
        <v>144.06607342675974</v>
      </c>
      <c r="BA25" s="1513">
        <f t="shared" si="16"/>
        <v>0.15933929693908228</v>
      </c>
      <c r="BB25" s="1521">
        <f t="shared" si="17"/>
        <v>-2067.4700000000003</v>
      </c>
      <c r="BC25" s="1522">
        <f t="shared" si="18"/>
        <v>0</v>
      </c>
      <c r="BD25" s="1521"/>
      <c r="BE25" s="1521"/>
    </row>
    <row r="26" spans="1:57" s="124" customFormat="1" ht="15" x14ac:dyDescent="0.25">
      <c r="A26" s="6">
        <v>21</v>
      </c>
      <c r="B26" s="1320" t="s">
        <v>670</v>
      </c>
      <c r="C26" s="737">
        <v>1990</v>
      </c>
      <c r="D26" s="737">
        <v>1</v>
      </c>
      <c r="E26" s="737">
        <v>1</v>
      </c>
      <c r="F26" s="661">
        <v>8</v>
      </c>
      <c r="G26" s="738">
        <v>127.7</v>
      </c>
      <c r="H26" s="738">
        <v>0</v>
      </c>
      <c r="I26" s="738">
        <v>0</v>
      </c>
      <c r="J26" s="738">
        <v>140.69999999999999</v>
      </c>
      <c r="K26" s="738">
        <v>161.13</v>
      </c>
      <c r="L26" s="738">
        <v>0</v>
      </c>
      <c r="M26" s="738">
        <v>0</v>
      </c>
      <c r="N26" s="738">
        <v>1565.34</v>
      </c>
      <c r="O26" s="738">
        <v>1792.65</v>
      </c>
      <c r="P26" s="728">
        <v>3577.91</v>
      </c>
      <c r="Q26" s="728">
        <v>4353.3100000000004</v>
      </c>
      <c r="R26" s="728"/>
      <c r="S26" s="728"/>
      <c r="T26" s="728"/>
      <c r="U26" s="728"/>
      <c r="V26" s="728">
        <f t="shared" si="0"/>
        <v>5283.95</v>
      </c>
      <c r="W26" s="728">
        <f t="shared" si="1"/>
        <v>6307.09</v>
      </c>
      <c r="X26" s="729">
        <f t="shared" si="2"/>
        <v>183.12865397208725</v>
      </c>
      <c r="Y26" s="730"/>
      <c r="Z26" s="730">
        <f t="shared" si="3"/>
        <v>109.87689867655655</v>
      </c>
      <c r="AA26" s="731">
        <f t="shared" si="4"/>
        <v>65.093235967762041</v>
      </c>
      <c r="AB26" s="731">
        <f t="shared" si="5"/>
        <v>8.1585193277686727</v>
      </c>
      <c r="AC26" s="796"/>
      <c r="AD26" s="840"/>
      <c r="AE26" s="840"/>
      <c r="AF26" s="1505"/>
      <c r="AG26" s="1505"/>
      <c r="AH26" s="1505"/>
      <c r="AI26" s="840">
        <f t="shared" si="9"/>
        <v>183.12865397208725</v>
      </c>
      <c r="AJ26" s="1506"/>
      <c r="AK26" s="1507"/>
      <c r="AL26" s="1508"/>
      <c r="AM26" s="1508"/>
      <c r="AN26" s="1508"/>
      <c r="AO26" s="1508"/>
      <c r="AP26" s="736">
        <f t="shared" si="10"/>
        <v>0</v>
      </c>
      <c r="AQ26" s="1516"/>
      <c r="AR26" s="1516"/>
      <c r="AS26" s="1517"/>
      <c r="AT26" s="1517"/>
      <c r="AU26" s="1519">
        <f t="shared" si="11"/>
        <v>0</v>
      </c>
      <c r="AV26" s="1509"/>
      <c r="AW26" s="1519"/>
      <c r="AX26" s="1510"/>
      <c r="AY26" s="1501">
        <f t="shared" si="14"/>
        <v>5100.821346027913</v>
      </c>
      <c r="AZ26" s="1502">
        <f t="shared" si="15"/>
        <v>119.36316581345396</v>
      </c>
      <c r="BA26" s="1513">
        <f t="shared" si="16"/>
        <v>0.15933929693908225</v>
      </c>
      <c r="BB26" s="1521">
        <f t="shared" si="17"/>
        <v>-1023.1400000000003</v>
      </c>
      <c r="BC26" s="1522">
        <f t="shared" si="18"/>
        <v>0</v>
      </c>
      <c r="BD26" s="1521">
        <v>6.87</v>
      </c>
      <c r="BE26" s="1521"/>
    </row>
    <row r="27" spans="1:57" s="124" customFormat="1" ht="15" x14ac:dyDescent="0.25">
      <c r="A27" s="6">
        <v>22</v>
      </c>
      <c r="B27" s="1320" t="s">
        <v>111</v>
      </c>
      <c r="C27" s="737">
        <v>1981</v>
      </c>
      <c r="D27" s="737">
        <v>1</v>
      </c>
      <c r="E27" s="737">
        <v>1</v>
      </c>
      <c r="F27" s="708">
        <v>6</v>
      </c>
      <c r="G27" s="738">
        <v>83.6</v>
      </c>
      <c r="H27" s="738">
        <v>0</v>
      </c>
      <c r="I27" s="738">
        <v>0</v>
      </c>
      <c r="J27" s="738">
        <v>80.28</v>
      </c>
      <c r="K27" s="738">
        <v>53.52</v>
      </c>
      <c r="L27" s="738">
        <v>0</v>
      </c>
      <c r="M27" s="738">
        <v>0</v>
      </c>
      <c r="N27" s="738">
        <v>892.86</v>
      </c>
      <c r="O27" s="738">
        <v>595.24</v>
      </c>
      <c r="P27" s="728">
        <v>4020.33</v>
      </c>
      <c r="Q27" s="728">
        <v>1531.56</v>
      </c>
      <c r="R27" s="728"/>
      <c r="S27" s="728"/>
      <c r="T27" s="728"/>
      <c r="U27" s="728"/>
      <c r="V27" s="728">
        <f t="shared" si="0"/>
        <v>4993.47</v>
      </c>
      <c r="W27" s="728">
        <f t="shared" si="1"/>
        <v>2180.3199999999997</v>
      </c>
      <c r="X27" s="729">
        <f t="shared" si="2"/>
        <v>4480.4406306862875</v>
      </c>
      <c r="Y27" s="730"/>
      <c r="Z27" s="730">
        <f t="shared" si="3"/>
        <v>71.931939932342416</v>
      </c>
      <c r="AA27" s="731">
        <f t="shared" si="4"/>
        <v>42.613896060335989</v>
      </c>
      <c r="AB27" s="731">
        <f t="shared" si="5"/>
        <v>5.3410510242870872</v>
      </c>
      <c r="AC27" s="732">
        <f t="shared" ref="AC27:AC40" si="24">40250.3/15272.85*G27</f>
        <v>220.32070504195354</v>
      </c>
      <c r="AD27" s="730">
        <f t="shared" ref="AD27:AD40" si="25">414350.14/15272.85*G27</f>
        <v>2268.0555170776902</v>
      </c>
      <c r="AE27" s="730">
        <f t="shared" ref="AE27:AE40" si="26">79501.3/15272.85*G27</f>
        <v>435.17147618159015</v>
      </c>
      <c r="AF27" s="733"/>
      <c r="AG27" s="733"/>
      <c r="AH27" s="733"/>
      <c r="AI27" s="730">
        <f t="shared" si="9"/>
        <v>3043.4345853181999</v>
      </c>
      <c r="AJ27" s="734"/>
      <c r="AK27" s="735"/>
      <c r="AL27" s="648"/>
      <c r="AM27" s="648"/>
      <c r="AN27" s="648"/>
      <c r="AO27" s="648"/>
      <c r="AP27" s="736">
        <f t="shared" si="10"/>
        <v>0</v>
      </c>
      <c r="AQ27" s="467"/>
      <c r="AR27" s="467"/>
      <c r="AS27" s="1515"/>
      <c r="AT27" s="1515"/>
      <c r="AU27" s="1513">
        <f t="shared" si="11"/>
        <v>0</v>
      </c>
      <c r="AV27" s="1501"/>
      <c r="AW27" s="1513">
        <f t="shared" ref="AW27:AW40" si="27">19785.06/15272.85*G27</f>
        <v>108.29877959909251</v>
      </c>
      <c r="AX27" s="625">
        <f t="shared" ref="AX27:AX40" si="28">242740.99/15272.85*G27</f>
        <v>1328.7072657689953</v>
      </c>
      <c r="AY27" s="1501">
        <f t="shared" si="14"/>
        <v>513.02936931371278</v>
      </c>
      <c r="AZ27" s="1502">
        <f t="shared" si="15"/>
        <v>43.663424432308588</v>
      </c>
      <c r="BA27" s="1513">
        <f t="shared" si="16"/>
        <v>5.9548652720445077</v>
      </c>
      <c r="BB27" s="1521">
        <f t="shared" si="17"/>
        <v>2813.1500000000005</v>
      </c>
      <c r="BC27" s="1522">
        <f t="shared" si="18"/>
        <v>0</v>
      </c>
      <c r="BD27" s="1521">
        <v>6.87</v>
      </c>
      <c r="BE27" s="1521"/>
    </row>
    <row r="28" spans="1:57" s="124" customFormat="1" ht="15" x14ac:dyDescent="0.25">
      <c r="A28" s="20">
        <v>23</v>
      </c>
      <c r="B28" s="1320" t="s">
        <v>112</v>
      </c>
      <c r="C28" s="737">
        <v>1970</v>
      </c>
      <c r="D28" s="737">
        <v>1</v>
      </c>
      <c r="E28" s="737">
        <v>5</v>
      </c>
      <c r="F28" s="708">
        <v>15</v>
      </c>
      <c r="G28" s="738">
        <v>259.72000000000003</v>
      </c>
      <c r="H28" s="738">
        <v>0</v>
      </c>
      <c r="I28" s="738">
        <v>0</v>
      </c>
      <c r="J28" s="738">
        <v>245.22</v>
      </c>
      <c r="K28" s="738">
        <v>245.36</v>
      </c>
      <c r="L28" s="738">
        <v>0</v>
      </c>
      <c r="M28" s="738">
        <v>0</v>
      </c>
      <c r="N28" s="738">
        <v>2728.74</v>
      </c>
      <c r="O28" s="738">
        <v>2724.23</v>
      </c>
      <c r="P28" s="728">
        <v>22259.19</v>
      </c>
      <c r="Q28" s="728">
        <v>16696.68</v>
      </c>
      <c r="R28" s="728"/>
      <c r="S28" s="728"/>
      <c r="T28" s="728"/>
      <c r="U28" s="728"/>
      <c r="V28" s="728">
        <f t="shared" si="0"/>
        <v>25233.149999999998</v>
      </c>
      <c r="W28" s="728">
        <f t="shared" si="1"/>
        <v>19666.27</v>
      </c>
      <c r="X28" s="729">
        <f t="shared" si="2"/>
        <v>13919.378476098595</v>
      </c>
      <c r="Y28" s="730"/>
      <c r="Z28" s="730">
        <f t="shared" si="3"/>
        <v>223.4708545362198</v>
      </c>
      <c r="AA28" s="731">
        <f t="shared" si="4"/>
        <v>132.38852972237399</v>
      </c>
      <c r="AB28" s="731">
        <f t="shared" si="5"/>
        <v>16.593035550572278</v>
      </c>
      <c r="AC28" s="732">
        <f t="shared" si="24"/>
        <v>684.47001810402128</v>
      </c>
      <c r="AD28" s="730">
        <f t="shared" si="25"/>
        <v>7046.1648193231795</v>
      </c>
      <c r="AE28" s="730">
        <f t="shared" si="26"/>
        <v>1351.9466004052945</v>
      </c>
      <c r="AF28" s="733"/>
      <c r="AG28" s="733"/>
      <c r="AH28" s="733"/>
      <c r="AI28" s="730">
        <f t="shared" si="9"/>
        <v>9455.033857641658</v>
      </c>
      <c r="AJ28" s="734"/>
      <c r="AK28" s="735"/>
      <c r="AL28" s="648"/>
      <c r="AM28" s="648"/>
      <c r="AN28" s="648"/>
      <c r="AO28" s="648"/>
      <c r="AP28" s="736">
        <f t="shared" si="10"/>
        <v>0</v>
      </c>
      <c r="AQ28" s="467"/>
      <c r="AR28" s="467"/>
      <c r="AS28" s="1515"/>
      <c r="AT28" s="1515"/>
      <c r="AU28" s="1513">
        <f t="shared" si="11"/>
        <v>0</v>
      </c>
      <c r="AV28" s="1501"/>
      <c r="AW28" s="1513">
        <f t="shared" si="27"/>
        <v>336.45166312770709</v>
      </c>
      <c r="AX28" s="625">
        <f t="shared" si="28"/>
        <v>4127.8929553292282</v>
      </c>
      <c r="AY28" s="1501">
        <f t="shared" si="14"/>
        <v>11313.771523901403</v>
      </c>
      <c r="AZ28" s="1502">
        <f t="shared" si="15"/>
        <v>77.938228084880407</v>
      </c>
      <c r="BA28" s="1513">
        <f t="shared" si="16"/>
        <v>5.9548652720445068</v>
      </c>
      <c r="BB28" s="1521">
        <f t="shared" si="17"/>
        <v>5566.8799999999974</v>
      </c>
      <c r="BC28" s="1522">
        <f t="shared" si="18"/>
        <v>0</v>
      </c>
      <c r="BD28" s="1521">
        <v>11.36</v>
      </c>
      <c r="BE28" s="1521"/>
    </row>
    <row r="29" spans="1:57" s="124" customFormat="1" ht="15" x14ac:dyDescent="0.25">
      <c r="A29" s="21">
        <v>24</v>
      </c>
      <c r="B29" s="564" t="s">
        <v>113</v>
      </c>
      <c r="C29" s="745">
        <v>1973</v>
      </c>
      <c r="D29" s="745">
        <v>2</v>
      </c>
      <c r="E29" s="745">
        <v>16</v>
      </c>
      <c r="F29" s="349">
        <v>32</v>
      </c>
      <c r="G29" s="741">
        <v>722.8</v>
      </c>
      <c r="H29" s="741">
        <v>0</v>
      </c>
      <c r="I29" s="741">
        <v>0</v>
      </c>
      <c r="J29" s="741">
        <v>693.84</v>
      </c>
      <c r="K29" s="741">
        <v>825.02</v>
      </c>
      <c r="L29" s="741">
        <v>0</v>
      </c>
      <c r="M29" s="741">
        <v>0</v>
      </c>
      <c r="N29" s="741">
        <v>7719.78</v>
      </c>
      <c r="O29" s="741">
        <v>9118.23</v>
      </c>
      <c r="P29" s="728">
        <v>67222.320000000007</v>
      </c>
      <c r="Q29" s="728">
        <v>61418.85</v>
      </c>
      <c r="R29" s="728">
        <v>1055.44</v>
      </c>
      <c r="S29" s="728">
        <v>927.06</v>
      </c>
      <c r="T29" s="728">
        <v>39032.28</v>
      </c>
      <c r="U29" s="728">
        <v>37001.440000000002</v>
      </c>
      <c r="V29" s="728">
        <f t="shared" si="0"/>
        <v>115723.66</v>
      </c>
      <c r="W29" s="728">
        <f t="shared" si="1"/>
        <v>109290.6</v>
      </c>
      <c r="X29" s="729">
        <f t="shared" si="2"/>
        <v>75813.445135316782</v>
      </c>
      <c r="Y29" s="730">
        <v>692.47</v>
      </c>
      <c r="Z29" s="730">
        <f t="shared" si="3"/>
        <v>621.91873424757296</v>
      </c>
      <c r="AA29" s="731">
        <f t="shared" si="4"/>
        <v>368.43689081831167</v>
      </c>
      <c r="AB29" s="731">
        <f t="shared" si="5"/>
        <v>46.178369382233335</v>
      </c>
      <c r="AC29" s="732">
        <f t="shared" si="24"/>
        <v>1904.8780574679906</v>
      </c>
      <c r="AD29" s="730">
        <f t="shared" si="25"/>
        <v>19609.456073489884</v>
      </c>
      <c r="AE29" s="730">
        <f t="shared" si="26"/>
        <v>3762.4634328236048</v>
      </c>
      <c r="AF29" s="733">
        <v>1470.84</v>
      </c>
      <c r="AG29" s="733">
        <f t="shared" ref="AG29:AG30" si="29">493689.35/13841.67*G29</f>
        <v>25780.029590360122</v>
      </c>
      <c r="AH29" s="733">
        <f t="shared" ref="AH29:AH30" si="30">AG29*0.202</f>
        <v>5207.5659772527451</v>
      </c>
      <c r="AI29" s="730">
        <f t="shared" si="9"/>
        <v>59464.237125842461</v>
      </c>
      <c r="AJ29" s="734">
        <v>3924.95</v>
      </c>
      <c r="AK29" s="735"/>
      <c r="AL29" s="648"/>
      <c r="AM29" s="648"/>
      <c r="AN29" s="648"/>
      <c r="AO29" s="648"/>
      <c r="AP29" s="736">
        <f t="shared" si="10"/>
        <v>3924.95</v>
      </c>
      <c r="AQ29" s="467"/>
      <c r="AR29" s="467"/>
      <c r="AS29" s="1515"/>
      <c r="AT29" s="1515"/>
      <c r="AU29" s="1513">
        <f t="shared" si="11"/>
        <v>0</v>
      </c>
      <c r="AV29" s="1501"/>
      <c r="AW29" s="1513">
        <f t="shared" si="27"/>
        <v>936.34399395004857</v>
      </c>
      <c r="AX29" s="625">
        <f t="shared" si="28"/>
        <v>11487.914015524279</v>
      </c>
      <c r="AY29" s="1501">
        <f t="shared" si="14"/>
        <v>39910.214864683221</v>
      </c>
      <c r="AZ29" s="1502">
        <f t="shared" si="15"/>
        <v>94.441015778450151</v>
      </c>
      <c r="BA29" s="1513">
        <f t="shared" si="16"/>
        <v>11.654283517081225</v>
      </c>
      <c r="BB29" s="1521">
        <f t="shared" si="17"/>
        <v>6433.0599999999977</v>
      </c>
      <c r="BC29" s="1522">
        <f t="shared" si="18"/>
        <v>2030.8399999999965</v>
      </c>
      <c r="BD29" s="1521">
        <v>12.04</v>
      </c>
      <c r="BE29" s="1521">
        <v>6</v>
      </c>
    </row>
    <row r="30" spans="1:57" s="124" customFormat="1" ht="15" x14ac:dyDescent="0.25">
      <c r="A30" s="21">
        <v>25</v>
      </c>
      <c r="B30" s="564" t="s">
        <v>114</v>
      </c>
      <c r="C30" s="745">
        <v>1973</v>
      </c>
      <c r="D30" s="745">
        <v>2</v>
      </c>
      <c r="E30" s="745">
        <v>16</v>
      </c>
      <c r="F30" s="708">
        <v>46</v>
      </c>
      <c r="G30" s="741">
        <v>714.4</v>
      </c>
      <c r="H30" s="741">
        <v>0</v>
      </c>
      <c r="I30" s="741">
        <v>0</v>
      </c>
      <c r="J30" s="741">
        <v>685.74</v>
      </c>
      <c r="K30" s="741">
        <v>903.4</v>
      </c>
      <c r="L30" s="741">
        <v>0</v>
      </c>
      <c r="M30" s="741">
        <v>0</v>
      </c>
      <c r="N30" s="741">
        <v>7628.76</v>
      </c>
      <c r="O30" s="741">
        <v>9936.19</v>
      </c>
      <c r="P30" s="728">
        <v>66429.929999999993</v>
      </c>
      <c r="Q30" s="728">
        <v>69498.91</v>
      </c>
      <c r="R30" s="728">
        <v>1055.44</v>
      </c>
      <c r="S30" s="728">
        <v>1001.04</v>
      </c>
      <c r="T30" s="728">
        <v>38572.199999999997</v>
      </c>
      <c r="U30" s="728">
        <v>41240.230000000003</v>
      </c>
      <c r="V30" s="728">
        <f t="shared" si="0"/>
        <v>114372.06999999999</v>
      </c>
      <c r="W30" s="728">
        <f t="shared" si="1"/>
        <v>122579.76999999999</v>
      </c>
      <c r="X30" s="729">
        <f t="shared" si="2"/>
        <v>74236.665844867632</v>
      </c>
      <c r="Y30" s="730">
        <v>1025.05</v>
      </c>
      <c r="Z30" s="730">
        <f t="shared" si="3"/>
        <v>614.69112305819885</v>
      </c>
      <c r="AA30" s="731">
        <f t="shared" si="4"/>
        <v>364.15511178832577</v>
      </c>
      <c r="AB30" s="731">
        <f t="shared" si="5"/>
        <v>45.641708752998746</v>
      </c>
      <c r="AC30" s="732">
        <f t="shared" si="24"/>
        <v>1882.7405703585121</v>
      </c>
      <c r="AD30" s="730">
        <f t="shared" si="25"/>
        <v>19381.565327754808</v>
      </c>
      <c r="AE30" s="730">
        <f t="shared" si="26"/>
        <v>3718.7380691881344</v>
      </c>
      <c r="AF30" s="733">
        <v>1470.84</v>
      </c>
      <c r="AG30" s="733">
        <f t="shared" si="29"/>
        <v>25480.427696946972</v>
      </c>
      <c r="AH30" s="733">
        <f t="shared" si="30"/>
        <v>5147.0463947832886</v>
      </c>
      <c r="AI30" s="730">
        <f t="shared" si="9"/>
        <v>59130.896002631242</v>
      </c>
      <c r="AJ30" s="734">
        <v>986.7</v>
      </c>
      <c r="AK30" s="735"/>
      <c r="AL30" s="648"/>
      <c r="AM30" s="648">
        <v>1839.2</v>
      </c>
      <c r="AN30" s="648"/>
      <c r="AO30" s="648"/>
      <c r="AP30" s="736">
        <f t="shared" si="10"/>
        <v>2825.9</v>
      </c>
      <c r="AQ30" s="467"/>
      <c r="AR30" s="467"/>
      <c r="AS30" s="1515"/>
      <c r="AT30" s="1515"/>
      <c r="AU30" s="1513">
        <f t="shared" si="11"/>
        <v>0</v>
      </c>
      <c r="AV30" s="1501"/>
      <c r="AW30" s="1513">
        <f t="shared" si="27"/>
        <v>925.46229839224509</v>
      </c>
      <c r="AX30" s="625">
        <f t="shared" si="28"/>
        <v>11354.407543844141</v>
      </c>
      <c r="AY30" s="1501">
        <f t="shared" si="14"/>
        <v>40135.404155132361</v>
      </c>
      <c r="AZ30" s="1502">
        <f t="shared" si="15"/>
        <v>107.17631498669211</v>
      </c>
      <c r="BA30" s="1513">
        <f t="shared" si="16"/>
        <v>11.546078425542435</v>
      </c>
      <c r="BB30" s="1521">
        <f t="shared" si="17"/>
        <v>-8207.6999999999971</v>
      </c>
      <c r="BC30" s="1522">
        <f t="shared" si="18"/>
        <v>-2668.0300000000061</v>
      </c>
      <c r="BD30" s="1521">
        <v>12.04</v>
      </c>
      <c r="BE30" s="1521">
        <v>6</v>
      </c>
    </row>
    <row r="31" spans="1:57" s="124" customFormat="1" ht="15" x14ac:dyDescent="0.25">
      <c r="A31" s="21">
        <v>26</v>
      </c>
      <c r="B31" s="564" t="s">
        <v>115</v>
      </c>
      <c r="C31" s="745">
        <v>1961</v>
      </c>
      <c r="D31" s="745">
        <v>1</v>
      </c>
      <c r="E31" s="745">
        <v>4</v>
      </c>
      <c r="F31" s="349">
        <v>10</v>
      </c>
      <c r="G31" s="741">
        <v>61.68</v>
      </c>
      <c r="H31" s="741">
        <v>0</v>
      </c>
      <c r="I31" s="741">
        <v>0</v>
      </c>
      <c r="J31" s="741">
        <v>59.16</v>
      </c>
      <c r="K31" s="741">
        <v>51.18</v>
      </c>
      <c r="L31" s="741">
        <v>0</v>
      </c>
      <c r="M31" s="741">
        <v>0</v>
      </c>
      <c r="N31" s="741">
        <v>210.98400000000001</v>
      </c>
      <c r="O31" s="741">
        <v>182.42</v>
      </c>
      <c r="P31" s="728">
        <v>1385.49</v>
      </c>
      <c r="Q31" s="728">
        <v>1018.59</v>
      </c>
      <c r="R31" s="728"/>
      <c r="S31" s="728"/>
      <c r="T31" s="728"/>
      <c r="U31" s="728"/>
      <c r="V31" s="728">
        <f t="shared" si="0"/>
        <v>1655.634</v>
      </c>
      <c r="W31" s="728">
        <f t="shared" si="1"/>
        <v>1252.19</v>
      </c>
      <c r="X31" s="729">
        <f t="shared" si="2"/>
        <v>3305.6648098173473</v>
      </c>
      <c r="Y31" s="730"/>
      <c r="Z31" s="730">
        <f t="shared" si="3"/>
        <v>53.071316447689959</v>
      </c>
      <c r="AA31" s="731">
        <f t="shared" si="4"/>
        <v>31.44049173446799</v>
      </c>
      <c r="AB31" s="731">
        <f t="shared" si="5"/>
        <v>3.9406223346654015</v>
      </c>
      <c r="AC31" s="732">
        <f t="shared" si="24"/>
        <v>162.55240534674277</v>
      </c>
      <c r="AD31" s="730">
        <f t="shared" si="25"/>
        <v>1673.3691901118652</v>
      </c>
      <c r="AE31" s="730">
        <f t="shared" si="26"/>
        <v>321.06909869474259</v>
      </c>
      <c r="AF31" s="733"/>
      <c r="AG31" s="733"/>
      <c r="AH31" s="733"/>
      <c r="AI31" s="730">
        <f t="shared" si="9"/>
        <v>2245.4431246701747</v>
      </c>
      <c r="AJ31" s="734"/>
      <c r="AK31" s="735"/>
      <c r="AL31" s="648"/>
      <c r="AM31" s="648"/>
      <c r="AN31" s="648"/>
      <c r="AO31" s="648"/>
      <c r="AP31" s="736">
        <f t="shared" si="10"/>
        <v>0</v>
      </c>
      <c r="AQ31" s="467"/>
      <c r="AR31" s="467"/>
      <c r="AS31" s="1515"/>
      <c r="AT31" s="1515"/>
      <c r="AU31" s="1513">
        <f t="shared" si="11"/>
        <v>0</v>
      </c>
      <c r="AV31" s="1501"/>
      <c r="AW31" s="1513">
        <f t="shared" si="27"/>
        <v>79.90273595301467</v>
      </c>
      <c r="AX31" s="625">
        <f t="shared" si="28"/>
        <v>980.31894919415822</v>
      </c>
      <c r="AY31" s="1501">
        <f t="shared" si="14"/>
        <v>-1650.0308098173473</v>
      </c>
      <c r="AZ31" s="1502">
        <f t="shared" si="15"/>
        <v>75.632053944289623</v>
      </c>
      <c r="BA31" s="1513">
        <f t="shared" si="16"/>
        <v>5.9548652720445086</v>
      </c>
      <c r="BB31" s="1521">
        <f t="shared" si="17"/>
        <v>403.44399999999996</v>
      </c>
      <c r="BC31" s="1522">
        <f t="shared" si="18"/>
        <v>0</v>
      </c>
      <c r="BD31" s="1521">
        <v>3.09</v>
      </c>
      <c r="BE31" s="1521"/>
    </row>
    <row r="32" spans="1:57" s="124" customFormat="1" ht="15" x14ac:dyDescent="0.25">
      <c r="A32" s="21">
        <v>27</v>
      </c>
      <c r="B32" s="564" t="s">
        <v>116</v>
      </c>
      <c r="C32" s="745">
        <v>1961</v>
      </c>
      <c r="D32" s="745">
        <v>1</v>
      </c>
      <c r="E32" s="745">
        <v>2</v>
      </c>
      <c r="F32" s="708">
        <v>3</v>
      </c>
      <c r="G32" s="741">
        <v>40</v>
      </c>
      <c r="H32" s="741">
        <v>0</v>
      </c>
      <c r="I32" s="741">
        <v>0</v>
      </c>
      <c r="J32" s="741">
        <v>38.4</v>
      </c>
      <c r="K32" s="741">
        <v>44.8</v>
      </c>
      <c r="L32" s="741">
        <v>0</v>
      </c>
      <c r="M32" s="741">
        <v>0</v>
      </c>
      <c r="N32" s="741">
        <v>427.2</v>
      </c>
      <c r="O32" s="741">
        <v>498.4</v>
      </c>
      <c r="P32" s="728">
        <v>3342</v>
      </c>
      <c r="Q32" s="728">
        <v>3242</v>
      </c>
      <c r="R32" s="728"/>
      <c r="S32" s="728"/>
      <c r="T32" s="728"/>
      <c r="U32" s="728"/>
      <c r="V32" s="728">
        <f t="shared" si="0"/>
        <v>3807.6</v>
      </c>
      <c r="W32" s="728">
        <f t="shared" si="1"/>
        <v>3785.2</v>
      </c>
      <c r="X32" s="729">
        <f t="shared" si="2"/>
        <v>2143.7514979360226</v>
      </c>
      <c r="Y32" s="730"/>
      <c r="Z32" s="730">
        <f t="shared" si="3"/>
        <v>34.417196139876758</v>
      </c>
      <c r="AA32" s="731">
        <f t="shared" si="4"/>
        <v>20.389423952313873</v>
      </c>
      <c r="AB32" s="731">
        <f t="shared" si="5"/>
        <v>2.5555268058789893</v>
      </c>
      <c r="AC32" s="732">
        <f t="shared" si="24"/>
        <v>105.41660528323136</v>
      </c>
      <c r="AD32" s="730">
        <f t="shared" si="25"/>
        <v>1085.1940273098996</v>
      </c>
      <c r="AE32" s="730">
        <f t="shared" si="26"/>
        <v>208.21601731176565</v>
      </c>
      <c r="AF32" s="733"/>
      <c r="AG32" s="733"/>
      <c r="AH32" s="733"/>
      <c r="AI32" s="730">
        <f t="shared" si="9"/>
        <v>1456.1887968029662</v>
      </c>
      <c r="AJ32" s="734"/>
      <c r="AK32" s="735"/>
      <c r="AL32" s="648"/>
      <c r="AM32" s="648"/>
      <c r="AN32" s="648"/>
      <c r="AO32" s="648"/>
      <c r="AP32" s="736">
        <f t="shared" si="10"/>
        <v>0</v>
      </c>
      <c r="AQ32" s="467"/>
      <c r="AR32" s="467"/>
      <c r="AS32" s="1515"/>
      <c r="AT32" s="1515"/>
      <c r="AU32" s="1513">
        <f t="shared" si="11"/>
        <v>0</v>
      </c>
      <c r="AV32" s="1501"/>
      <c r="AW32" s="1513">
        <f t="shared" si="27"/>
        <v>51.817597894302637</v>
      </c>
      <c r="AX32" s="625">
        <f t="shared" si="28"/>
        <v>635.7451032387537</v>
      </c>
      <c r="AY32" s="1501">
        <f t="shared" si="14"/>
        <v>1663.8485020639773</v>
      </c>
      <c r="AZ32" s="1502">
        <f t="shared" si="15"/>
        <v>99.411702909969534</v>
      </c>
      <c r="BA32" s="1513">
        <f t="shared" si="16"/>
        <v>5.9548652720445068</v>
      </c>
      <c r="BB32" s="1521">
        <f t="shared" si="17"/>
        <v>22.400000000000091</v>
      </c>
      <c r="BC32" s="1522">
        <f t="shared" si="18"/>
        <v>0</v>
      </c>
      <c r="BD32" s="1521">
        <v>10.95</v>
      </c>
      <c r="BE32" s="1521"/>
    </row>
    <row r="33" spans="1:57" s="124" customFormat="1" ht="15" x14ac:dyDescent="0.25">
      <c r="A33" s="21">
        <v>28</v>
      </c>
      <c r="B33" s="564" t="s">
        <v>117</v>
      </c>
      <c r="C33" s="745">
        <v>1969</v>
      </c>
      <c r="D33" s="745">
        <v>2</v>
      </c>
      <c r="E33" s="745">
        <v>16</v>
      </c>
      <c r="F33" s="349">
        <v>37</v>
      </c>
      <c r="G33" s="741">
        <v>716.27</v>
      </c>
      <c r="H33" s="741">
        <v>0</v>
      </c>
      <c r="I33" s="741">
        <v>0</v>
      </c>
      <c r="J33" s="741">
        <v>687.72</v>
      </c>
      <c r="K33" s="741">
        <v>749.17</v>
      </c>
      <c r="L33" s="741">
        <v>0</v>
      </c>
      <c r="M33" s="741">
        <v>0</v>
      </c>
      <c r="N33" s="741">
        <v>7649.76</v>
      </c>
      <c r="O33" s="741">
        <v>8332.33</v>
      </c>
      <c r="P33" s="728">
        <v>66613.11</v>
      </c>
      <c r="Q33" s="728">
        <v>58094.03</v>
      </c>
      <c r="R33" s="728">
        <v>1055.52</v>
      </c>
      <c r="S33" s="728">
        <v>929.06</v>
      </c>
      <c r="T33" s="728">
        <v>38678.58</v>
      </c>
      <c r="U33" s="728">
        <v>34922.39</v>
      </c>
      <c r="V33" s="728">
        <f t="shared" si="0"/>
        <v>114684.69</v>
      </c>
      <c r="W33" s="728">
        <f t="shared" si="1"/>
        <v>103026.98</v>
      </c>
      <c r="X33" s="729">
        <f t="shared" si="2"/>
        <v>93218.346127384284</v>
      </c>
      <c r="Y33" s="730">
        <v>2859.07</v>
      </c>
      <c r="Z33" s="730">
        <f t="shared" si="3"/>
        <v>616.30012697773816</v>
      </c>
      <c r="AA33" s="731">
        <f t="shared" si="4"/>
        <v>365.10831735809643</v>
      </c>
      <c r="AB33" s="731">
        <f t="shared" si="5"/>
        <v>45.76117963117359</v>
      </c>
      <c r="AC33" s="732">
        <f t="shared" si="24"/>
        <v>1887.6687966555032</v>
      </c>
      <c r="AD33" s="730">
        <f t="shared" si="25"/>
        <v>19432.298148531547</v>
      </c>
      <c r="AE33" s="730">
        <f t="shared" si="26"/>
        <v>3728.4721679974591</v>
      </c>
      <c r="AF33" s="733">
        <v>1470.84</v>
      </c>
      <c r="AG33" s="733">
        <f t="shared" ref="AG33" si="31">493689.35/13841.67*G33</f>
        <v>25547.124785123469</v>
      </c>
      <c r="AH33" s="733">
        <f t="shared" ref="AH33" si="32">AG33*0.202</f>
        <v>5160.5192065949414</v>
      </c>
      <c r="AI33" s="730">
        <f t="shared" si="9"/>
        <v>61113.162728869931</v>
      </c>
      <c r="AJ33" s="734">
        <v>4159.97</v>
      </c>
      <c r="AK33" s="735">
        <v>13794</v>
      </c>
      <c r="AL33" s="648"/>
      <c r="AM33" s="648">
        <v>1839.2</v>
      </c>
      <c r="AN33" s="648"/>
      <c r="AO33" s="648"/>
      <c r="AP33" s="736">
        <f t="shared" si="10"/>
        <v>19793.170000000002</v>
      </c>
      <c r="AQ33" s="467"/>
      <c r="AR33" s="467"/>
      <c r="AS33" s="1515"/>
      <c r="AT33" s="1515"/>
      <c r="AU33" s="1513">
        <f t="shared" si="11"/>
        <v>0</v>
      </c>
      <c r="AV33" s="1501"/>
      <c r="AW33" s="1513">
        <f t="shared" si="27"/>
        <v>927.88477109380369</v>
      </c>
      <c r="AX33" s="625">
        <f t="shared" si="28"/>
        <v>11384.128627420552</v>
      </c>
      <c r="AY33" s="1501">
        <f t="shared" si="14"/>
        <v>21466.343872615718</v>
      </c>
      <c r="AZ33" s="1502">
        <f t="shared" si="15"/>
        <v>89.834990180467841</v>
      </c>
      <c r="BA33" s="1513">
        <f t="shared" si="16"/>
        <v>14.460460460655632</v>
      </c>
      <c r="BB33" s="1521">
        <f t="shared" si="17"/>
        <v>11657.710000000006</v>
      </c>
      <c r="BC33" s="1522">
        <f t="shared" si="18"/>
        <v>3756.1900000000023</v>
      </c>
      <c r="BD33" s="1521">
        <v>12.04</v>
      </c>
      <c r="BE33" s="1521">
        <v>6</v>
      </c>
    </row>
    <row r="34" spans="1:57" s="124" customFormat="1" ht="15" x14ac:dyDescent="0.25">
      <c r="A34" s="21">
        <v>29</v>
      </c>
      <c r="B34" s="564" t="s">
        <v>118</v>
      </c>
      <c r="C34" s="745">
        <v>1964</v>
      </c>
      <c r="D34" s="745">
        <v>1</v>
      </c>
      <c r="E34" s="745">
        <v>2</v>
      </c>
      <c r="F34" s="708">
        <v>11</v>
      </c>
      <c r="G34" s="741">
        <v>84.5</v>
      </c>
      <c r="H34" s="741">
        <v>0</v>
      </c>
      <c r="I34" s="741">
        <v>0</v>
      </c>
      <c r="J34" s="741">
        <v>81.12</v>
      </c>
      <c r="K34" s="741">
        <v>114.18</v>
      </c>
      <c r="L34" s="741">
        <v>0</v>
      </c>
      <c r="M34" s="741">
        <v>0</v>
      </c>
      <c r="N34" s="741">
        <v>902.46</v>
      </c>
      <c r="O34" s="741">
        <v>1250.5999999999999</v>
      </c>
      <c r="P34" s="728">
        <v>7052.37</v>
      </c>
      <c r="Q34" s="728">
        <v>6947.07</v>
      </c>
      <c r="R34" s="728"/>
      <c r="S34" s="728"/>
      <c r="T34" s="728"/>
      <c r="U34" s="728"/>
      <c r="V34" s="728">
        <f t="shared" si="0"/>
        <v>8035.95</v>
      </c>
      <c r="W34" s="728">
        <f t="shared" si="1"/>
        <v>8311.85</v>
      </c>
      <c r="X34" s="729">
        <f t="shared" si="2"/>
        <v>4528.6750393898474</v>
      </c>
      <c r="Y34" s="730"/>
      <c r="Z34" s="730">
        <f t="shared" si="3"/>
        <v>72.706326845489656</v>
      </c>
      <c r="AA34" s="731">
        <f t="shared" si="4"/>
        <v>43.072658099263052</v>
      </c>
      <c r="AB34" s="731">
        <f t="shared" si="5"/>
        <v>5.3985503774193653</v>
      </c>
      <c r="AC34" s="732">
        <f t="shared" si="24"/>
        <v>222.69257866082626</v>
      </c>
      <c r="AD34" s="730">
        <f t="shared" si="25"/>
        <v>2292.4723826921631</v>
      </c>
      <c r="AE34" s="730">
        <f t="shared" si="26"/>
        <v>439.85633657110492</v>
      </c>
      <c r="AF34" s="733"/>
      <c r="AG34" s="733"/>
      <c r="AH34" s="733"/>
      <c r="AI34" s="730">
        <f t="shared" si="9"/>
        <v>3076.1988332462661</v>
      </c>
      <c r="AJ34" s="734"/>
      <c r="AK34" s="735"/>
      <c r="AL34" s="648"/>
      <c r="AM34" s="648"/>
      <c r="AN34" s="648"/>
      <c r="AO34" s="648"/>
      <c r="AP34" s="736">
        <f t="shared" si="10"/>
        <v>0</v>
      </c>
      <c r="AQ34" s="467"/>
      <c r="AR34" s="467"/>
      <c r="AS34" s="1515"/>
      <c r="AT34" s="1515"/>
      <c r="AU34" s="1513">
        <f t="shared" si="11"/>
        <v>0</v>
      </c>
      <c r="AV34" s="1501"/>
      <c r="AW34" s="1513">
        <f t="shared" si="27"/>
        <v>109.46467555171432</v>
      </c>
      <c r="AX34" s="625">
        <f t="shared" si="28"/>
        <v>1343.0115305918673</v>
      </c>
      <c r="AY34" s="1501">
        <f t="shared" si="14"/>
        <v>3507.2749606101524</v>
      </c>
      <c r="AZ34" s="1502">
        <f t="shared" si="15"/>
        <v>103.4333215114579</v>
      </c>
      <c r="BA34" s="1513">
        <f t="shared" si="16"/>
        <v>5.9548652720445068</v>
      </c>
      <c r="BB34" s="1521">
        <f t="shared" si="17"/>
        <v>-275.90000000000055</v>
      </c>
      <c r="BC34" s="1522">
        <f t="shared" si="18"/>
        <v>0</v>
      </c>
      <c r="BD34" s="1521">
        <v>10.94</v>
      </c>
      <c r="BE34" s="1521"/>
    </row>
    <row r="35" spans="1:57" s="124" customFormat="1" ht="15" x14ac:dyDescent="0.25">
      <c r="A35" s="21">
        <v>30</v>
      </c>
      <c r="B35" s="564" t="s">
        <v>119</v>
      </c>
      <c r="C35" s="745">
        <v>1968</v>
      </c>
      <c r="D35" s="745">
        <v>2</v>
      </c>
      <c r="E35" s="745">
        <v>16</v>
      </c>
      <c r="F35" s="349">
        <v>54</v>
      </c>
      <c r="G35" s="741">
        <v>714.5</v>
      </c>
      <c r="H35" s="741">
        <v>0</v>
      </c>
      <c r="I35" s="741">
        <v>0</v>
      </c>
      <c r="J35" s="741">
        <v>685.98</v>
      </c>
      <c r="K35" s="741">
        <v>677.57</v>
      </c>
      <c r="L35" s="741">
        <v>0</v>
      </c>
      <c r="M35" s="741">
        <v>0</v>
      </c>
      <c r="N35" s="741">
        <v>7630.92</v>
      </c>
      <c r="O35" s="741">
        <v>7533.41</v>
      </c>
      <c r="P35" s="728">
        <v>66448.53</v>
      </c>
      <c r="Q35" s="728">
        <v>52685.38</v>
      </c>
      <c r="R35" s="728">
        <v>1055.48</v>
      </c>
      <c r="S35" s="728">
        <v>813.82</v>
      </c>
      <c r="T35" s="728">
        <v>38583</v>
      </c>
      <c r="U35" s="728">
        <v>31637.919999999998</v>
      </c>
      <c r="V35" s="728">
        <f t="shared" si="0"/>
        <v>114403.90999999999</v>
      </c>
      <c r="W35" s="728">
        <f t="shared" si="1"/>
        <v>93348.1</v>
      </c>
      <c r="X35" s="729">
        <f t="shared" si="2"/>
        <v>71112.472384039633</v>
      </c>
      <c r="Y35" s="730">
        <v>717.11</v>
      </c>
      <c r="Z35" s="730">
        <f t="shared" si="3"/>
        <v>614.77716604854857</v>
      </c>
      <c r="AA35" s="731">
        <f t="shared" si="4"/>
        <v>364.20608534820656</v>
      </c>
      <c r="AB35" s="731">
        <f t="shared" si="5"/>
        <v>45.648097570013448</v>
      </c>
      <c r="AC35" s="732">
        <f t="shared" si="24"/>
        <v>1883.0041118717202</v>
      </c>
      <c r="AD35" s="730">
        <f t="shared" si="25"/>
        <v>19384.278312823084</v>
      </c>
      <c r="AE35" s="730">
        <f t="shared" si="26"/>
        <v>3719.2586092314136</v>
      </c>
      <c r="AF35" s="733">
        <v>1470.84</v>
      </c>
      <c r="AG35" s="733">
        <f t="shared" ref="AG35" si="33">493689.35/13841.67*G35</f>
        <v>25483.994386154271</v>
      </c>
      <c r="AH35" s="733">
        <f t="shared" ref="AH35" si="34">AG35*0.202</f>
        <v>5147.7668660031632</v>
      </c>
      <c r="AI35" s="730">
        <f t="shared" si="9"/>
        <v>58830.883635050406</v>
      </c>
      <c r="AJ35" s="734"/>
      <c r="AK35" s="735"/>
      <c r="AL35" s="648"/>
      <c r="AM35" s="648"/>
      <c r="AN35" s="648"/>
      <c r="AO35" s="648"/>
      <c r="AP35" s="736">
        <f t="shared" si="10"/>
        <v>0</v>
      </c>
      <c r="AQ35" s="467"/>
      <c r="AR35" s="467"/>
      <c r="AS35" s="1515"/>
      <c r="AT35" s="1515"/>
      <c r="AU35" s="1513">
        <f t="shared" si="11"/>
        <v>0</v>
      </c>
      <c r="AV35" s="1501"/>
      <c r="AW35" s="1513">
        <f t="shared" si="27"/>
        <v>925.59184238698083</v>
      </c>
      <c r="AX35" s="625">
        <f t="shared" si="28"/>
        <v>11355.996906602239</v>
      </c>
      <c r="AY35" s="1501">
        <f t="shared" si="14"/>
        <v>43291.437615960356</v>
      </c>
      <c r="AZ35" s="1502">
        <f t="shared" si="15"/>
        <v>81.595200723471791</v>
      </c>
      <c r="BA35" s="1513">
        <f t="shared" si="16"/>
        <v>11.05862256185983</v>
      </c>
      <c r="BB35" s="1521">
        <f t="shared" si="17"/>
        <v>21055.809999999983</v>
      </c>
      <c r="BC35" s="1522">
        <f t="shared" si="18"/>
        <v>6945.0800000000017</v>
      </c>
      <c r="BD35" s="1521">
        <v>12.04</v>
      </c>
      <c r="BE35" s="1521">
        <v>6</v>
      </c>
    </row>
    <row r="36" spans="1:57" s="124" customFormat="1" ht="15" x14ac:dyDescent="0.25">
      <c r="A36" s="21">
        <v>31</v>
      </c>
      <c r="B36" s="564" t="s">
        <v>120</v>
      </c>
      <c r="C36" s="745">
        <v>1981</v>
      </c>
      <c r="D36" s="745">
        <v>1</v>
      </c>
      <c r="E36" s="745">
        <v>2</v>
      </c>
      <c r="F36" s="708">
        <v>3</v>
      </c>
      <c r="G36" s="741">
        <v>45.37</v>
      </c>
      <c r="H36" s="741">
        <v>0</v>
      </c>
      <c r="I36" s="741">
        <v>0</v>
      </c>
      <c r="J36" s="741">
        <v>43.56</v>
      </c>
      <c r="K36" s="741">
        <v>21.78</v>
      </c>
      <c r="L36" s="741">
        <v>0</v>
      </c>
      <c r="M36" s="741">
        <v>0</v>
      </c>
      <c r="N36" s="741">
        <v>484.56</v>
      </c>
      <c r="O36" s="741">
        <v>242.28</v>
      </c>
      <c r="P36" s="728">
        <v>3815.16</v>
      </c>
      <c r="Q36" s="728">
        <v>1158.3</v>
      </c>
      <c r="R36" s="728"/>
      <c r="S36" s="728"/>
      <c r="T36" s="728"/>
      <c r="U36" s="728"/>
      <c r="V36" s="728">
        <f t="shared" si="0"/>
        <v>4343.28</v>
      </c>
      <c r="W36" s="728">
        <f t="shared" si="1"/>
        <v>1422.36</v>
      </c>
      <c r="X36" s="729">
        <f t="shared" si="2"/>
        <v>2431.5501365339333</v>
      </c>
      <c r="Y36" s="730"/>
      <c r="Z36" s="730">
        <f t="shared" si="3"/>
        <v>39.03770472165521</v>
      </c>
      <c r="AA36" s="731">
        <f t="shared" si="4"/>
        <v>23.126704117912009</v>
      </c>
      <c r="AB36" s="731">
        <f t="shared" si="5"/>
        <v>2.8986062795682432</v>
      </c>
      <c r="AC36" s="732">
        <f t="shared" si="24"/>
        <v>119.56878454250517</v>
      </c>
      <c r="AD36" s="730">
        <f t="shared" si="25"/>
        <v>1230.8813254762536</v>
      </c>
      <c r="AE36" s="730">
        <f t="shared" si="26"/>
        <v>236.16901763587018</v>
      </c>
      <c r="AF36" s="733"/>
      <c r="AG36" s="733"/>
      <c r="AH36" s="733"/>
      <c r="AI36" s="730">
        <f t="shared" si="9"/>
        <v>1651.6821427737643</v>
      </c>
      <c r="AJ36" s="734"/>
      <c r="AK36" s="735"/>
      <c r="AL36" s="648"/>
      <c r="AM36" s="648"/>
      <c r="AN36" s="648"/>
      <c r="AO36" s="648"/>
      <c r="AP36" s="736">
        <f t="shared" si="10"/>
        <v>0</v>
      </c>
      <c r="AQ36" s="467"/>
      <c r="AR36" s="467"/>
      <c r="AS36" s="1515"/>
      <c r="AT36" s="1515"/>
      <c r="AU36" s="1513">
        <f t="shared" si="11"/>
        <v>0</v>
      </c>
      <c r="AV36" s="1501"/>
      <c r="AW36" s="1513">
        <f t="shared" si="27"/>
        <v>58.774110411612767</v>
      </c>
      <c r="AX36" s="625">
        <f t="shared" si="28"/>
        <v>721.09388334855635</v>
      </c>
      <c r="AY36" s="1501">
        <f t="shared" si="14"/>
        <v>1911.7298634660665</v>
      </c>
      <c r="AZ36" s="1502">
        <f t="shared" si="15"/>
        <v>32.748521854451013</v>
      </c>
      <c r="BA36" s="1513">
        <f t="shared" si="16"/>
        <v>5.9548652720445068</v>
      </c>
      <c r="BB36" s="1521">
        <f t="shared" si="17"/>
        <v>2920.92</v>
      </c>
      <c r="BC36" s="1522">
        <f t="shared" si="18"/>
        <v>0</v>
      </c>
      <c r="BD36" s="1521">
        <v>11.01</v>
      </c>
      <c r="BE36" s="1521"/>
    </row>
    <row r="37" spans="1:57" s="124" customFormat="1" ht="15" x14ac:dyDescent="0.25">
      <c r="A37" s="21">
        <v>32</v>
      </c>
      <c r="B37" s="564" t="s">
        <v>121</v>
      </c>
      <c r="C37" s="745">
        <v>1970</v>
      </c>
      <c r="D37" s="745">
        <v>2</v>
      </c>
      <c r="E37" s="745">
        <v>16</v>
      </c>
      <c r="F37" s="349">
        <v>35</v>
      </c>
      <c r="G37" s="741">
        <v>714.01</v>
      </c>
      <c r="H37" s="741">
        <v>0</v>
      </c>
      <c r="I37" s="741">
        <v>0</v>
      </c>
      <c r="J37" s="741">
        <v>686.34</v>
      </c>
      <c r="K37" s="741">
        <v>823.16</v>
      </c>
      <c r="L37" s="741">
        <v>0</v>
      </c>
      <c r="M37" s="741">
        <v>0</v>
      </c>
      <c r="N37" s="741">
        <v>7635.24</v>
      </c>
      <c r="O37" s="741">
        <v>9090.35</v>
      </c>
      <c r="P37" s="728">
        <v>66486.63</v>
      </c>
      <c r="Q37" s="728">
        <v>62290.32</v>
      </c>
      <c r="R37" s="728">
        <v>1055.52</v>
      </c>
      <c r="S37" s="728">
        <v>913.35</v>
      </c>
      <c r="T37" s="728">
        <v>38605.14</v>
      </c>
      <c r="U37" s="728">
        <v>37251.980000000003</v>
      </c>
      <c r="V37" s="728">
        <f t="shared" si="0"/>
        <v>114468.87000000001</v>
      </c>
      <c r="W37" s="728">
        <f t="shared" si="1"/>
        <v>110369.16</v>
      </c>
      <c r="X37" s="729">
        <f t="shared" si="2"/>
        <v>73878.814342096768</v>
      </c>
      <c r="Y37" s="730">
        <v>1546.52</v>
      </c>
      <c r="Z37" s="730">
        <f t="shared" si="3"/>
        <v>614.35555539583504</v>
      </c>
      <c r="AA37" s="731">
        <f t="shared" si="4"/>
        <v>363.9563149047907</v>
      </c>
      <c r="AB37" s="731">
        <f t="shared" si="5"/>
        <v>45.616792366641427</v>
      </c>
      <c r="AC37" s="732">
        <f t="shared" si="24"/>
        <v>1881.7127584570007</v>
      </c>
      <c r="AD37" s="730">
        <f t="shared" si="25"/>
        <v>19370.984685988537</v>
      </c>
      <c r="AE37" s="730">
        <f t="shared" si="26"/>
        <v>3716.7079630193448</v>
      </c>
      <c r="AF37" s="733">
        <v>1470.84</v>
      </c>
      <c r="AG37" s="733">
        <f t="shared" ref="AG37" si="35">493689.35/13841.67*G37</f>
        <v>25466.517609038503</v>
      </c>
      <c r="AH37" s="733">
        <f t="shared" ref="AH37" si="36">AG37*0.202</f>
        <v>5144.236557025778</v>
      </c>
      <c r="AI37" s="730">
        <f t="shared" si="9"/>
        <v>59621.448236196426</v>
      </c>
      <c r="AJ37" s="734">
        <v>145</v>
      </c>
      <c r="AK37" s="735"/>
      <c r="AL37" s="648"/>
      <c r="AM37" s="648">
        <v>1839.2</v>
      </c>
      <c r="AN37" s="648"/>
      <c r="AO37" s="648"/>
      <c r="AP37" s="736">
        <f t="shared" si="10"/>
        <v>1984.2</v>
      </c>
      <c r="AQ37" s="467"/>
      <c r="AR37" s="467"/>
      <c r="AS37" s="1515"/>
      <c r="AT37" s="1515"/>
      <c r="AU37" s="1513">
        <f t="shared" si="11"/>
        <v>0</v>
      </c>
      <c r="AV37" s="1501"/>
      <c r="AW37" s="1513">
        <f t="shared" si="27"/>
        <v>924.95707681277565</v>
      </c>
      <c r="AX37" s="625">
        <f t="shared" si="28"/>
        <v>11348.209029087564</v>
      </c>
      <c r="AY37" s="1501">
        <f t="shared" si="14"/>
        <v>40590.055657903242</v>
      </c>
      <c r="AZ37" s="1502">
        <f t="shared" si="15"/>
        <v>96.418493517058394</v>
      </c>
      <c r="BA37" s="1513">
        <f t="shared" si="16"/>
        <v>11.496697734095969</v>
      </c>
      <c r="BB37" s="1521">
        <f t="shared" si="17"/>
        <v>4099.7100000000064</v>
      </c>
      <c r="BC37" s="1522">
        <f t="shared" si="18"/>
        <v>1353.1599999999962</v>
      </c>
      <c r="BD37" s="1521">
        <v>12.04</v>
      </c>
      <c r="BE37" s="1521">
        <v>6</v>
      </c>
    </row>
    <row r="38" spans="1:57" s="124" customFormat="1" ht="15" x14ac:dyDescent="0.25">
      <c r="A38" s="21">
        <v>33</v>
      </c>
      <c r="B38" s="564" t="s">
        <v>122</v>
      </c>
      <c r="C38" s="745">
        <v>1962</v>
      </c>
      <c r="D38" s="745">
        <v>1</v>
      </c>
      <c r="E38" s="745">
        <v>2</v>
      </c>
      <c r="F38" s="708">
        <v>5</v>
      </c>
      <c r="G38" s="741">
        <v>77.209999999999994</v>
      </c>
      <c r="H38" s="741">
        <v>0</v>
      </c>
      <c r="I38" s="741">
        <v>0</v>
      </c>
      <c r="J38" s="741">
        <v>74.099999999999994</v>
      </c>
      <c r="K38" s="741">
        <v>86.45</v>
      </c>
      <c r="L38" s="741">
        <v>0</v>
      </c>
      <c r="M38" s="741">
        <v>0</v>
      </c>
      <c r="N38" s="741">
        <v>824.64</v>
      </c>
      <c r="O38" s="741">
        <v>962.08</v>
      </c>
      <c r="P38" s="728">
        <v>6443.94</v>
      </c>
      <c r="Q38" s="728">
        <v>6250.91</v>
      </c>
      <c r="R38" s="728"/>
      <c r="S38" s="728"/>
      <c r="T38" s="728"/>
      <c r="U38" s="728"/>
      <c r="V38" s="728">
        <f t="shared" si="0"/>
        <v>7342.6799999999994</v>
      </c>
      <c r="W38" s="728">
        <f t="shared" si="1"/>
        <v>7299.44</v>
      </c>
      <c r="X38" s="729">
        <f t="shared" si="2"/>
        <v>4137.9763288910081</v>
      </c>
      <c r="Y38" s="730"/>
      <c r="Z38" s="730">
        <f t="shared" si="3"/>
        <v>66.433792848997101</v>
      </c>
      <c r="AA38" s="731">
        <f t="shared" si="4"/>
        <v>39.356685583953848</v>
      </c>
      <c r="AB38" s="731">
        <f t="shared" si="5"/>
        <v>4.9328056170479186</v>
      </c>
      <c r="AC38" s="732">
        <f t="shared" si="24"/>
        <v>203.48040234795732</v>
      </c>
      <c r="AD38" s="730">
        <f t="shared" si="25"/>
        <v>2094.6957712149338</v>
      </c>
      <c r="AE38" s="730">
        <f t="shared" si="26"/>
        <v>401.90896741603558</v>
      </c>
      <c r="AF38" s="733"/>
      <c r="AG38" s="733"/>
      <c r="AH38" s="733"/>
      <c r="AI38" s="730">
        <f t="shared" si="9"/>
        <v>2810.8084250289257</v>
      </c>
      <c r="AJ38" s="734"/>
      <c r="AK38" s="735"/>
      <c r="AL38" s="648"/>
      <c r="AM38" s="648"/>
      <c r="AN38" s="648"/>
      <c r="AO38" s="648"/>
      <c r="AP38" s="736">
        <f t="shared" si="10"/>
        <v>0</v>
      </c>
      <c r="AQ38" s="467"/>
      <c r="AR38" s="467"/>
      <c r="AS38" s="1515"/>
      <c r="AT38" s="1515"/>
      <c r="AU38" s="1513">
        <f t="shared" si="11"/>
        <v>0</v>
      </c>
      <c r="AV38" s="1501"/>
      <c r="AW38" s="1513">
        <f t="shared" si="27"/>
        <v>100.02091833547766</v>
      </c>
      <c r="AX38" s="625">
        <f t="shared" si="28"/>
        <v>1227.1469855266043</v>
      </c>
      <c r="AY38" s="1501">
        <f t="shared" si="14"/>
        <v>3204.7036711089913</v>
      </c>
      <c r="AZ38" s="1502">
        <f t="shared" si="15"/>
        <v>99.411114198085713</v>
      </c>
      <c r="BA38" s="1513">
        <f t="shared" si="16"/>
        <v>5.9548652720445086</v>
      </c>
      <c r="BB38" s="1521">
        <f t="shared" si="17"/>
        <v>43.239999999999782</v>
      </c>
      <c r="BC38" s="1522">
        <f t="shared" si="18"/>
        <v>0</v>
      </c>
      <c r="BD38" s="1521">
        <v>10.94</v>
      </c>
      <c r="BE38" s="1521"/>
    </row>
    <row r="39" spans="1:57" s="124" customFormat="1" ht="15" x14ac:dyDescent="0.25">
      <c r="A39" s="19">
        <v>34</v>
      </c>
      <c r="B39" s="1514" t="s">
        <v>123</v>
      </c>
      <c r="C39" s="745">
        <v>1990</v>
      </c>
      <c r="D39" s="745">
        <v>3</v>
      </c>
      <c r="E39" s="745">
        <v>24</v>
      </c>
      <c r="F39" s="349">
        <v>61</v>
      </c>
      <c r="G39" s="741">
        <v>1444.1</v>
      </c>
      <c r="H39" s="741">
        <v>20787.84</v>
      </c>
      <c r="I39" s="741">
        <v>22187.42</v>
      </c>
      <c r="J39" s="741">
        <v>1385.7</v>
      </c>
      <c r="K39" s="741">
        <v>1479.02</v>
      </c>
      <c r="L39" s="741">
        <v>0</v>
      </c>
      <c r="M39" s="741">
        <v>0</v>
      </c>
      <c r="N39" s="741">
        <v>15417.84</v>
      </c>
      <c r="O39" s="741">
        <v>16428.169999999998</v>
      </c>
      <c r="P39" s="728">
        <v>144648.78</v>
      </c>
      <c r="Q39" s="728">
        <v>125390.49</v>
      </c>
      <c r="R39" s="728">
        <v>2224.77</v>
      </c>
      <c r="S39" s="728">
        <v>1961.97</v>
      </c>
      <c r="T39" s="728">
        <v>77954.399999999994</v>
      </c>
      <c r="U39" s="728">
        <v>71074.86</v>
      </c>
      <c r="V39" s="728">
        <f t="shared" si="0"/>
        <v>262419.32999999996</v>
      </c>
      <c r="W39" s="728">
        <f t="shared" si="1"/>
        <v>238521.93</v>
      </c>
      <c r="X39" s="729">
        <f t="shared" si="2"/>
        <v>182514.02768736356</v>
      </c>
      <c r="Y39" s="730">
        <v>854.98</v>
      </c>
      <c r="Z39" s="730">
        <f t="shared" si="3"/>
        <v>1242.5468236399006</v>
      </c>
      <c r="AA39" s="731">
        <f t="shared" si="4"/>
        <v>736.10917823841157</v>
      </c>
      <c r="AB39" s="731">
        <f t="shared" si="5"/>
        <v>92.260906509246212</v>
      </c>
      <c r="AC39" s="732">
        <f t="shared" si="24"/>
        <v>3805.8029922378601</v>
      </c>
      <c r="AD39" s="730">
        <f t="shared" si="25"/>
        <v>39178.217370955652</v>
      </c>
      <c r="AE39" s="730">
        <f t="shared" si="26"/>
        <v>7517.1187649980184</v>
      </c>
      <c r="AF39" s="733">
        <v>9895.9</v>
      </c>
      <c r="AG39" s="733">
        <f t="shared" ref="AG39" si="37">493689.35/13841.67*G39</f>
        <v>51506.55884261075</v>
      </c>
      <c r="AH39" s="733">
        <f t="shared" ref="AH39" si="38">AG39*0.202</f>
        <v>10404.324886207372</v>
      </c>
      <c r="AI39" s="730">
        <f t="shared" si="9"/>
        <v>125233.8197653972</v>
      </c>
      <c r="AJ39" s="734">
        <v>127</v>
      </c>
      <c r="AK39" s="735"/>
      <c r="AL39" s="648"/>
      <c r="AM39" s="648"/>
      <c r="AN39" s="648">
        <v>6986.1</v>
      </c>
      <c r="AO39" s="648"/>
      <c r="AP39" s="736">
        <f t="shared" si="10"/>
        <v>7113.1</v>
      </c>
      <c r="AQ39" s="467">
        <f t="shared" ref="AQ39" si="39">2763/8714.01*G39</f>
        <v>457.88888238595086</v>
      </c>
      <c r="AR39" s="467">
        <v>87.75</v>
      </c>
      <c r="AS39" s="1515">
        <f t="shared" ref="AS39" si="40">124493.27/8714.01*G39</f>
        <v>20631.228470818827</v>
      </c>
      <c r="AT39" s="1515">
        <f t="shared" ref="AT39" si="41">AS39*0.202</f>
        <v>4167.5081511054032</v>
      </c>
      <c r="AU39" s="1513">
        <f t="shared" si="11"/>
        <v>25344.375504310185</v>
      </c>
      <c r="AV39" s="1501"/>
      <c r="AW39" s="1513">
        <f t="shared" si="27"/>
        <v>1870.7448279790608</v>
      </c>
      <c r="AX39" s="625">
        <f t="shared" si="28"/>
        <v>22951.987589677105</v>
      </c>
      <c r="AY39" s="1501">
        <f t="shared" si="14"/>
        <v>79905.302312636399</v>
      </c>
      <c r="AZ39" s="1502">
        <f t="shared" si="15"/>
        <v>90.893429992371381</v>
      </c>
      <c r="BA39" s="1513">
        <f t="shared" si="16"/>
        <v>14.042889280317889</v>
      </c>
      <c r="BB39" s="1521">
        <f t="shared" si="17"/>
        <v>23897.399999999965</v>
      </c>
      <c r="BC39" s="1522">
        <f t="shared" si="18"/>
        <v>6879.5399999999936</v>
      </c>
      <c r="BD39" s="1521">
        <v>14.52</v>
      </c>
      <c r="BE39" s="1521">
        <v>6</v>
      </c>
    </row>
    <row r="40" spans="1:57" s="124" customFormat="1" ht="15" x14ac:dyDescent="0.25">
      <c r="A40" s="251">
        <v>35</v>
      </c>
      <c r="B40" s="1351" t="s">
        <v>124</v>
      </c>
      <c r="C40" s="748">
        <v>1980</v>
      </c>
      <c r="D40" s="748">
        <v>1</v>
      </c>
      <c r="E40" s="748">
        <v>1</v>
      </c>
      <c r="F40" s="749">
        <v>3</v>
      </c>
      <c r="G40" s="750">
        <v>36</v>
      </c>
      <c r="H40" s="750">
        <v>0</v>
      </c>
      <c r="I40" s="750">
        <v>0</v>
      </c>
      <c r="J40" s="750">
        <v>34.56</v>
      </c>
      <c r="K40" s="750">
        <v>40.32</v>
      </c>
      <c r="L40" s="750">
        <v>0</v>
      </c>
      <c r="M40" s="750">
        <v>0</v>
      </c>
      <c r="N40" s="750">
        <v>246.1</v>
      </c>
      <c r="O40" s="750">
        <v>287.27999999999997</v>
      </c>
      <c r="P40" s="751">
        <v>1658.88</v>
      </c>
      <c r="Q40" s="751">
        <v>1600.56</v>
      </c>
      <c r="R40" s="751"/>
      <c r="S40" s="751"/>
      <c r="T40" s="751"/>
      <c r="U40" s="751"/>
      <c r="V40" s="728">
        <f t="shared" si="0"/>
        <v>1939.54</v>
      </c>
      <c r="W40" s="728">
        <f t="shared" si="1"/>
        <v>1928.1599999999999</v>
      </c>
      <c r="X40" s="729">
        <f t="shared" si="2"/>
        <v>1929.3763481424205</v>
      </c>
      <c r="Y40" s="752"/>
      <c r="Z40" s="730">
        <f t="shared" si="3"/>
        <v>30.975476525889082</v>
      </c>
      <c r="AA40" s="731">
        <f t="shared" si="4"/>
        <v>18.350481557082485</v>
      </c>
      <c r="AB40" s="731">
        <f t="shared" si="5"/>
        <v>2.2999741252910901</v>
      </c>
      <c r="AC40" s="732">
        <f t="shared" si="24"/>
        <v>94.874944754908228</v>
      </c>
      <c r="AD40" s="730">
        <f t="shared" si="25"/>
        <v>976.67462457890974</v>
      </c>
      <c r="AE40" s="730">
        <f t="shared" si="26"/>
        <v>187.39441558058908</v>
      </c>
      <c r="AF40" s="733"/>
      <c r="AG40" s="733"/>
      <c r="AH40" s="733"/>
      <c r="AI40" s="730">
        <f t="shared" si="9"/>
        <v>1310.5699171226697</v>
      </c>
      <c r="AJ40" s="734"/>
      <c r="AK40" s="735"/>
      <c r="AL40" s="648"/>
      <c r="AM40" s="648"/>
      <c r="AN40" s="648"/>
      <c r="AO40" s="754"/>
      <c r="AP40" s="736">
        <f t="shared" si="10"/>
        <v>0</v>
      </c>
      <c r="AQ40" s="467"/>
      <c r="AR40" s="467"/>
      <c r="AS40" s="1515"/>
      <c r="AT40" s="1515"/>
      <c r="AU40" s="1513">
        <f t="shared" si="11"/>
        <v>0</v>
      </c>
      <c r="AV40" s="1501"/>
      <c r="AW40" s="1513">
        <f t="shared" si="27"/>
        <v>46.635838104872377</v>
      </c>
      <c r="AX40" s="625">
        <f t="shared" si="28"/>
        <v>572.1705929148784</v>
      </c>
      <c r="AY40" s="1501">
        <f t="shared" si="14"/>
        <v>10.163651857579453</v>
      </c>
      <c r="AZ40" s="1502">
        <f t="shared" si="15"/>
        <v>99.413262938634929</v>
      </c>
      <c r="BA40" s="1513">
        <f t="shared" si="16"/>
        <v>5.9548652720445077</v>
      </c>
      <c r="BB40" s="1521">
        <f t="shared" si="17"/>
        <v>11.380000000000109</v>
      </c>
      <c r="BC40" s="1522">
        <f t="shared" si="18"/>
        <v>0</v>
      </c>
      <c r="BD40" s="1521">
        <v>6.2</v>
      </c>
      <c r="BE40" s="1521"/>
    </row>
    <row r="41" spans="1:57" s="124" customFormat="1" ht="15" x14ac:dyDescent="0.25">
      <c r="A41" s="19"/>
      <c r="B41" s="392" t="s">
        <v>23</v>
      </c>
      <c r="C41" s="745"/>
      <c r="D41" s="745"/>
      <c r="E41" s="755">
        <f>SUM(E5:E40)</f>
        <v>301</v>
      </c>
      <c r="F41" s="755">
        <f>SUM(F5:F40)</f>
        <v>837</v>
      </c>
      <c r="G41" s="756">
        <f>SUM(G5:G40)</f>
        <v>15652.350000000002</v>
      </c>
      <c r="H41" s="756">
        <f t="shared" ref="H41:M41" si="42">SUM(H5:H40)</f>
        <v>125728.55999999998</v>
      </c>
      <c r="I41" s="756">
        <f t="shared" si="42"/>
        <v>138016.33000000002</v>
      </c>
      <c r="J41" s="756">
        <f t="shared" si="42"/>
        <v>14713.960000000001</v>
      </c>
      <c r="K41" s="756">
        <f t="shared" si="42"/>
        <v>16853.91</v>
      </c>
      <c r="L41" s="756">
        <f t="shared" si="42"/>
        <v>0</v>
      </c>
      <c r="M41" s="756">
        <f t="shared" si="42"/>
        <v>0</v>
      </c>
      <c r="N41" s="756">
        <f>SUM(N6:N40)</f>
        <v>162536.234</v>
      </c>
      <c r="O41" s="756">
        <f>SUM(O6:O40)</f>
        <v>185383.62999999998</v>
      </c>
      <c r="P41" s="757">
        <f>SUM(P6:P40)</f>
        <v>1440834.6499999997</v>
      </c>
      <c r="Q41" s="757">
        <f>SUM(Q6:Q40)</f>
        <v>1298373.9900000002</v>
      </c>
      <c r="R41" s="757">
        <f t="shared" ref="R41:U41" si="43">SUM(R6:R40)</f>
        <v>27303.119999999999</v>
      </c>
      <c r="S41" s="757">
        <f t="shared" si="43"/>
        <v>24831.420000000006</v>
      </c>
      <c r="T41" s="757">
        <f t="shared" si="43"/>
        <v>746986.86</v>
      </c>
      <c r="U41" s="757">
        <f t="shared" si="43"/>
        <v>707254.03</v>
      </c>
      <c r="V41" s="757">
        <f t="shared" ref="V41:X41" si="44">SUM(V6:V40)</f>
        <v>2518103.3840000001</v>
      </c>
      <c r="W41" s="757">
        <f t="shared" si="44"/>
        <v>2370713.3100000005</v>
      </c>
      <c r="X41" s="757">
        <f t="shared" si="44"/>
        <v>1874234.7192400002</v>
      </c>
      <c r="Y41" s="640">
        <f t="shared" ref="Y41:AF41" si="45">SUM(Y6:Y40)</f>
        <v>18342.66</v>
      </c>
      <c r="Z41" s="759">
        <f t="shared" si="45"/>
        <v>13467.75</v>
      </c>
      <c r="AA41" s="759">
        <f t="shared" si="45"/>
        <v>7978.5599999999995</v>
      </c>
      <c r="AB41" s="760">
        <f t="shared" si="45"/>
        <v>1000</v>
      </c>
      <c r="AC41" s="640">
        <f t="shared" si="45"/>
        <v>40250.30000000001</v>
      </c>
      <c r="AD41" s="640">
        <f t="shared" si="45"/>
        <v>414350.14</v>
      </c>
      <c r="AE41" s="640">
        <f t="shared" si="45"/>
        <v>79501.299999999988</v>
      </c>
      <c r="AF41" s="640">
        <f t="shared" si="45"/>
        <v>31949.54</v>
      </c>
      <c r="AG41" s="761">
        <f>SUM(AG6:AG40)</f>
        <v>493689.34999999992</v>
      </c>
      <c r="AH41" s="761">
        <f>SUM(AH6:AH40)</f>
        <v>99725.248699999996</v>
      </c>
      <c r="AI41" s="761">
        <f t="shared" ref="AI41:AY41" si="46">SUM(AI6:AI40)</f>
        <v>1200254.8487</v>
      </c>
      <c r="AJ41" s="761">
        <f t="shared" si="46"/>
        <v>41371.31</v>
      </c>
      <c r="AK41" s="761">
        <f t="shared" si="46"/>
        <v>13794</v>
      </c>
      <c r="AL41" s="761">
        <f t="shared" si="46"/>
        <v>86884</v>
      </c>
      <c r="AM41" s="761">
        <f t="shared" si="46"/>
        <v>46612.599999999991</v>
      </c>
      <c r="AN41" s="1511">
        <f t="shared" si="46"/>
        <v>69861</v>
      </c>
      <c r="AO41" s="759">
        <f t="shared" si="46"/>
        <v>0</v>
      </c>
      <c r="AP41" s="1512">
        <f t="shared" si="46"/>
        <v>258522.91000000006</v>
      </c>
      <c r="AQ41" s="761">
        <f t="shared" si="46"/>
        <v>2763</v>
      </c>
      <c r="AR41" s="761">
        <f t="shared" si="46"/>
        <v>527</v>
      </c>
      <c r="AS41" s="761">
        <f t="shared" si="46"/>
        <v>124493.26999999999</v>
      </c>
      <c r="AT41" s="761">
        <f t="shared" si="46"/>
        <v>25147.64054</v>
      </c>
      <c r="AU41" s="761">
        <f t="shared" si="46"/>
        <v>152930.91053999998</v>
      </c>
      <c r="AV41" s="761">
        <f t="shared" si="46"/>
        <v>0</v>
      </c>
      <c r="AW41" s="761">
        <f t="shared" si="46"/>
        <v>19785.060000000005</v>
      </c>
      <c r="AX41" s="761">
        <f t="shared" si="46"/>
        <v>242740.99000000002</v>
      </c>
      <c r="AY41" s="761">
        <f t="shared" si="46"/>
        <v>643868.66475999984</v>
      </c>
      <c r="AZ41" s="640">
        <f t="shared" si="15"/>
        <v>94.146782259357792</v>
      </c>
      <c r="BA41" s="1520">
        <f t="shared" si="16"/>
        <v>13.304602959796949</v>
      </c>
      <c r="BB41" s="1027">
        <f t="shared" si="17"/>
        <v>147390.07399999956</v>
      </c>
      <c r="BC41" s="1523">
        <f t="shared" si="18"/>
        <v>39732.829999999958</v>
      </c>
      <c r="BD41" s="1521"/>
      <c r="BE41" s="1521"/>
    </row>
    <row r="42" spans="1:57" x14ac:dyDescent="0.25">
      <c r="C42" s="375"/>
      <c r="D42" s="375"/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375"/>
      <c r="P42" s="375"/>
      <c r="Q42" s="375"/>
      <c r="R42" s="375"/>
      <c r="S42" s="375"/>
      <c r="T42" s="375"/>
      <c r="U42" s="375"/>
      <c r="V42" s="375"/>
      <c r="W42" s="375"/>
      <c r="X42" s="375"/>
      <c r="Y42" s="763"/>
      <c r="Z42" s="375"/>
      <c r="AA42" s="375" t="s">
        <v>180</v>
      </c>
      <c r="AB42" s="375" t="s">
        <v>180</v>
      </c>
      <c r="AC42" s="375" t="s">
        <v>180</v>
      </c>
      <c r="AD42" s="375" t="s">
        <v>180</v>
      </c>
      <c r="AE42" s="375"/>
      <c r="AF42" s="763" t="s">
        <v>180</v>
      </c>
      <c r="AG42" s="375"/>
      <c r="AH42" s="375"/>
      <c r="AI42" s="375"/>
      <c r="AJ42" s="375" t="s">
        <v>180</v>
      </c>
      <c r="AK42" s="375"/>
      <c r="AL42" s="375" t="s">
        <v>180</v>
      </c>
      <c r="AM42" s="375" t="s">
        <v>180</v>
      </c>
      <c r="AN42" s="375" t="s">
        <v>180</v>
      </c>
      <c r="AO42" s="764"/>
      <c r="AP42" s="375" t="s">
        <v>180</v>
      </c>
      <c r="AQ42" s="1518">
        <f>AQ41+AR41</f>
        <v>3290</v>
      </c>
      <c r="AR42" s="250"/>
      <c r="AS42" s="352">
        <f>AS41+AT41</f>
        <v>149640.91053999998</v>
      </c>
      <c r="AU42" t="s">
        <v>180</v>
      </c>
      <c r="AW42" t="s">
        <v>180</v>
      </c>
      <c r="AX42" t="s">
        <v>180</v>
      </c>
    </row>
    <row r="43" spans="1:57" x14ac:dyDescent="0.25">
      <c r="B43" s="81" t="s">
        <v>587</v>
      </c>
      <c r="C43" s="375"/>
      <c r="D43" s="764"/>
      <c r="E43" s="375"/>
      <c r="F43" s="375"/>
      <c r="G43" s="787">
        <v>13462.17</v>
      </c>
      <c r="H43" s="375"/>
      <c r="I43" s="375"/>
      <c r="J43" s="375"/>
      <c r="K43" s="375"/>
      <c r="L43" s="375"/>
      <c r="M43" s="375"/>
      <c r="N43" s="375"/>
      <c r="O43" s="375"/>
      <c r="P43" s="375"/>
      <c r="Q43" s="375"/>
      <c r="R43" s="375"/>
      <c r="S43" s="375"/>
      <c r="T43" s="375"/>
      <c r="U43" s="375"/>
      <c r="V43" s="764"/>
      <c r="W43" s="375"/>
      <c r="X43" s="375"/>
      <c r="Y43" s="786">
        <f>Y41+Z41</f>
        <v>31810.41</v>
      </c>
      <c r="Z43" s="375"/>
      <c r="AA43" s="375"/>
      <c r="AB43" s="375"/>
      <c r="AC43" s="375"/>
      <c r="AD43" s="375"/>
      <c r="AE43" s="764"/>
      <c r="AF43" s="375"/>
      <c r="AG43" s="763">
        <f>AG41+AH41</f>
        <v>593414.59869999997</v>
      </c>
      <c r="AH43" s="375"/>
      <c r="AI43" s="375"/>
      <c r="AJ43" s="375"/>
      <c r="AK43" s="375"/>
      <c r="AL43" s="375"/>
      <c r="AM43" s="375"/>
      <c r="AN43" s="375"/>
      <c r="AO43" s="375"/>
      <c r="AP43" s="375"/>
      <c r="AQ43" s="250"/>
      <c r="AR43" s="250"/>
    </row>
    <row r="44" spans="1:57" x14ac:dyDescent="0.25">
      <c r="B44" s="353" t="s">
        <v>749</v>
      </c>
      <c r="C44" s="375"/>
      <c r="D44" s="375"/>
      <c r="E44" s="375"/>
      <c r="F44" s="375"/>
      <c r="G44" s="763">
        <f>G41-G23-G25-G26</f>
        <v>15272.85</v>
      </c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 t="s">
        <v>180</v>
      </c>
      <c r="Z44" s="375"/>
      <c r="AA44" s="375"/>
      <c r="AB44" s="375"/>
      <c r="AC44" s="375"/>
      <c r="AD44" s="375"/>
      <c r="AE44" s="375"/>
      <c r="AF44" s="375"/>
      <c r="AG44" s="375"/>
      <c r="AH44" s="375"/>
      <c r="AI44" s="375"/>
      <c r="AJ44" s="375"/>
      <c r="AK44" s="375"/>
      <c r="AL44" s="375"/>
      <c r="AM44" s="375"/>
      <c r="AN44" s="375"/>
      <c r="AO44" s="375"/>
      <c r="AP44" s="375"/>
      <c r="AQ44" s="250"/>
      <c r="AR44" s="250"/>
    </row>
    <row r="45" spans="1:57" x14ac:dyDescent="0.25">
      <c r="A45" s="9"/>
      <c r="B45" s="9"/>
      <c r="C45" s="349"/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49"/>
      <c r="S45" s="349"/>
      <c r="T45" s="349"/>
      <c r="U45" s="349"/>
      <c r="V45" s="349"/>
      <c r="W45" s="349"/>
      <c r="X45" s="349"/>
      <c r="Y45" s="349"/>
      <c r="Z45" s="349"/>
      <c r="AA45" s="349"/>
      <c r="AB45" s="349"/>
      <c r="AC45" s="349"/>
      <c r="AD45" s="349"/>
      <c r="AE45" s="349"/>
      <c r="AF45" s="349"/>
      <c r="AG45" s="349"/>
      <c r="AH45" s="349"/>
      <c r="AI45" s="349"/>
      <c r="AJ45" s="349"/>
      <c r="AK45" s="349"/>
      <c r="AL45" s="349"/>
      <c r="AM45" s="349"/>
      <c r="AN45" s="349"/>
      <c r="AO45" s="349"/>
      <c r="AP45" s="375"/>
      <c r="AQ45" s="250"/>
      <c r="AR45" s="250"/>
      <c r="AS45" s="9"/>
      <c r="AT45" s="9"/>
      <c r="AU45" s="9"/>
      <c r="AV45" s="9"/>
      <c r="AW45" s="9"/>
      <c r="AX45" s="9"/>
      <c r="AY45" s="9"/>
      <c r="AZ45" s="9"/>
      <c r="BA45" s="9"/>
      <c r="BB45" s="77"/>
      <c r="BC45" s="9"/>
      <c r="BD45" s="9"/>
    </row>
    <row r="46" spans="1:57" ht="18.75" x14ac:dyDescent="0.3">
      <c r="B46" s="74" t="s">
        <v>665</v>
      </c>
      <c r="C46" s="765"/>
      <c r="D46" s="765"/>
      <c r="E46" s="765"/>
      <c r="F46" s="765"/>
      <c r="G46" s="765"/>
      <c r="H46" s="765"/>
      <c r="I46" s="765"/>
      <c r="J46" s="765"/>
      <c r="K46" s="765"/>
      <c r="L46" s="765"/>
      <c r="M46" s="765"/>
      <c r="N46" s="765"/>
      <c r="O46" s="765"/>
      <c r="P46" s="765"/>
      <c r="Q46" s="765"/>
      <c r="R46" s="765"/>
      <c r="S46" s="765"/>
      <c r="T46" s="765"/>
      <c r="U46" s="765"/>
      <c r="V46" s="765"/>
      <c r="W46" s="765"/>
      <c r="X46" s="766"/>
      <c r="Y46" s="766"/>
      <c r="Z46" s="375"/>
      <c r="AA46" s="375"/>
      <c r="AB46" s="375"/>
      <c r="AC46" s="375"/>
      <c r="AD46" s="375"/>
      <c r="AE46" s="375"/>
      <c r="AF46" s="375"/>
      <c r="AG46" s="375"/>
      <c r="AH46" s="375"/>
      <c r="AI46" s="375"/>
      <c r="AJ46" s="375"/>
      <c r="AK46" s="375"/>
      <c r="AL46" s="375"/>
      <c r="AM46" s="375"/>
      <c r="AN46" s="375"/>
      <c r="AO46" s="375"/>
      <c r="AP46" s="375"/>
      <c r="AQ46" s="250"/>
      <c r="AR46" s="250"/>
      <c r="AS46" s="9"/>
      <c r="AT46" s="9"/>
      <c r="AU46" s="9"/>
      <c r="AV46" s="9"/>
      <c r="AW46" s="9"/>
      <c r="AX46" s="9"/>
      <c r="AY46" s="9"/>
      <c r="AZ46" s="9"/>
      <c r="BA46" s="9"/>
      <c r="BB46" s="77"/>
      <c r="BC46" s="9"/>
      <c r="BD46" s="9"/>
    </row>
    <row r="47" spans="1:57" ht="14.25" customHeight="1" x14ac:dyDescent="0.25">
      <c r="A47" s="17"/>
      <c r="B47" s="1"/>
      <c r="C47" s="766"/>
      <c r="D47" s="766"/>
      <c r="E47" s="766"/>
      <c r="F47" s="766"/>
      <c r="G47" s="766"/>
      <c r="H47" s="766"/>
      <c r="I47" s="766"/>
      <c r="J47" s="766"/>
      <c r="K47" s="766"/>
      <c r="L47" s="766"/>
      <c r="M47" s="766"/>
      <c r="N47" s="766"/>
      <c r="O47" s="766"/>
      <c r="P47" s="766"/>
      <c r="Q47" s="766"/>
      <c r="R47" s="766"/>
      <c r="S47" s="766"/>
      <c r="T47" s="766"/>
      <c r="U47" s="766"/>
      <c r="V47" s="766"/>
      <c r="W47" s="766"/>
      <c r="X47" s="766"/>
      <c r="Y47" s="766"/>
      <c r="Z47" s="375"/>
      <c r="AA47" s="375"/>
      <c r="AB47" s="375"/>
      <c r="AC47" s="375"/>
      <c r="AD47" s="375"/>
      <c r="AE47" s="375"/>
      <c r="AF47" s="375"/>
      <c r="AG47" s="375"/>
      <c r="AH47" s="375"/>
      <c r="AI47" s="375"/>
      <c r="AJ47" s="375"/>
      <c r="AK47" s="375"/>
      <c r="AL47" s="375"/>
      <c r="AM47" s="375"/>
      <c r="AN47" s="375"/>
      <c r="AO47" s="375"/>
      <c r="AP47" s="375"/>
      <c r="AQ47" s="250"/>
      <c r="AR47" s="250"/>
      <c r="AS47" s="9"/>
      <c r="AT47" s="9"/>
      <c r="AU47" s="9"/>
      <c r="AV47" s="9"/>
      <c r="AW47" s="9"/>
      <c r="AX47" s="9"/>
      <c r="AY47" s="9"/>
      <c r="AZ47" s="9"/>
      <c r="BA47" s="9"/>
      <c r="BB47" s="77"/>
      <c r="BC47" s="9"/>
      <c r="BD47" s="9"/>
    </row>
    <row r="48" spans="1:57" ht="18" customHeight="1" x14ac:dyDescent="0.25">
      <c r="A48" s="17"/>
      <c r="B48" s="1"/>
      <c r="C48" s="766"/>
      <c r="D48" s="766"/>
      <c r="E48" s="766"/>
      <c r="F48" s="766"/>
      <c r="G48" s="766"/>
      <c r="H48" s="766"/>
      <c r="I48" s="1574"/>
      <c r="J48" s="1574"/>
      <c r="K48" s="1574"/>
      <c r="L48" s="1574"/>
      <c r="M48" s="1574"/>
      <c r="N48" s="1574"/>
      <c r="O48" s="1574"/>
      <c r="P48" s="1574"/>
      <c r="Q48" s="1574"/>
      <c r="R48" s="1574"/>
      <c r="S48" s="1574"/>
      <c r="T48" s="1574"/>
      <c r="U48" s="1574"/>
      <c r="V48" s="1574"/>
      <c r="W48" s="1574"/>
      <c r="X48" s="1574"/>
      <c r="Y48" s="1574"/>
      <c r="Z48" s="1574"/>
      <c r="AA48" s="1574"/>
      <c r="AB48" s="1574"/>
      <c r="AC48" s="1574"/>
      <c r="AD48" s="1574"/>
      <c r="AE48" s="1574"/>
      <c r="AF48" s="1574"/>
      <c r="AG48" s="1574"/>
      <c r="AH48" s="1574"/>
      <c r="AI48" s="1574"/>
      <c r="AJ48" s="1574"/>
      <c r="AK48" s="375"/>
      <c r="AL48" s="375"/>
      <c r="AM48" s="375"/>
      <c r="AN48" s="375"/>
      <c r="AO48" s="375"/>
      <c r="AP48" s="375"/>
      <c r="AQ48" s="250"/>
      <c r="AR48" s="250"/>
      <c r="AS48" s="249"/>
      <c r="AT48" s="249"/>
      <c r="AU48" s="249"/>
      <c r="AV48" s="249"/>
      <c r="AW48" s="249"/>
      <c r="AX48" s="249"/>
      <c r="AY48" s="249"/>
      <c r="AZ48" s="9"/>
      <c r="BA48" s="9"/>
      <c r="BB48" s="77"/>
      <c r="BC48" s="9"/>
      <c r="BD48" s="9"/>
    </row>
    <row r="49" spans="1:56" ht="20.25" customHeight="1" x14ac:dyDescent="0.25">
      <c r="A49" s="2020" t="s">
        <v>0</v>
      </c>
      <c r="B49" s="2020" t="s">
        <v>184</v>
      </c>
      <c r="C49" s="2228" t="s">
        <v>54</v>
      </c>
      <c r="D49" s="2228" t="s">
        <v>55</v>
      </c>
      <c r="E49" s="2228" t="s">
        <v>56</v>
      </c>
      <c r="F49" s="2228" t="s">
        <v>57</v>
      </c>
      <c r="G49" s="2232" t="s">
        <v>6</v>
      </c>
      <c r="H49" s="1347"/>
      <c r="I49" s="1574"/>
      <c r="J49" s="1574"/>
      <c r="K49" s="1574"/>
      <c r="L49" s="1574"/>
      <c r="M49" s="1574"/>
      <c r="N49" s="1574"/>
      <c r="O49" s="1574"/>
      <c r="P49" s="1574"/>
      <c r="Q49" s="1574"/>
      <c r="R49" s="1574"/>
      <c r="S49" s="1574"/>
      <c r="T49" s="1574"/>
      <c r="U49" s="1574"/>
      <c r="V49" s="1574"/>
      <c r="W49" s="1574"/>
      <c r="X49" s="1574"/>
      <c r="Y49" s="1574"/>
      <c r="Z49" s="1574"/>
      <c r="AA49" s="1574"/>
      <c r="AB49" s="1574"/>
      <c r="AC49" s="1574"/>
      <c r="AD49" s="1574"/>
      <c r="AE49" s="1574"/>
      <c r="AF49" s="1574"/>
      <c r="AG49" s="1574"/>
      <c r="AH49" s="1574"/>
      <c r="AI49" s="1574"/>
      <c r="AJ49" s="1574"/>
      <c r="AK49" s="375"/>
      <c r="AL49" s="375"/>
      <c r="AM49" s="375"/>
      <c r="AN49" s="375"/>
      <c r="AO49" s="375"/>
      <c r="AP49" s="375"/>
      <c r="AQ49" s="250"/>
      <c r="AR49" s="250"/>
      <c r="AS49" s="249"/>
      <c r="AT49" s="249"/>
      <c r="AU49" s="249"/>
      <c r="AV49" s="249"/>
      <c r="AW49" s="249"/>
      <c r="AX49" s="249"/>
      <c r="AY49" s="249"/>
      <c r="AZ49" s="1338"/>
      <c r="BA49" s="1338"/>
      <c r="BB49" s="2240"/>
      <c r="BC49" s="2208"/>
      <c r="BD49" s="9"/>
    </row>
    <row r="50" spans="1:56" ht="32.25" customHeight="1" x14ac:dyDescent="0.25">
      <c r="A50" s="2021"/>
      <c r="B50" s="2021"/>
      <c r="C50" s="2229"/>
      <c r="D50" s="2229"/>
      <c r="E50" s="2229"/>
      <c r="F50" s="2229"/>
      <c r="G50" s="2233"/>
      <c r="H50" s="1348"/>
      <c r="I50" s="1574"/>
      <c r="J50" s="1574"/>
      <c r="K50" s="1574"/>
      <c r="L50" s="1574"/>
      <c r="M50" s="1574"/>
      <c r="N50" s="1574"/>
      <c r="O50" s="1574"/>
      <c r="P50" s="1574"/>
      <c r="Q50" s="1574"/>
      <c r="R50" s="1574"/>
      <c r="S50" s="1574"/>
      <c r="T50" s="1574"/>
      <c r="U50" s="1574"/>
      <c r="V50" s="1574"/>
      <c r="W50" s="1574"/>
      <c r="X50" s="1574"/>
      <c r="Y50" s="1574"/>
      <c r="Z50" s="1574"/>
      <c r="AA50" s="1574"/>
      <c r="AB50" s="1574"/>
      <c r="AC50" s="1574"/>
      <c r="AD50" s="1574"/>
      <c r="AE50" s="1574"/>
      <c r="AF50" s="1574"/>
      <c r="AG50" s="1574"/>
      <c r="AH50" s="1574"/>
      <c r="AI50" s="1574"/>
      <c r="AJ50" s="1574"/>
      <c r="AK50" s="375"/>
      <c r="AL50" s="375"/>
      <c r="AM50" s="375"/>
      <c r="AN50" s="375"/>
      <c r="AO50" s="375"/>
      <c r="AP50" s="375"/>
      <c r="AQ50" s="250"/>
      <c r="AR50" s="250"/>
      <c r="AS50" s="249"/>
      <c r="AT50" s="249"/>
      <c r="AU50" s="249"/>
      <c r="AV50" s="249"/>
      <c r="AW50" s="249"/>
      <c r="AX50" s="249"/>
      <c r="AY50" s="249"/>
      <c r="AZ50" s="1339"/>
      <c r="BA50" s="1339"/>
      <c r="BB50" s="2240"/>
      <c r="BC50" s="2208"/>
      <c r="BD50" s="9"/>
    </row>
    <row r="51" spans="1:56" s="124" customFormat="1" ht="15.75" customHeight="1" x14ac:dyDescent="0.25">
      <c r="A51" s="19">
        <v>1</v>
      </c>
      <c r="B51" s="564" t="s">
        <v>100</v>
      </c>
      <c r="C51" s="675">
        <v>1980</v>
      </c>
      <c r="D51" s="675">
        <v>3</v>
      </c>
      <c r="E51" s="675">
        <v>24</v>
      </c>
      <c r="F51" s="769">
        <v>59</v>
      </c>
      <c r="G51" s="770">
        <v>1440.6</v>
      </c>
      <c r="H51" s="770"/>
      <c r="I51" s="1574"/>
      <c r="J51" s="1574"/>
      <c r="K51" s="1574"/>
      <c r="L51" s="1574"/>
      <c r="M51" s="1574"/>
      <c r="N51" s="1574"/>
      <c r="O51" s="1574"/>
      <c r="P51" s="1574"/>
      <c r="Q51" s="1574"/>
      <c r="R51" s="1574"/>
      <c r="S51" s="1574"/>
      <c r="T51" s="1574"/>
      <c r="U51" s="1574"/>
      <c r="V51" s="1574"/>
      <c r="W51" s="1574"/>
      <c r="X51" s="1574"/>
      <c r="Y51" s="1574"/>
      <c r="Z51" s="1574"/>
      <c r="AA51" s="1574"/>
      <c r="AB51" s="1574"/>
      <c r="AC51" s="1574"/>
      <c r="AD51" s="1574"/>
      <c r="AE51" s="1574"/>
      <c r="AF51" s="1574"/>
      <c r="AG51" s="1574"/>
      <c r="AH51" s="1574"/>
      <c r="AI51" s="1574"/>
      <c r="AJ51" s="1574"/>
      <c r="AK51" s="375"/>
      <c r="AL51" s="375"/>
      <c r="AM51" s="375"/>
      <c r="AN51" s="375"/>
      <c r="AO51" s="375"/>
      <c r="AP51" s="375"/>
      <c r="AQ51" s="250"/>
      <c r="AR51" s="250"/>
      <c r="AS51" s="35"/>
      <c r="AT51" s="35"/>
      <c r="AU51" s="30"/>
      <c r="AV51" s="67"/>
      <c r="AW51" s="67"/>
      <c r="AX51" s="68"/>
      <c r="AY51" s="67"/>
      <c r="AZ51" s="68"/>
      <c r="BA51" s="35"/>
      <c r="BB51" s="79"/>
      <c r="BC51" s="35"/>
      <c r="BD51" s="30"/>
    </row>
    <row r="52" spans="1:56" s="124" customFormat="1" ht="15.75" customHeight="1" x14ac:dyDescent="0.25">
      <c r="A52" s="19">
        <v>2</v>
      </c>
      <c r="B52" s="564" t="s">
        <v>101</v>
      </c>
      <c r="C52" s="775">
        <v>1978</v>
      </c>
      <c r="D52" s="775">
        <v>3</v>
      </c>
      <c r="E52" s="775">
        <v>24</v>
      </c>
      <c r="F52" s="672">
        <v>71</v>
      </c>
      <c r="G52" s="676">
        <v>1449.9</v>
      </c>
      <c r="H52" s="676"/>
      <c r="I52" s="1574"/>
      <c r="J52" s="1574"/>
      <c r="K52" s="1574"/>
      <c r="L52" s="1574"/>
      <c r="M52" s="1574"/>
      <c r="N52" s="1574"/>
      <c r="O52" s="1574"/>
      <c r="P52" s="1574"/>
      <c r="Q52" s="1574"/>
      <c r="R52" s="1574"/>
      <c r="S52" s="1574"/>
      <c r="T52" s="1574"/>
      <c r="U52" s="1574"/>
      <c r="V52" s="1574"/>
      <c r="W52" s="1574"/>
      <c r="X52" s="1574"/>
      <c r="Y52" s="1574"/>
      <c r="Z52" s="1574"/>
      <c r="AA52" s="1574"/>
      <c r="AB52" s="1574"/>
      <c r="AC52" s="1574"/>
      <c r="AD52" s="1574"/>
      <c r="AE52" s="1574"/>
      <c r="AF52" s="1574"/>
      <c r="AG52" s="1574"/>
      <c r="AH52" s="1574"/>
      <c r="AI52" s="1574"/>
      <c r="AJ52" s="1574"/>
      <c r="AK52" s="375"/>
      <c r="AL52" s="375"/>
      <c r="AM52" s="375"/>
      <c r="AN52" s="375"/>
      <c r="AO52" s="375"/>
      <c r="AP52" s="375"/>
      <c r="AQ52" s="250"/>
      <c r="AR52" s="250"/>
      <c r="AS52" s="35"/>
      <c r="AT52" s="35"/>
      <c r="AU52" s="30"/>
      <c r="AV52" s="67"/>
      <c r="AW52" s="67"/>
      <c r="AX52" s="68"/>
      <c r="AY52" s="67"/>
      <c r="AZ52" s="68"/>
      <c r="BA52" s="35"/>
      <c r="BB52" s="79"/>
      <c r="BC52" s="35"/>
      <c r="BD52" s="30"/>
    </row>
    <row r="53" spans="1:56" s="124" customFormat="1" ht="15.75" customHeight="1" x14ac:dyDescent="0.25">
      <c r="A53" s="19">
        <v>3</v>
      </c>
      <c r="B53" s="564" t="s">
        <v>102</v>
      </c>
      <c r="C53" s="775">
        <v>1979</v>
      </c>
      <c r="D53" s="775">
        <v>3</v>
      </c>
      <c r="E53" s="775">
        <v>24</v>
      </c>
      <c r="F53" s="672">
        <v>79</v>
      </c>
      <c r="G53" s="676">
        <v>1460.41</v>
      </c>
      <c r="H53" s="676"/>
      <c r="I53" s="1574"/>
      <c r="J53" s="1574"/>
      <c r="K53" s="1574"/>
      <c r="L53" s="1574"/>
      <c r="M53" s="1574"/>
      <c r="N53" s="1574"/>
      <c r="O53" s="1574"/>
      <c r="P53" s="1574"/>
      <c r="Q53" s="1574"/>
      <c r="R53" s="1574"/>
      <c r="S53" s="1574"/>
      <c r="T53" s="1574"/>
      <c r="U53" s="1574"/>
      <c r="V53" s="1574"/>
      <c r="W53" s="1574"/>
      <c r="X53" s="1574"/>
      <c r="Y53" s="1574"/>
      <c r="Z53" s="1574"/>
      <c r="AA53" s="1574"/>
      <c r="AB53" s="1574"/>
      <c r="AC53" s="1574"/>
      <c r="AD53" s="1574"/>
      <c r="AE53" s="1574"/>
      <c r="AF53" s="1574"/>
      <c r="AG53" s="1574"/>
      <c r="AH53" s="1574"/>
      <c r="AI53" s="1574"/>
      <c r="AJ53" s="1574"/>
      <c r="AK53" s="375"/>
      <c r="AL53" s="375"/>
      <c r="AM53" s="375"/>
      <c r="AN53" s="375"/>
      <c r="AO53" s="375"/>
      <c r="AP53" s="375"/>
      <c r="AQ53" s="250"/>
      <c r="AR53" s="250"/>
      <c r="AS53" s="35"/>
      <c r="AT53" s="35"/>
      <c r="AU53" s="30"/>
      <c r="AV53" s="67"/>
      <c r="AW53" s="67"/>
      <c r="AX53" s="68"/>
      <c r="AY53" s="67"/>
      <c r="AZ53" s="68"/>
      <c r="BA53" s="35"/>
      <c r="BB53" s="79"/>
      <c r="BC53" s="35"/>
      <c r="BD53" s="30"/>
    </row>
    <row r="54" spans="1:56" s="124" customFormat="1" ht="15.75" customHeight="1" x14ac:dyDescent="0.25">
      <c r="A54" s="19">
        <v>4</v>
      </c>
      <c r="B54" s="564" t="s">
        <v>103</v>
      </c>
      <c r="C54" s="775">
        <v>1986</v>
      </c>
      <c r="D54" s="775">
        <v>3</v>
      </c>
      <c r="E54" s="775">
        <v>24</v>
      </c>
      <c r="F54" s="672">
        <v>63</v>
      </c>
      <c r="G54" s="676">
        <v>1454.3</v>
      </c>
      <c r="H54" s="676"/>
      <c r="I54" s="1574"/>
      <c r="J54" s="1574"/>
      <c r="K54" s="1574"/>
      <c r="L54" s="1574"/>
      <c r="M54" s="1574"/>
      <c r="N54" s="1574"/>
      <c r="O54" s="1574"/>
      <c r="P54" s="1574"/>
      <c r="Q54" s="1574"/>
      <c r="R54" s="1574"/>
      <c r="S54" s="1574"/>
      <c r="T54" s="1574"/>
      <c r="U54" s="1574"/>
      <c r="V54" s="1574"/>
      <c r="W54" s="1574"/>
      <c r="X54" s="1574"/>
      <c r="Y54" s="1574"/>
      <c r="Z54" s="1574"/>
      <c r="AA54" s="1574"/>
      <c r="AB54" s="1574"/>
      <c r="AC54" s="1574"/>
      <c r="AD54" s="1574"/>
      <c r="AE54" s="1574"/>
      <c r="AF54" s="1574"/>
      <c r="AG54" s="1574"/>
      <c r="AH54" s="1574"/>
      <c r="AI54" s="1574"/>
      <c r="AJ54" s="1574"/>
      <c r="AK54" s="375"/>
      <c r="AL54" s="375"/>
      <c r="AM54" s="375"/>
      <c r="AN54" s="375"/>
      <c r="AO54" s="375"/>
      <c r="AP54" s="375"/>
      <c r="AQ54" s="250"/>
      <c r="AR54" s="250"/>
      <c r="AS54" s="35"/>
      <c r="AT54" s="35"/>
      <c r="AU54" s="30"/>
      <c r="AV54" s="67"/>
      <c r="AW54" s="67"/>
      <c r="AX54" s="68"/>
      <c r="AY54" s="67"/>
      <c r="AZ54" s="68"/>
      <c r="BA54" s="35"/>
      <c r="BB54" s="79"/>
      <c r="BC54" s="35"/>
      <c r="BD54" s="30"/>
    </row>
    <row r="55" spans="1:56" s="124" customFormat="1" ht="15.75" customHeight="1" x14ac:dyDescent="0.25">
      <c r="A55" s="19">
        <v>5</v>
      </c>
      <c r="B55" s="564" t="s">
        <v>104</v>
      </c>
      <c r="C55" s="775">
        <v>1985</v>
      </c>
      <c r="D55" s="775">
        <v>3</v>
      </c>
      <c r="E55" s="775">
        <v>24</v>
      </c>
      <c r="F55" s="672">
        <v>88</v>
      </c>
      <c r="G55" s="676">
        <v>1464.7</v>
      </c>
      <c r="H55" s="676"/>
      <c r="I55" s="1574"/>
      <c r="J55" s="1574"/>
      <c r="K55" s="1574"/>
      <c r="L55" s="1574"/>
      <c r="M55" s="1574"/>
      <c r="N55" s="1574"/>
      <c r="O55" s="1574"/>
      <c r="P55" s="1574"/>
      <c r="Q55" s="1574"/>
      <c r="R55" s="1574"/>
      <c r="S55" s="1574"/>
      <c r="T55" s="1574"/>
      <c r="U55" s="1574"/>
      <c r="V55" s="1574"/>
      <c r="W55" s="1574"/>
      <c r="X55" s="1574"/>
      <c r="Y55" s="1574"/>
      <c r="Z55" s="1574"/>
      <c r="AA55" s="1574"/>
      <c r="AB55" s="1574"/>
      <c r="AC55" s="1574"/>
      <c r="AD55" s="1574"/>
      <c r="AE55" s="1574"/>
      <c r="AF55" s="1574"/>
      <c r="AG55" s="1574"/>
      <c r="AH55" s="1574"/>
      <c r="AI55" s="1574"/>
      <c r="AJ55" s="1574"/>
      <c r="AK55" s="375"/>
      <c r="AL55" s="375"/>
      <c r="AM55" s="375"/>
      <c r="AN55" s="375"/>
      <c r="AO55" s="375"/>
      <c r="AP55" s="375"/>
      <c r="AQ55" s="250"/>
      <c r="AR55" s="250"/>
      <c r="AS55" s="35"/>
      <c r="AT55" s="35"/>
      <c r="AU55" s="30"/>
      <c r="AV55" s="67"/>
      <c r="AW55" s="67"/>
      <c r="AX55" s="68"/>
      <c r="AY55" s="67"/>
      <c r="AZ55" s="68"/>
      <c r="BA55" s="35"/>
      <c r="BB55" s="79"/>
      <c r="BC55" s="35"/>
      <c r="BD55" s="30"/>
    </row>
    <row r="56" spans="1:56" s="124" customFormat="1" ht="15.75" customHeight="1" x14ac:dyDescent="0.25">
      <c r="A56" s="19">
        <v>6</v>
      </c>
      <c r="B56" s="564" t="s">
        <v>105</v>
      </c>
      <c r="C56" s="775">
        <v>12976</v>
      </c>
      <c r="D56" s="775">
        <v>23</v>
      </c>
      <c r="E56" s="775">
        <v>18</v>
      </c>
      <c r="F56" s="672">
        <v>35</v>
      </c>
      <c r="G56" s="676">
        <v>766.9</v>
      </c>
      <c r="H56" s="676"/>
      <c r="I56" s="1574"/>
      <c r="J56" s="1574"/>
      <c r="K56" s="1574"/>
      <c r="L56" s="1574"/>
      <c r="M56" s="1574"/>
      <c r="N56" s="1574"/>
      <c r="O56" s="1574"/>
      <c r="P56" s="1574"/>
      <c r="Q56" s="1574"/>
      <c r="R56" s="1574"/>
      <c r="S56" s="1574"/>
      <c r="T56" s="1574"/>
      <c r="U56" s="1574"/>
      <c r="V56" s="1574"/>
      <c r="W56" s="1574"/>
      <c r="X56" s="1574"/>
      <c r="Y56" s="1574"/>
      <c r="Z56" s="1574"/>
      <c r="AA56" s="1574"/>
      <c r="AB56" s="1574"/>
      <c r="AC56" s="1574"/>
      <c r="AD56" s="1574"/>
      <c r="AE56" s="1574"/>
      <c r="AF56" s="1574"/>
      <c r="AG56" s="1574"/>
      <c r="AH56" s="1574"/>
      <c r="AI56" s="1574"/>
      <c r="AJ56" s="1574"/>
      <c r="AK56" s="375"/>
      <c r="AL56" s="375"/>
      <c r="AM56" s="375"/>
      <c r="AN56" s="375"/>
      <c r="AO56" s="375"/>
      <c r="AP56" s="375"/>
      <c r="AQ56" s="250"/>
      <c r="AR56" s="250"/>
      <c r="AS56" s="35"/>
      <c r="AT56" s="35"/>
      <c r="AU56" s="30"/>
      <c r="AV56" s="67"/>
      <c r="AW56" s="67"/>
      <c r="AX56" s="68"/>
      <c r="AY56" s="67"/>
      <c r="AZ56" s="68"/>
      <c r="BA56" s="35"/>
      <c r="BB56" s="79"/>
      <c r="BC56" s="35"/>
      <c r="BD56" s="30"/>
    </row>
    <row r="57" spans="1:56" s="124" customFormat="1" ht="15.75" customHeight="1" x14ac:dyDescent="0.25">
      <c r="A57" s="19">
        <v>7</v>
      </c>
      <c r="B57" s="564" t="s">
        <v>106</v>
      </c>
      <c r="C57" s="775">
        <v>1975</v>
      </c>
      <c r="D57" s="775">
        <v>2</v>
      </c>
      <c r="E57" s="775">
        <v>18</v>
      </c>
      <c r="F57" s="672">
        <v>49</v>
      </c>
      <c r="G57" s="676">
        <v>778.78</v>
      </c>
      <c r="H57" s="676"/>
      <c r="I57" s="1574"/>
      <c r="J57" s="1574"/>
      <c r="K57" s="1574"/>
      <c r="L57" s="1574"/>
      <c r="M57" s="1574"/>
      <c r="N57" s="1574"/>
      <c r="O57" s="1574"/>
      <c r="P57" s="1574"/>
      <c r="Q57" s="1574"/>
      <c r="R57" s="1574"/>
      <c r="S57" s="1574"/>
      <c r="T57" s="1574"/>
      <c r="U57" s="1574"/>
      <c r="V57" s="1574"/>
      <c r="W57" s="1574"/>
      <c r="X57" s="1574"/>
      <c r="Y57" s="1574"/>
      <c r="Z57" s="1574"/>
      <c r="AA57" s="1574"/>
      <c r="AB57" s="1574"/>
      <c r="AC57" s="1574"/>
      <c r="AD57" s="1574"/>
      <c r="AE57" s="1574"/>
      <c r="AF57" s="1574"/>
      <c r="AG57" s="1574"/>
      <c r="AH57" s="1574"/>
      <c r="AI57" s="1574"/>
      <c r="AJ57" s="1574"/>
      <c r="AK57" s="375"/>
      <c r="AL57" s="375"/>
      <c r="AM57" s="375"/>
      <c r="AN57" s="375"/>
      <c r="AO57" s="375"/>
      <c r="AP57" s="375"/>
      <c r="AQ57" s="250"/>
      <c r="AR57" s="250"/>
      <c r="AS57" s="35"/>
      <c r="AT57" s="35"/>
      <c r="AU57" s="30"/>
      <c r="AV57" s="67"/>
      <c r="AW57" s="67"/>
      <c r="AX57" s="68"/>
      <c r="AY57" s="67"/>
      <c r="AZ57" s="68"/>
      <c r="BA57" s="35"/>
      <c r="BB57" s="79"/>
      <c r="BC57" s="35"/>
      <c r="BD57" s="30"/>
    </row>
    <row r="58" spans="1:56" s="124" customFormat="1" ht="15.75" customHeight="1" x14ac:dyDescent="0.25">
      <c r="A58" s="21">
        <v>8</v>
      </c>
      <c r="B58" s="564" t="s">
        <v>113</v>
      </c>
      <c r="C58" s="775">
        <v>1973</v>
      </c>
      <c r="D58" s="775">
        <v>2</v>
      </c>
      <c r="E58" s="775">
        <v>16</v>
      </c>
      <c r="F58" s="672">
        <v>32</v>
      </c>
      <c r="G58" s="676">
        <v>722.8</v>
      </c>
      <c r="H58" s="676"/>
      <c r="I58" s="1574"/>
      <c r="J58" s="1574"/>
      <c r="K58" s="1574"/>
      <c r="L58" s="1574"/>
      <c r="M58" s="1574"/>
      <c r="N58" s="1574"/>
      <c r="O58" s="1574"/>
      <c r="P58" s="1574"/>
      <c r="Q58" s="1574"/>
      <c r="R58" s="1574"/>
      <c r="S58" s="1574"/>
      <c r="T58" s="1574"/>
      <c r="U58" s="1574"/>
      <c r="V58" s="1574"/>
      <c r="W58" s="1574"/>
      <c r="X58" s="1574"/>
      <c r="Y58" s="1574"/>
      <c r="Z58" s="1574"/>
      <c r="AA58" s="1574"/>
      <c r="AB58" s="1574"/>
      <c r="AC58" s="1574"/>
      <c r="AD58" s="1574"/>
      <c r="AE58" s="1574"/>
      <c r="AF58" s="1574"/>
      <c r="AG58" s="1574"/>
      <c r="AH58" s="1574"/>
      <c r="AI58" s="1574"/>
      <c r="AJ58" s="1574"/>
      <c r="AK58" s="375"/>
      <c r="AL58" s="375"/>
      <c r="AM58" s="375"/>
      <c r="AN58" s="375"/>
      <c r="AO58" s="375"/>
      <c r="AP58" s="375"/>
      <c r="AQ58" s="250"/>
      <c r="AR58" s="250"/>
      <c r="AS58" s="35"/>
      <c r="AT58" s="35"/>
      <c r="AU58" s="30"/>
      <c r="AV58" s="67"/>
      <c r="AW58" s="67"/>
      <c r="AX58" s="68"/>
      <c r="AY58" s="67"/>
      <c r="AZ58" s="68"/>
      <c r="BA58" s="35"/>
      <c r="BB58" s="79"/>
      <c r="BC58" s="35"/>
      <c r="BD58" s="30"/>
    </row>
    <row r="59" spans="1:56" s="124" customFormat="1" ht="15.75" customHeight="1" x14ac:dyDescent="0.25">
      <c r="A59" s="21">
        <v>9</v>
      </c>
      <c r="B59" s="564" t="s">
        <v>114</v>
      </c>
      <c r="C59" s="775">
        <v>1973</v>
      </c>
      <c r="D59" s="775">
        <v>2</v>
      </c>
      <c r="E59" s="775">
        <v>16</v>
      </c>
      <c r="F59" s="672">
        <v>46</v>
      </c>
      <c r="G59" s="676">
        <v>714.4</v>
      </c>
      <c r="H59" s="676"/>
      <c r="I59" s="1574"/>
      <c r="J59" s="1574"/>
      <c r="K59" s="1574"/>
      <c r="L59" s="1574"/>
      <c r="M59" s="1574"/>
      <c r="N59" s="1574"/>
      <c r="O59" s="1574"/>
      <c r="P59" s="1574"/>
      <c r="Q59" s="1574"/>
      <c r="R59" s="1574"/>
      <c r="S59" s="1574"/>
      <c r="T59" s="1574"/>
      <c r="U59" s="1574"/>
      <c r="V59" s="1574"/>
      <c r="W59" s="1574"/>
      <c r="X59" s="1574"/>
      <c r="Y59" s="1574"/>
      <c r="Z59" s="1574"/>
      <c r="AA59" s="1574"/>
      <c r="AB59" s="1574"/>
      <c r="AC59" s="1574"/>
      <c r="AD59" s="1574"/>
      <c r="AE59" s="1574"/>
      <c r="AF59" s="1574"/>
      <c r="AG59" s="1574"/>
      <c r="AH59" s="1574"/>
      <c r="AI59" s="1574"/>
      <c r="AJ59" s="1574"/>
      <c r="AK59" s="375"/>
      <c r="AL59" s="375"/>
      <c r="AM59" s="375"/>
      <c r="AN59" s="375"/>
      <c r="AO59" s="375"/>
      <c r="AP59" s="375"/>
      <c r="AQ59" s="250"/>
      <c r="AR59" s="250"/>
      <c r="AS59" s="35"/>
      <c r="AT59" s="35"/>
      <c r="AU59" s="30"/>
      <c r="AV59" s="67"/>
      <c r="AW59" s="67"/>
      <c r="AX59" s="68"/>
      <c r="AY59" s="67"/>
      <c r="AZ59" s="68"/>
      <c r="BA59" s="35"/>
      <c r="BB59" s="79"/>
      <c r="BC59" s="35"/>
      <c r="BD59" s="30"/>
    </row>
    <row r="60" spans="1:56" s="124" customFormat="1" ht="15.75" customHeight="1" x14ac:dyDescent="0.25">
      <c r="A60" s="21">
        <v>10</v>
      </c>
      <c r="B60" s="564" t="s">
        <v>117</v>
      </c>
      <c r="C60" s="775">
        <v>1969</v>
      </c>
      <c r="D60" s="775">
        <v>2</v>
      </c>
      <c r="E60" s="775">
        <v>16</v>
      </c>
      <c r="F60" s="672">
        <v>37</v>
      </c>
      <c r="G60" s="676">
        <v>716.27</v>
      </c>
      <c r="H60" s="676"/>
      <c r="I60" s="1574"/>
      <c r="J60" s="1574"/>
      <c r="K60" s="1574"/>
      <c r="L60" s="1574"/>
      <c r="M60" s="1574"/>
      <c r="N60" s="1574"/>
      <c r="O60" s="1574"/>
      <c r="P60" s="1574"/>
      <c r="Q60" s="1574"/>
      <c r="R60" s="1574"/>
      <c r="S60" s="1574"/>
      <c r="T60" s="1574"/>
      <c r="U60" s="1574"/>
      <c r="V60" s="1574"/>
      <c r="W60" s="1574"/>
      <c r="X60" s="1574"/>
      <c r="Y60" s="1574"/>
      <c r="Z60" s="1574"/>
      <c r="AA60" s="1574"/>
      <c r="AB60" s="1574"/>
      <c r="AC60" s="1574"/>
      <c r="AD60" s="1574"/>
      <c r="AE60" s="1574"/>
      <c r="AF60" s="1574"/>
      <c r="AG60" s="1574"/>
      <c r="AH60" s="1574"/>
      <c r="AI60" s="1574"/>
      <c r="AJ60" s="1574"/>
      <c r="AK60" s="375"/>
      <c r="AL60" s="375"/>
      <c r="AM60" s="375"/>
      <c r="AN60" s="375"/>
      <c r="AO60" s="375"/>
      <c r="AP60" s="375"/>
      <c r="AQ60" s="250"/>
      <c r="AR60" s="250"/>
      <c r="AS60" s="35"/>
      <c r="AT60" s="35"/>
      <c r="AU60" s="30"/>
      <c r="AV60" s="67"/>
      <c r="AW60" s="67"/>
      <c r="AX60" s="68"/>
      <c r="AY60" s="67"/>
      <c r="AZ60" s="68"/>
      <c r="BA60" s="35"/>
      <c r="BB60" s="79"/>
      <c r="BC60" s="35"/>
      <c r="BD60" s="30"/>
    </row>
    <row r="61" spans="1:56" s="124" customFormat="1" ht="15.75" customHeight="1" x14ac:dyDescent="0.25">
      <c r="A61" s="21">
        <v>11</v>
      </c>
      <c r="B61" s="564" t="s">
        <v>119</v>
      </c>
      <c r="C61" s="775">
        <v>1968</v>
      </c>
      <c r="D61" s="775">
        <v>2</v>
      </c>
      <c r="E61" s="775">
        <v>16</v>
      </c>
      <c r="F61" s="672">
        <v>54</v>
      </c>
      <c r="G61" s="676">
        <v>714.5</v>
      </c>
      <c r="H61" s="676"/>
      <c r="I61" s="1574"/>
      <c r="J61" s="1574"/>
      <c r="K61" s="1574"/>
      <c r="L61" s="1574"/>
      <c r="M61" s="1574"/>
      <c r="N61" s="1574"/>
      <c r="O61" s="1574"/>
      <c r="P61" s="1574"/>
      <c r="Q61" s="1574"/>
      <c r="R61" s="1574"/>
      <c r="S61" s="1574"/>
      <c r="T61" s="1574"/>
      <c r="U61" s="1574"/>
      <c r="V61" s="1574"/>
      <c r="W61" s="1574"/>
      <c r="X61" s="1574"/>
      <c r="Y61" s="1574"/>
      <c r="Z61" s="1574"/>
      <c r="AA61" s="1574"/>
      <c r="AB61" s="1574"/>
      <c r="AC61" s="1574"/>
      <c r="AD61" s="1574"/>
      <c r="AE61" s="1574"/>
      <c r="AF61" s="1574"/>
      <c r="AG61" s="1574"/>
      <c r="AH61" s="1574"/>
      <c r="AI61" s="1574"/>
      <c r="AJ61" s="1574"/>
      <c r="AK61" s="375"/>
      <c r="AL61" s="375"/>
      <c r="AM61" s="375"/>
      <c r="AN61" s="375"/>
      <c r="AO61" s="375"/>
      <c r="AP61" s="375"/>
      <c r="AQ61" s="250"/>
      <c r="AR61" s="250"/>
      <c r="AS61" s="35"/>
      <c r="AT61" s="35"/>
      <c r="AU61" s="30"/>
      <c r="AV61" s="67"/>
      <c r="AW61" s="67"/>
      <c r="AX61" s="68"/>
      <c r="AY61" s="67"/>
      <c r="AZ61" s="68"/>
      <c r="BA61" s="35"/>
      <c r="BB61" s="79"/>
      <c r="BC61" s="35"/>
      <c r="BD61" s="30"/>
    </row>
    <row r="62" spans="1:56" s="124" customFormat="1" ht="15.75" customHeight="1" x14ac:dyDescent="0.25">
      <c r="A62" s="263">
        <v>12</v>
      </c>
      <c r="B62" s="564" t="s">
        <v>121</v>
      </c>
      <c r="C62" s="776">
        <v>1970</v>
      </c>
      <c r="D62" s="776">
        <v>2</v>
      </c>
      <c r="E62" s="776">
        <v>16</v>
      </c>
      <c r="F62" s="777">
        <v>35</v>
      </c>
      <c r="G62" s="689">
        <v>714.01</v>
      </c>
      <c r="H62" s="689"/>
      <c r="I62" s="1574"/>
      <c r="J62" s="1574"/>
      <c r="K62" s="1574"/>
      <c r="L62" s="1574"/>
      <c r="M62" s="1574"/>
      <c r="N62" s="1574"/>
      <c r="O62" s="1574"/>
      <c r="P62" s="1574"/>
      <c r="Q62" s="1574"/>
      <c r="R62" s="1574"/>
      <c r="S62" s="1574"/>
      <c r="T62" s="1574"/>
      <c r="U62" s="1574"/>
      <c r="V62" s="1574"/>
      <c r="W62" s="1574"/>
      <c r="X62" s="1574"/>
      <c r="Y62" s="1574"/>
      <c r="Z62" s="1574"/>
      <c r="AA62" s="1574"/>
      <c r="AB62" s="1574"/>
      <c r="AC62" s="1574"/>
      <c r="AD62" s="1574"/>
      <c r="AE62" s="1574"/>
      <c r="AF62" s="1574"/>
      <c r="AG62" s="1574"/>
      <c r="AH62" s="1574"/>
      <c r="AI62" s="1574"/>
      <c r="AJ62" s="1574"/>
      <c r="AK62" s="375"/>
      <c r="AL62" s="375"/>
      <c r="AM62" s="375"/>
      <c r="AN62" s="375"/>
      <c r="AO62" s="375"/>
      <c r="AP62" s="375"/>
      <c r="AQ62" s="250"/>
      <c r="AR62" s="250"/>
      <c r="AS62" s="35"/>
      <c r="AT62" s="35"/>
      <c r="AU62" s="30"/>
      <c r="AV62" s="67"/>
      <c r="AW62" s="67"/>
      <c r="AX62" s="68"/>
      <c r="AY62" s="67"/>
      <c r="AZ62" s="68"/>
      <c r="BA62" s="35"/>
      <c r="BB62" s="79"/>
      <c r="BC62" s="35"/>
      <c r="BD62" s="30"/>
    </row>
    <row r="63" spans="1:56" s="124" customFormat="1" ht="15.75" customHeight="1" x14ac:dyDescent="0.25">
      <c r="A63" s="251">
        <v>13</v>
      </c>
      <c r="B63" s="1351" t="s">
        <v>123</v>
      </c>
      <c r="C63" s="776">
        <v>1990</v>
      </c>
      <c r="D63" s="776">
        <v>3</v>
      </c>
      <c r="E63" s="776">
        <v>24</v>
      </c>
      <c r="F63" s="777">
        <v>61</v>
      </c>
      <c r="G63" s="689">
        <v>1440.1</v>
      </c>
      <c r="H63" s="689"/>
      <c r="I63" s="1574"/>
      <c r="J63" s="1574"/>
      <c r="K63" s="1574"/>
      <c r="L63" s="1574"/>
      <c r="M63" s="1574"/>
      <c r="N63" s="1574"/>
      <c r="O63" s="1574"/>
      <c r="P63" s="1574"/>
      <c r="Q63" s="1574"/>
      <c r="R63" s="1574"/>
      <c r="S63" s="1574"/>
      <c r="T63" s="1574"/>
      <c r="U63" s="1574"/>
      <c r="V63" s="1574"/>
      <c r="W63" s="1574"/>
      <c r="X63" s="1574"/>
      <c r="Y63" s="1574"/>
      <c r="Z63" s="1574"/>
      <c r="AA63" s="1574"/>
      <c r="AB63" s="1574"/>
      <c r="AC63" s="1574"/>
      <c r="AD63" s="1574"/>
      <c r="AE63" s="1574"/>
      <c r="AF63" s="1574"/>
      <c r="AG63" s="1574"/>
      <c r="AH63" s="1574"/>
      <c r="AI63" s="1574"/>
      <c r="AJ63" s="1574"/>
      <c r="AK63" s="375"/>
      <c r="AL63" s="375"/>
      <c r="AM63" s="375"/>
      <c r="AN63" s="375"/>
      <c r="AO63" s="375"/>
      <c r="AP63" s="375"/>
      <c r="AQ63" s="250"/>
      <c r="AR63" s="250"/>
      <c r="AS63" s="35"/>
      <c r="AT63" s="35"/>
      <c r="AU63" s="30"/>
      <c r="AV63" s="67"/>
      <c r="AW63" s="67"/>
      <c r="AX63" s="68"/>
      <c r="AY63" s="67"/>
      <c r="AZ63" s="68"/>
      <c r="BA63" s="35"/>
      <c r="BB63" s="79"/>
      <c r="BC63" s="35"/>
      <c r="BD63" s="30"/>
    </row>
    <row r="64" spans="1:56" s="124" customFormat="1" ht="15.75" customHeight="1" x14ac:dyDescent="0.25">
      <c r="A64" s="19"/>
      <c r="B64" s="396" t="s">
        <v>23</v>
      </c>
      <c r="C64" s="780"/>
      <c r="D64" s="780"/>
      <c r="E64" s="781">
        <f>SUM(E50:E63)</f>
        <v>260</v>
      </c>
      <c r="F64" s="781">
        <f>SUM(F50:F63)</f>
        <v>709</v>
      </c>
      <c r="G64" s="781">
        <f>SUM(G50:G63)</f>
        <v>13837.67</v>
      </c>
      <c r="H64" s="781"/>
      <c r="I64" s="1574"/>
      <c r="J64" s="1574"/>
      <c r="K64" s="1574"/>
      <c r="L64" s="1574"/>
      <c r="M64" s="1574"/>
      <c r="N64" s="1574"/>
      <c r="O64" s="1574"/>
      <c r="P64" s="1574"/>
      <c r="Q64" s="1574"/>
      <c r="R64" s="1574"/>
      <c r="S64" s="1574"/>
      <c r="T64" s="1574"/>
      <c r="U64" s="1574"/>
      <c r="V64" s="1574"/>
      <c r="W64" s="1574"/>
      <c r="X64" s="1574"/>
      <c r="Y64" s="1574"/>
      <c r="Z64" s="1574"/>
      <c r="AA64" s="1574"/>
      <c r="AB64" s="1574"/>
      <c r="AC64" s="1574"/>
      <c r="AD64" s="1574"/>
      <c r="AE64" s="1574"/>
      <c r="AF64" s="1574"/>
      <c r="AG64" s="1574"/>
      <c r="AH64" s="1574"/>
      <c r="AI64" s="1574"/>
      <c r="AJ64" s="1574"/>
      <c r="AK64" s="375"/>
      <c r="AL64" s="375"/>
      <c r="AM64" s="375"/>
      <c r="AN64" s="375"/>
      <c r="AO64" s="375"/>
      <c r="AP64" s="375"/>
      <c r="AQ64" s="250"/>
      <c r="AR64" s="250"/>
      <c r="AS64" s="35"/>
      <c r="AT64" s="35"/>
      <c r="AU64" s="30"/>
      <c r="AV64" s="67"/>
      <c r="AW64" s="67"/>
      <c r="AX64" s="68"/>
      <c r="AY64" s="67"/>
      <c r="AZ64" s="68"/>
      <c r="BA64" s="35"/>
      <c r="BB64" s="79"/>
      <c r="BC64" s="35"/>
      <c r="BD64" s="30"/>
    </row>
    <row r="65" spans="1:56" s="124" customFormat="1" ht="15.75" customHeight="1" x14ac:dyDescent="0.25">
      <c r="A65"/>
      <c r="B65"/>
      <c r="C65" s="375"/>
      <c r="D65" s="375"/>
      <c r="E65" s="375"/>
      <c r="F65" s="375"/>
      <c r="G65" s="375"/>
      <c r="H65" s="375"/>
      <c r="I65" s="1574"/>
      <c r="J65" s="1574"/>
      <c r="K65" s="1574"/>
      <c r="L65" s="1574"/>
      <c r="M65" s="1574"/>
      <c r="N65" s="1574"/>
      <c r="O65" s="1574"/>
      <c r="P65" s="1574"/>
      <c r="Q65" s="1574"/>
      <c r="R65" s="1574"/>
      <c r="S65" s="1574"/>
      <c r="T65" s="1574"/>
      <c r="U65" s="1574"/>
      <c r="V65" s="1574"/>
      <c r="W65" s="1574"/>
      <c r="X65" s="1574"/>
      <c r="Y65" s="1574"/>
      <c r="Z65" s="1574"/>
      <c r="AA65" s="1574"/>
      <c r="AB65" s="1574"/>
      <c r="AC65" s="1574"/>
      <c r="AD65" s="1574"/>
      <c r="AE65" s="1574"/>
      <c r="AF65" s="1574"/>
      <c r="AG65" s="1574"/>
      <c r="AH65" s="1574"/>
      <c r="AI65" s="1574"/>
      <c r="AJ65" s="1574"/>
      <c r="AK65" s="375"/>
      <c r="AL65" s="375"/>
      <c r="AM65" s="375"/>
      <c r="AN65" s="375"/>
      <c r="AO65" s="375"/>
      <c r="AP65" s="375"/>
      <c r="AQ65" s="66"/>
      <c r="AR65" s="66"/>
      <c r="AS65" s="35"/>
      <c r="AT65" s="35"/>
      <c r="AU65" s="30"/>
      <c r="AV65" s="67"/>
      <c r="AW65" s="67"/>
      <c r="AX65" s="68"/>
      <c r="AY65" s="67"/>
      <c r="AZ65" s="71"/>
      <c r="BA65" s="35"/>
      <c r="BB65" s="79"/>
      <c r="BC65" s="35"/>
      <c r="BD65" s="30"/>
    </row>
    <row r="66" spans="1:56" s="124" customFormat="1" ht="15.75" customHeight="1" x14ac:dyDescent="0.25">
      <c r="A66" s="80"/>
      <c r="B66" s="81"/>
      <c r="C66" s="788"/>
      <c r="D66" s="788"/>
      <c r="E66" s="788"/>
      <c r="F66" s="349"/>
      <c r="G66" s="349"/>
      <c r="H66" s="349"/>
      <c r="I66" s="1574"/>
      <c r="J66" s="1574"/>
      <c r="K66" s="1574"/>
      <c r="L66" s="1574"/>
      <c r="M66" s="1574"/>
      <c r="N66" s="1574"/>
      <c r="O66" s="1574"/>
      <c r="P66" s="1574"/>
      <c r="Q66" s="1574"/>
      <c r="R66" s="1574"/>
      <c r="S66" s="1574"/>
      <c r="T66" s="1574"/>
      <c r="U66" s="1574"/>
      <c r="V66" s="1574"/>
      <c r="W66" s="1574"/>
      <c r="X66" s="1574"/>
      <c r="Y66" s="1574"/>
      <c r="Z66" s="1574"/>
      <c r="AA66" s="1574"/>
      <c r="AB66" s="1574"/>
      <c r="AC66" s="1574"/>
      <c r="AD66" s="1574"/>
      <c r="AE66" s="1574"/>
      <c r="AF66" s="1574"/>
      <c r="AG66" s="1574"/>
      <c r="AH66" s="1574"/>
      <c r="AI66" s="1574"/>
      <c r="AJ66" s="1574"/>
      <c r="AK66" s="375"/>
      <c r="AL66" s="375"/>
      <c r="AM66" s="375"/>
      <c r="AN66" s="375"/>
      <c r="AO66" s="375"/>
      <c r="AP66" s="375"/>
      <c r="AQ66" s="66"/>
      <c r="AR66" s="66"/>
      <c r="AS66" s="35"/>
      <c r="AT66" s="35"/>
      <c r="AU66" s="30"/>
      <c r="AV66" s="67"/>
      <c r="AW66" s="67"/>
      <c r="AX66" s="68"/>
      <c r="AY66" s="67"/>
      <c r="AZ66" s="71"/>
      <c r="BA66" s="35"/>
      <c r="BB66" s="79"/>
      <c r="BC66" s="35"/>
      <c r="BD66" s="30"/>
    </row>
    <row r="67" spans="1:56" s="124" customFormat="1" x14ac:dyDescent="0.25">
      <c r="A67" s="80"/>
      <c r="B67" s="82"/>
      <c r="C67" s="788"/>
      <c r="D67" s="788"/>
      <c r="E67" s="791"/>
      <c r="F67" s="791"/>
      <c r="G67" s="791"/>
      <c r="H67" s="791"/>
      <c r="I67" s="791"/>
      <c r="J67" s="791"/>
      <c r="K67" s="791"/>
      <c r="L67" s="791"/>
      <c r="M67" s="791"/>
      <c r="N67" s="791"/>
      <c r="O67" s="791"/>
      <c r="P67" s="792"/>
      <c r="Q67" s="792"/>
      <c r="R67" s="792"/>
      <c r="S67" s="792"/>
      <c r="T67" s="792"/>
      <c r="U67" s="792"/>
      <c r="V67" s="792"/>
      <c r="W67" s="792"/>
      <c r="X67" s="792"/>
      <c r="Y67" s="792"/>
      <c r="Z67" s="793"/>
      <c r="AA67" s="793"/>
      <c r="AB67" s="793"/>
      <c r="AC67" s="792"/>
      <c r="AD67" s="792"/>
      <c r="AE67" s="792"/>
      <c r="AF67" s="792"/>
      <c r="AG67" s="792"/>
      <c r="AH67" s="375"/>
      <c r="AI67" s="375"/>
      <c r="AJ67" s="375"/>
      <c r="AK67" s="375"/>
      <c r="AL67" s="375"/>
      <c r="AM67" s="375"/>
      <c r="AN67" s="375"/>
      <c r="AO67" s="375"/>
      <c r="AP67" s="375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3"/>
      <c r="BC67" s="72"/>
      <c r="BD67" s="30"/>
    </row>
    <row r="68" spans="1:56" ht="23.25" customHeight="1" x14ac:dyDescent="0.3">
      <c r="B68" s="74" t="s">
        <v>638</v>
      </c>
      <c r="C68" s="765"/>
      <c r="D68" s="765"/>
      <c r="E68" s="765"/>
      <c r="F68" s="765"/>
      <c r="G68" s="765"/>
      <c r="H68" s="765"/>
      <c r="I68" s="765"/>
      <c r="J68" s="765"/>
      <c r="K68" s="765"/>
      <c r="L68" s="765"/>
      <c r="M68" s="765"/>
      <c r="N68" s="765"/>
      <c r="O68" s="765"/>
      <c r="P68" s="765"/>
      <c r="Q68" s="765"/>
      <c r="R68" s="765"/>
      <c r="S68" s="765"/>
      <c r="T68" s="765"/>
      <c r="U68" s="765"/>
      <c r="V68" s="765"/>
      <c r="W68" s="765"/>
      <c r="X68" s="766"/>
      <c r="Y68" s="766"/>
      <c r="Z68" s="375"/>
      <c r="AA68" s="375"/>
      <c r="AB68" s="375"/>
      <c r="AC68" s="375"/>
      <c r="AD68" s="375"/>
      <c r="AE68" s="375"/>
      <c r="AF68" s="375"/>
      <c r="AG68" s="375"/>
      <c r="AH68" s="375"/>
      <c r="AI68" s="375"/>
      <c r="AJ68" s="375"/>
      <c r="AK68" s="375"/>
      <c r="AL68" s="375"/>
      <c r="AM68" s="375"/>
      <c r="AN68" s="375"/>
      <c r="AO68" s="375"/>
      <c r="AP68" s="375"/>
    </row>
    <row r="69" spans="1:56" ht="18" x14ac:dyDescent="0.25">
      <c r="A69" s="17"/>
      <c r="B69" s="1"/>
      <c r="C69" s="766"/>
      <c r="D69" s="766"/>
      <c r="E69" s="766"/>
      <c r="F69" s="766"/>
      <c r="G69" s="766"/>
      <c r="H69" s="766"/>
      <c r="I69" s="766"/>
      <c r="J69" s="766"/>
      <c r="K69" s="766"/>
      <c r="L69" s="766"/>
      <c r="M69" s="766"/>
      <c r="N69" s="766"/>
      <c r="O69" s="766"/>
      <c r="P69" s="766"/>
      <c r="Q69" s="766"/>
      <c r="R69" s="766"/>
      <c r="S69" s="766"/>
      <c r="T69" s="766"/>
      <c r="U69" s="766"/>
      <c r="V69" s="766"/>
      <c r="W69" s="766"/>
      <c r="X69" s="766"/>
      <c r="Y69" s="766"/>
      <c r="Z69" s="375"/>
      <c r="AA69" s="375"/>
      <c r="AB69" s="375"/>
      <c r="AC69" s="375"/>
      <c r="AD69" s="375"/>
      <c r="AE69" s="375"/>
      <c r="AF69" s="375"/>
      <c r="AG69" s="375"/>
      <c r="AH69" s="375"/>
      <c r="AI69" s="375"/>
      <c r="AJ69" s="375"/>
      <c r="AK69" s="375"/>
      <c r="AL69" s="375"/>
      <c r="AM69" s="375"/>
      <c r="AN69" s="375"/>
      <c r="AO69" s="375"/>
      <c r="AP69" s="375"/>
    </row>
    <row r="70" spans="1:56" ht="18" x14ac:dyDescent="0.25">
      <c r="A70" s="17"/>
      <c r="B70" s="1"/>
      <c r="C70" s="766"/>
      <c r="D70" s="766"/>
      <c r="E70" s="766"/>
      <c r="F70" s="766"/>
      <c r="G70" s="766"/>
      <c r="H70" s="766"/>
      <c r="I70" s="766"/>
      <c r="J70" s="1574"/>
      <c r="K70" s="1574"/>
      <c r="L70" s="1574"/>
      <c r="M70" s="1574"/>
      <c r="N70" s="1574"/>
      <c r="O70" s="1574"/>
      <c r="P70" s="1574"/>
      <c r="Q70" s="1574"/>
      <c r="R70" s="1574"/>
      <c r="S70" s="1574"/>
      <c r="T70" s="1574"/>
      <c r="U70" s="1574"/>
      <c r="V70" s="1574"/>
      <c r="W70" s="1574"/>
      <c r="X70" s="1574"/>
      <c r="Y70" s="1574"/>
      <c r="Z70" s="1574"/>
      <c r="AA70" s="1574"/>
      <c r="AB70" s="1574"/>
      <c r="AC70" s="1574"/>
      <c r="AD70" s="1574"/>
      <c r="AE70" s="1574"/>
      <c r="AF70" s="1574"/>
      <c r="AG70" s="1574"/>
      <c r="AH70" s="1574"/>
      <c r="AI70" s="1574"/>
      <c r="AJ70" s="1574"/>
      <c r="AK70" s="1574"/>
      <c r="AL70" s="1574"/>
      <c r="AM70" s="1574"/>
      <c r="AN70" s="375"/>
      <c r="AO70" s="375"/>
      <c r="AP70" s="375"/>
    </row>
    <row r="71" spans="1:56" ht="27" customHeight="1" x14ac:dyDescent="0.25">
      <c r="A71" s="2020" t="s">
        <v>0</v>
      </c>
      <c r="B71" s="2020" t="s">
        <v>184</v>
      </c>
      <c r="C71" s="2228" t="s">
        <v>54</v>
      </c>
      <c r="D71" s="2228" t="s">
        <v>55</v>
      </c>
      <c r="E71" s="2228" t="s">
        <v>56</v>
      </c>
      <c r="F71" s="2228" t="s">
        <v>57</v>
      </c>
      <c r="G71" s="2232" t="s">
        <v>6</v>
      </c>
      <c r="H71" s="2241"/>
      <c r="I71" s="1347"/>
      <c r="J71" s="1574"/>
      <c r="K71" s="1574"/>
      <c r="L71" s="1574"/>
      <c r="M71" s="1574"/>
      <c r="N71" s="1574"/>
      <c r="O71" s="1574"/>
      <c r="P71" s="1574"/>
      <c r="Q71" s="1574"/>
      <c r="R71" s="1574"/>
      <c r="S71" s="1574"/>
      <c r="T71" s="1574"/>
      <c r="U71" s="1574"/>
      <c r="V71" s="1574"/>
      <c r="W71" s="1574"/>
      <c r="X71" s="1574"/>
      <c r="Y71" s="1574"/>
      <c r="Z71" s="1574"/>
      <c r="AA71" s="1574"/>
      <c r="AB71" s="1574"/>
      <c r="AC71" s="1574"/>
      <c r="AD71" s="1574"/>
      <c r="AE71" s="1574"/>
      <c r="AF71" s="1574"/>
      <c r="AG71" s="1574"/>
      <c r="AH71" s="1574"/>
      <c r="AI71" s="1574"/>
      <c r="AJ71" s="1574"/>
      <c r="AK71" s="1574"/>
      <c r="AL71" s="1574"/>
      <c r="AM71" s="1574"/>
      <c r="AN71" s="375"/>
      <c r="AO71" s="375"/>
      <c r="AP71" s="375"/>
    </row>
    <row r="72" spans="1:56" ht="32.25" customHeight="1" x14ac:dyDescent="0.25">
      <c r="A72" s="2021"/>
      <c r="B72" s="2021"/>
      <c r="C72" s="2229"/>
      <c r="D72" s="2229"/>
      <c r="E72" s="2229"/>
      <c r="F72" s="2229"/>
      <c r="G72" s="2233"/>
      <c r="H72" s="2242"/>
      <c r="I72" s="1348"/>
      <c r="J72" s="1574"/>
      <c r="K72" s="1574"/>
      <c r="L72" s="1574"/>
      <c r="M72" s="1574"/>
      <c r="N72" s="1574"/>
      <c r="O72" s="1574"/>
      <c r="P72" s="1574"/>
      <c r="Q72" s="1574"/>
      <c r="R72" s="1574"/>
      <c r="S72" s="1574"/>
      <c r="T72" s="1574"/>
      <c r="U72" s="1574"/>
      <c r="V72" s="1574"/>
      <c r="W72" s="1574"/>
      <c r="X72" s="1574"/>
      <c r="Y72" s="1574"/>
      <c r="Z72" s="1574"/>
      <c r="AA72" s="1574"/>
      <c r="AB72" s="1574"/>
      <c r="AC72" s="1574"/>
      <c r="AD72" s="1574"/>
      <c r="AE72" s="1574"/>
      <c r="AF72" s="1574"/>
      <c r="AG72" s="1574"/>
      <c r="AH72" s="1574"/>
      <c r="AI72" s="1574"/>
      <c r="AJ72" s="1574"/>
      <c r="AK72" s="1574"/>
      <c r="AL72" s="1574"/>
      <c r="AM72" s="1574"/>
      <c r="AN72" s="375"/>
      <c r="AO72" s="375"/>
      <c r="AP72" s="375"/>
    </row>
    <row r="73" spans="1:56" ht="15.75" customHeight="1" x14ac:dyDescent="0.25">
      <c r="A73" s="19">
        <v>1</v>
      </c>
      <c r="B73" s="55" t="s">
        <v>100</v>
      </c>
      <c r="C73" s="745">
        <v>1980</v>
      </c>
      <c r="D73" s="745">
        <v>3</v>
      </c>
      <c r="E73" s="745">
        <v>24</v>
      </c>
      <c r="F73" s="349">
        <v>59</v>
      </c>
      <c r="G73" s="741">
        <v>1440.6</v>
      </c>
      <c r="H73" s="741">
        <v>174.9</v>
      </c>
      <c r="I73" s="741"/>
      <c r="J73" s="1574"/>
      <c r="K73" s="1574"/>
      <c r="L73" s="1574"/>
      <c r="M73" s="1574"/>
      <c r="N73" s="1574"/>
      <c r="O73" s="1574"/>
      <c r="P73" s="1574"/>
      <c r="Q73" s="1574"/>
      <c r="R73" s="1574"/>
      <c r="S73" s="1574"/>
      <c r="T73" s="1574"/>
      <c r="U73" s="1574"/>
      <c r="V73" s="1574"/>
      <c r="W73" s="1574"/>
      <c r="X73" s="1574"/>
      <c r="Y73" s="1574"/>
      <c r="Z73" s="1574"/>
      <c r="AA73" s="1574"/>
      <c r="AB73" s="1574"/>
      <c r="AC73" s="1574"/>
      <c r="AD73" s="1574"/>
      <c r="AE73" s="1574"/>
      <c r="AF73" s="1574"/>
      <c r="AG73" s="1574"/>
      <c r="AH73" s="1574"/>
      <c r="AI73" s="1574"/>
      <c r="AJ73" s="1574"/>
      <c r="AK73" s="1574"/>
      <c r="AL73" s="1574"/>
      <c r="AM73" s="1574"/>
      <c r="AN73" s="375"/>
      <c r="AO73" s="375"/>
      <c r="AP73" s="375"/>
    </row>
    <row r="74" spans="1:56" ht="15.75" customHeight="1" x14ac:dyDescent="0.25">
      <c r="A74" s="19">
        <v>2</v>
      </c>
      <c r="B74" s="55" t="s">
        <v>101</v>
      </c>
      <c r="C74" s="745">
        <v>1978</v>
      </c>
      <c r="D74" s="745">
        <v>3</v>
      </c>
      <c r="E74" s="745">
        <v>24</v>
      </c>
      <c r="F74" s="708">
        <v>71</v>
      </c>
      <c r="G74" s="741">
        <v>1449.9</v>
      </c>
      <c r="H74" s="741">
        <v>178.2</v>
      </c>
      <c r="I74" s="741"/>
      <c r="J74" s="1574"/>
      <c r="K74" s="1574"/>
      <c r="L74" s="1574"/>
      <c r="M74" s="1574"/>
      <c r="N74" s="1574"/>
      <c r="O74" s="1574"/>
      <c r="P74" s="1574"/>
      <c r="Q74" s="1574"/>
      <c r="R74" s="1574"/>
      <c r="S74" s="1574"/>
      <c r="T74" s="1574"/>
      <c r="U74" s="1574"/>
      <c r="V74" s="1574"/>
      <c r="W74" s="1574"/>
      <c r="X74" s="1574"/>
      <c r="Y74" s="1574"/>
      <c r="Z74" s="1574"/>
      <c r="AA74" s="1574"/>
      <c r="AB74" s="1574"/>
      <c r="AC74" s="1574"/>
      <c r="AD74" s="1574"/>
      <c r="AE74" s="1574"/>
      <c r="AF74" s="1574"/>
      <c r="AG74" s="1574"/>
      <c r="AH74" s="1574"/>
      <c r="AI74" s="1574"/>
      <c r="AJ74" s="1574"/>
      <c r="AK74" s="1574"/>
      <c r="AL74" s="1574"/>
      <c r="AM74" s="1574"/>
      <c r="AN74" s="375"/>
      <c r="AO74" s="375"/>
      <c r="AP74" s="375"/>
    </row>
    <row r="75" spans="1:56" ht="15.75" customHeight="1" x14ac:dyDescent="0.25">
      <c r="A75" s="19">
        <v>3</v>
      </c>
      <c r="B75" s="55" t="s">
        <v>102</v>
      </c>
      <c r="C75" s="745">
        <v>1979</v>
      </c>
      <c r="D75" s="745">
        <v>3</v>
      </c>
      <c r="E75" s="745">
        <v>24</v>
      </c>
      <c r="F75" s="349">
        <v>79</v>
      </c>
      <c r="G75" s="741">
        <v>1460.41</v>
      </c>
      <c r="H75" s="741">
        <v>178.6</v>
      </c>
      <c r="I75" s="741"/>
      <c r="J75" s="1574"/>
      <c r="K75" s="1574"/>
      <c r="L75" s="1574"/>
      <c r="M75" s="1574"/>
      <c r="N75" s="1574"/>
      <c r="O75" s="1574"/>
      <c r="P75" s="1574"/>
      <c r="Q75" s="1574"/>
      <c r="R75" s="1574"/>
      <c r="S75" s="1574"/>
      <c r="T75" s="1574"/>
      <c r="U75" s="1574"/>
      <c r="V75" s="1574"/>
      <c r="W75" s="1574"/>
      <c r="X75" s="1574"/>
      <c r="Y75" s="1574"/>
      <c r="Z75" s="1574"/>
      <c r="AA75" s="1574"/>
      <c r="AB75" s="1574"/>
      <c r="AC75" s="1574"/>
      <c r="AD75" s="1574"/>
      <c r="AE75" s="1574"/>
      <c r="AF75" s="1574"/>
      <c r="AG75" s="1574"/>
      <c r="AH75" s="1574"/>
      <c r="AI75" s="1574"/>
      <c r="AJ75" s="1574"/>
      <c r="AK75" s="1574"/>
      <c r="AL75" s="1574"/>
      <c r="AM75" s="1574"/>
      <c r="AN75" s="375"/>
      <c r="AO75" s="375"/>
      <c r="AP75" s="375"/>
    </row>
    <row r="76" spans="1:56" ht="15.75" customHeight="1" x14ac:dyDescent="0.25">
      <c r="A76" s="19">
        <v>4</v>
      </c>
      <c r="B76" s="55" t="s">
        <v>103</v>
      </c>
      <c r="C76" s="745">
        <v>1986</v>
      </c>
      <c r="D76" s="745">
        <v>3</v>
      </c>
      <c r="E76" s="745">
        <v>24</v>
      </c>
      <c r="F76" s="746">
        <v>63</v>
      </c>
      <c r="G76" s="741">
        <v>1454.3</v>
      </c>
      <c r="H76" s="741">
        <v>179.8</v>
      </c>
      <c r="I76" s="741"/>
      <c r="J76" s="1574"/>
      <c r="K76" s="1574"/>
      <c r="L76" s="1574"/>
      <c r="M76" s="1574"/>
      <c r="N76" s="1574"/>
      <c r="O76" s="1574"/>
      <c r="P76" s="1574"/>
      <c r="Q76" s="1574"/>
      <c r="R76" s="1574"/>
      <c r="S76" s="1574"/>
      <c r="T76" s="1574"/>
      <c r="U76" s="1574"/>
      <c r="V76" s="1574"/>
      <c r="W76" s="1574"/>
      <c r="X76" s="1574"/>
      <c r="Y76" s="1574"/>
      <c r="Z76" s="1574"/>
      <c r="AA76" s="1574"/>
      <c r="AB76" s="1574"/>
      <c r="AC76" s="1574"/>
      <c r="AD76" s="1574"/>
      <c r="AE76" s="1574"/>
      <c r="AF76" s="1574"/>
      <c r="AG76" s="1574"/>
      <c r="AH76" s="1574"/>
      <c r="AI76" s="1574"/>
      <c r="AJ76" s="1574"/>
      <c r="AK76" s="1574"/>
      <c r="AL76" s="1574"/>
      <c r="AM76" s="1574"/>
      <c r="AN76" s="375"/>
      <c r="AO76" s="375"/>
      <c r="AP76" s="375"/>
    </row>
    <row r="77" spans="1:56" ht="15.75" customHeight="1" x14ac:dyDescent="0.25">
      <c r="A77" s="19">
        <v>5</v>
      </c>
      <c r="B77" s="55" t="s">
        <v>104</v>
      </c>
      <c r="C77" s="745">
        <v>1985</v>
      </c>
      <c r="D77" s="745">
        <v>3</v>
      </c>
      <c r="E77" s="745">
        <v>24</v>
      </c>
      <c r="F77" s="708">
        <v>88</v>
      </c>
      <c r="G77" s="741">
        <v>1464.7</v>
      </c>
      <c r="H77" s="741">
        <v>179.9</v>
      </c>
      <c r="I77" s="741"/>
      <c r="J77" s="1574"/>
      <c r="K77" s="1574"/>
      <c r="L77" s="1574"/>
      <c r="M77" s="1574"/>
      <c r="N77" s="1574"/>
      <c r="O77" s="1574"/>
      <c r="P77" s="1574"/>
      <c r="Q77" s="1574"/>
      <c r="R77" s="1574"/>
      <c r="S77" s="1574"/>
      <c r="T77" s="1574"/>
      <c r="U77" s="1574"/>
      <c r="V77" s="1574"/>
      <c r="W77" s="1574"/>
      <c r="X77" s="1574"/>
      <c r="Y77" s="1574"/>
      <c r="Z77" s="1574"/>
      <c r="AA77" s="1574"/>
      <c r="AB77" s="1574"/>
      <c r="AC77" s="1574"/>
      <c r="AD77" s="1574"/>
      <c r="AE77" s="1574"/>
      <c r="AF77" s="1574"/>
      <c r="AG77" s="1574"/>
      <c r="AH77" s="1574"/>
      <c r="AI77" s="1574"/>
      <c r="AJ77" s="1574"/>
      <c r="AK77" s="1574"/>
      <c r="AL77" s="1574"/>
      <c r="AM77" s="1574"/>
      <c r="AN77" s="375"/>
      <c r="AO77" s="375"/>
      <c r="AP77" s="375"/>
    </row>
    <row r="78" spans="1:56" ht="15.75" customHeight="1" x14ac:dyDescent="0.25">
      <c r="A78" s="251">
        <v>6</v>
      </c>
      <c r="B78" s="252" t="s">
        <v>123</v>
      </c>
      <c r="C78" s="748">
        <v>1990</v>
      </c>
      <c r="D78" s="748">
        <v>3</v>
      </c>
      <c r="E78" s="748">
        <v>24</v>
      </c>
      <c r="F78" s="349">
        <v>61</v>
      </c>
      <c r="G78" s="798">
        <v>1444.1</v>
      </c>
      <c r="H78" s="798"/>
      <c r="I78" s="798"/>
      <c r="J78" s="1574"/>
      <c r="K78" s="1574"/>
      <c r="L78" s="1574"/>
      <c r="M78" s="1574"/>
      <c r="N78" s="1574"/>
      <c r="O78" s="1574"/>
      <c r="P78" s="1574"/>
      <c r="Q78" s="1574"/>
      <c r="R78" s="1574"/>
      <c r="S78" s="1574"/>
      <c r="T78" s="1574"/>
      <c r="U78" s="1574"/>
      <c r="V78" s="1574"/>
      <c r="W78" s="1574"/>
      <c r="X78" s="1574"/>
      <c r="Y78" s="1574"/>
      <c r="Z78" s="1574"/>
      <c r="AA78" s="1574"/>
      <c r="AB78" s="1574"/>
      <c r="AC78" s="1574"/>
      <c r="AD78" s="1574"/>
      <c r="AE78" s="1574"/>
      <c r="AF78" s="1574"/>
      <c r="AG78" s="1574"/>
      <c r="AH78" s="1574"/>
      <c r="AI78" s="1574"/>
      <c r="AJ78" s="1574"/>
      <c r="AK78" s="1574"/>
      <c r="AL78" s="1574"/>
      <c r="AM78" s="1574"/>
      <c r="AN78" s="375"/>
      <c r="AO78" s="375"/>
      <c r="AP78" s="375"/>
    </row>
    <row r="79" spans="1:56" s="250" customFormat="1" ht="15.75" customHeight="1" x14ac:dyDescent="0.25">
      <c r="A79" s="19"/>
      <c r="B79" s="392" t="s">
        <v>23</v>
      </c>
      <c r="C79" s="745"/>
      <c r="D79" s="780"/>
      <c r="E79" s="781">
        <f>SUM(E72:E78)</f>
        <v>144</v>
      </c>
      <c r="F79" s="781">
        <f>SUM(F72:F78)</f>
        <v>421</v>
      </c>
      <c r="G79" s="781">
        <f>SUM(G72:G78)</f>
        <v>8714.01</v>
      </c>
      <c r="H79" s="781"/>
      <c r="I79" s="781"/>
      <c r="J79" s="1574"/>
      <c r="K79" s="1574"/>
      <c r="L79" s="1574"/>
      <c r="M79" s="1574"/>
      <c r="N79" s="1574"/>
      <c r="O79" s="1574"/>
      <c r="P79" s="1574"/>
      <c r="Q79" s="1574"/>
      <c r="R79" s="1574"/>
      <c r="S79" s="1574"/>
      <c r="T79" s="1574"/>
      <c r="U79" s="1574"/>
      <c r="V79" s="1574"/>
      <c r="W79" s="1574"/>
      <c r="X79" s="1574"/>
      <c r="Y79" s="1574"/>
      <c r="Z79" s="1574"/>
      <c r="AA79" s="1574"/>
      <c r="AB79" s="1574"/>
      <c r="AC79" s="1574"/>
      <c r="AD79" s="1574"/>
      <c r="AE79" s="1574"/>
      <c r="AF79" s="1574"/>
      <c r="AG79" s="1574"/>
      <c r="AH79" s="1574"/>
      <c r="AI79" s="1574"/>
      <c r="AJ79" s="1574"/>
      <c r="AK79" s="1574"/>
      <c r="AL79" s="1574"/>
      <c r="AM79" s="1574"/>
      <c r="AN79" s="375"/>
      <c r="AO79" s="375"/>
      <c r="AP79" s="375"/>
      <c r="BB79" s="269"/>
    </row>
    <row r="80" spans="1:56" ht="15.75" customHeight="1" x14ac:dyDescent="0.25">
      <c r="C80" s="375"/>
      <c r="D80" s="375"/>
      <c r="E80" s="375"/>
      <c r="F80" s="375"/>
      <c r="G80" s="375"/>
      <c r="H80" s="375"/>
      <c r="I80" s="375"/>
      <c r="J80" s="1574"/>
      <c r="K80" s="1574"/>
      <c r="L80" s="1574"/>
      <c r="M80" s="1574"/>
      <c r="N80" s="1574"/>
      <c r="O80" s="1574"/>
      <c r="P80" s="1574"/>
      <c r="Q80" s="1574"/>
      <c r="R80" s="1574"/>
      <c r="S80" s="1574"/>
      <c r="T80" s="1574"/>
      <c r="U80" s="1574"/>
      <c r="V80" s="1574"/>
      <c r="W80" s="1574"/>
      <c r="X80" s="1574"/>
      <c r="Y80" s="1574"/>
      <c r="Z80" s="1574"/>
      <c r="AA80" s="1574"/>
      <c r="AB80" s="1574"/>
      <c r="AC80" s="1574"/>
      <c r="AD80" s="1574"/>
      <c r="AE80" s="1574"/>
      <c r="AF80" s="1574"/>
      <c r="AG80" s="1574"/>
      <c r="AH80" s="1574"/>
      <c r="AI80" s="1574"/>
      <c r="AJ80" s="1574"/>
      <c r="AK80" s="1574"/>
      <c r="AL80" s="1574"/>
      <c r="AM80" s="1574"/>
      <c r="AN80" s="375"/>
      <c r="AO80" s="375"/>
      <c r="AP80" s="375"/>
    </row>
    <row r="81" spans="1:42" ht="15.75" customHeight="1" x14ac:dyDescent="0.25">
      <c r="B81" s="395"/>
      <c r="C81" s="787"/>
      <c r="D81" s="787"/>
      <c r="E81" s="787"/>
      <c r="F81" s="787"/>
      <c r="G81" s="787"/>
      <c r="H81" s="787"/>
      <c r="I81" s="787"/>
      <c r="J81" s="1574"/>
      <c r="K81" s="1574"/>
      <c r="L81" s="1574"/>
      <c r="M81" s="1574"/>
      <c r="N81" s="1574"/>
      <c r="O81" s="1574"/>
      <c r="P81" s="1574"/>
      <c r="Q81" s="1574"/>
      <c r="R81" s="1574"/>
      <c r="S81" s="1574"/>
      <c r="T81" s="1574"/>
      <c r="U81" s="1574"/>
      <c r="V81" s="1574"/>
      <c r="W81" s="1574"/>
      <c r="X81" s="1574"/>
      <c r="Y81" s="1574"/>
      <c r="Z81" s="1574"/>
      <c r="AA81" s="1574"/>
      <c r="AB81" s="1574"/>
      <c r="AC81" s="1574"/>
      <c r="AD81" s="1574"/>
      <c r="AE81" s="1574"/>
      <c r="AF81" s="1574"/>
      <c r="AG81" s="1574"/>
      <c r="AH81" s="1574"/>
      <c r="AI81" s="1574"/>
      <c r="AJ81" s="1574"/>
      <c r="AK81" s="1574"/>
      <c r="AL81" s="1574"/>
      <c r="AM81" s="1574"/>
      <c r="AN81" s="375"/>
      <c r="AO81" s="375"/>
      <c r="AP81" s="375"/>
    </row>
    <row r="82" spans="1:42" ht="15.75" customHeight="1" x14ac:dyDescent="0.25">
      <c r="B82" s="395"/>
      <c r="C82" s="787"/>
      <c r="D82" s="787"/>
      <c r="E82" s="787"/>
      <c r="F82" s="787"/>
      <c r="G82" s="787"/>
      <c r="H82" s="787"/>
      <c r="I82" s="787"/>
      <c r="J82" s="1574"/>
      <c r="K82" s="1574"/>
      <c r="L82" s="1574"/>
      <c r="M82" s="1574"/>
      <c r="N82" s="1574"/>
      <c r="O82" s="1574"/>
      <c r="P82" s="1574"/>
      <c r="Q82" s="1574"/>
      <c r="R82" s="1574"/>
      <c r="S82" s="1574"/>
      <c r="T82" s="1574"/>
      <c r="U82" s="1574"/>
      <c r="V82" s="1574"/>
      <c r="W82" s="1574"/>
      <c r="X82" s="1574"/>
      <c r="Y82" s="1574"/>
      <c r="Z82" s="1574"/>
      <c r="AA82" s="1574"/>
      <c r="AB82" s="1574"/>
      <c r="AC82" s="1574"/>
      <c r="AD82" s="1574"/>
      <c r="AE82" s="1574"/>
      <c r="AF82" s="1574"/>
      <c r="AG82" s="1574"/>
      <c r="AH82" s="1574"/>
      <c r="AI82" s="1574"/>
      <c r="AJ82" s="1574"/>
      <c r="AK82" s="1574"/>
      <c r="AL82" s="1574"/>
      <c r="AM82" s="1574"/>
      <c r="AN82" s="375"/>
      <c r="AO82" s="375"/>
      <c r="AP82" s="375"/>
    </row>
    <row r="83" spans="1:42" ht="15.75" customHeight="1" x14ac:dyDescent="0.25">
      <c r="C83" s="375"/>
      <c r="D83" s="375"/>
      <c r="E83" s="375"/>
      <c r="F83" s="375"/>
      <c r="G83" s="375"/>
      <c r="H83" s="375"/>
      <c r="I83" s="375"/>
      <c r="J83" s="1574"/>
      <c r="K83" s="1574"/>
      <c r="L83" s="1574"/>
      <c r="M83" s="1574"/>
      <c r="N83" s="1574"/>
      <c r="O83" s="1574"/>
      <c r="P83" s="1574"/>
      <c r="Q83" s="1574"/>
      <c r="R83" s="1574"/>
      <c r="S83" s="1574"/>
      <c r="T83" s="1574"/>
      <c r="U83" s="1574"/>
      <c r="V83" s="1574"/>
      <c r="W83" s="1574"/>
      <c r="X83" s="1574"/>
      <c r="Y83" s="1574"/>
      <c r="Z83" s="1574"/>
      <c r="AA83" s="1574"/>
      <c r="AB83" s="1574"/>
      <c r="AC83" s="1574"/>
      <c r="AD83" s="1574"/>
      <c r="AE83" s="1574"/>
      <c r="AF83" s="1574"/>
      <c r="AG83" s="1574"/>
      <c r="AH83" s="1574"/>
      <c r="AI83" s="1574"/>
      <c r="AJ83" s="1574"/>
      <c r="AK83" s="1574"/>
      <c r="AL83" s="1574"/>
      <c r="AM83" s="1574"/>
      <c r="AN83" s="375"/>
      <c r="AO83" s="375"/>
      <c r="AP83" s="375"/>
    </row>
    <row r="84" spans="1:42" ht="18.75" x14ac:dyDescent="0.3">
      <c r="B84" s="74" t="s">
        <v>639</v>
      </c>
      <c r="C84" s="765"/>
      <c r="D84" s="765"/>
      <c r="E84" s="765"/>
      <c r="F84" s="765"/>
      <c r="G84" s="765"/>
      <c r="H84" s="765"/>
      <c r="I84" s="765"/>
      <c r="J84" s="765"/>
      <c r="K84" s="765"/>
      <c r="L84" s="765"/>
      <c r="M84" s="765"/>
      <c r="N84" s="765"/>
      <c r="O84" s="765"/>
      <c r="P84" s="765"/>
      <c r="Q84" s="765"/>
      <c r="R84" s="765"/>
      <c r="S84" s="765"/>
      <c r="T84" s="765"/>
      <c r="U84" s="765"/>
      <c r="V84" s="765"/>
      <c r="W84" s="765"/>
      <c r="X84" s="766"/>
      <c r="Y84" s="766"/>
      <c r="Z84" s="375"/>
      <c r="AA84" s="375"/>
      <c r="AB84" s="375"/>
      <c r="AC84" s="375"/>
      <c r="AD84" s="375"/>
      <c r="AE84" s="375"/>
      <c r="AF84" s="375"/>
      <c r="AG84" s="375"/>
      <c r="AH84" s="375"/>
      <c r="AI84" s="375"/>
      <c r="AJ84" s="375"/>
      <c r="AK84" s="375"/>
      <c r="AL84" s="375"/>
      <c r="AM84" s="375"/>
      <c r="AN84" s="375"/>
      <c r="AO84" s="375"/>
      <c r="AP84" s="375"/>
    </row>
    <row r="85" spans="1:42" ht="18" x14ac:dyDescent="0.25">
      <c r="A85" s="17"/>
      <c r="B85" s="1"/>
      <c r="C85" s="766"/>
      <c r="D85" s="766"/>
      <c r="E85" s="766"/>
      <c r="F85" s="766"/>
      <c r="G85" s="766"/>
      <c r="H85" s="766"/>
      <c r="I85" s="766"/>
      <c r="J85" s="766"/>
      <c r="K85" s="766"/>
      <c r="L85" s="766"/>
      <c r="M85" s="766"/>
      <c r="N85" s="766"/>
      <c r="O85" s="766"/>
      <c r="P85" s="766"/>
      <c r="Q85" s="766"/>
      <c r="R85" s="766"/>
      <c r="S85" s="766"/>
      <c r="T85" s="766"/>
      <c r="U85" s="766"/>
      <c r="V85" s="766"/>
      <c r="W85" s="766"/>
      <c r="X85" s="766"/>
      <c r="Y85" s="766"/>
      <c r="Z85" s="375"/>
      <c r="AA85" s="375"/>
      <c r="AB85" s="375"/>
      <c r="AC85" s="375"/>
      <c r="AD85" s="375"/>
      <c r="AE85" s="375"/>
      <c r="AF85" s="375"/>
      <c r="AG85" s="375"/>
      <c r="AH85" s="375"/>
      <c r="AI85" s="375"/>
      <c r="AJ85" s="375"/>
      <c r="AK85" s="375"/>
      <c r="AL85" s="375"/>
      <c r="AM85" s="375"/>
      <c r="AN85" s="375"/>
      <c r="AO85" s="375"/>
      <c r="AP85" s="375"/>
    </row>
    <row r="86" spans="1:42" ht="18" x14ac:dyDescent="0.25">
      <c r="A86" s="17"/>
      <c r="B86" s="1"/>
      <c r="C86" s="766"/>
      <c r="D86" s="766"/>
      <c r="E86" s="766"/>
      <c r="F86" s="766"/>
      <c r="G86" s="766"/>
      <c r="H86" s="766"/>
      <c r="I86" s="1574"/>
      <c r="J86" s="1574"/>
      <c r="K86" s="1574"/>
      <c r="L86" s="1574"/>
      <c r="M86" s="1574"/>
      <c r="N86" s="1574"/>
      <c r="O86" s="1574"/>
      <c r="P86" s="1574"/>
      <c r="Q86" s="1574"/>
      <c r="R86" s="1574"/>
      <c r="S86" s="1574"/>
      <c r="T86" s="1574"/>
      <c r="U86" s="1574"/>
      <c r="V86" s="1574"/>
      <c r="W86" s="1574"/>
      <c r="X86" s="1574"/>
      <c r="Y86" s="1574"/>
      <c r="Z86" s="1574"/>
      <c r="AA86" s="1574"/>
      <c r="AB86" s="1574"/>
      <c r="AC86" s="1574"/>
      <c r="AD86" s="1574"/>
      <c r="AE86" s="1574"/>
      <c r="AF86" s="1574"/>
      <c r="AG86" s="1574"/>
      <c r="AH86" s="1574"/>
      <c r="AI86" s="1574"/>
      <c r="AJ86" s="1574"/>
      <c r="AK86" s="1574"/>
      <c r="AL86" s="375"/>
      <c r="AM86" s="375"/>
      <c r="AN86" s="375"/>
      <c r="AO86" s="375"/>
      <c r="AP86" s="375"/>
    </row>
    <row r="87" spans="1:42" ht="21" customHeight="1" x14ac:dyDescent="0.25">
      <c r="A87" s="2020" t="s">
        <v>0</v>
      </c>
      <c r="B87" s="2020" t="s">
        <v>184</v>
      </c>
      <c r="C87" s="2228" t="s">
        <v>54</v>
      </c>
      <c r="D87" s="2228" t="s">
        <v>55</v>
      </c>
      <c r="E87" s="2228" t="s">
        <v>56</v>
      </c>
      <c r="F87" s="2228" t="s">
        <v>57</v>
      </c>
      <c r="G87" s="2232" t="s">
        <v>6</v>
      </c>
      <c r="H87" s="1347"/>
      <c r="I87" s="1574"/>
      <c r="J87" s="1574"/>
      <c r="K87" s="1574"/>
      <c r="L87" s="1574"/>
      <c r="M87" s="1574"/>
      <c r="N87" s="1574"/>
      <c r="O87" s="1574"/>
      <c r="P87" s="1574"/>
      <c r="Q87" s="1574"/>
      <c r="R87" s="1574"/>
      <c r="S87" s="1574"/>
      <c r="T87" s="1574"/>
      <c r="U87" s="1574"/>
      <c r="V87" s="1574"/>
      <c r="W87" s="1574"/>
      <c r="X87" s="1574"/>
      <c r="Y87" s="1574"/>
      <c r="Z87" s="1574"/>
      <c r="AA87" s="1574"/>
      <c r="AB87" s="1574"/>
      <c r="AC87" s="1574"/>
      <c r="AD87" s="1574"/>
      <c r="AE87" s="1574"/>
      <c r="AF87" s="1574"/>
      <c r="AG87" s="1574"/>
      <c r="AH87" s="1574"/>
      <c r="AI87" s="1574"/>
      <c r="AJ87" s="1574"/>
      <c r="AK87" s="1574"/>
      <c r="AL87" s="375"/>
      <c r="AM87" s="375"/>
      <c r="AN87" s="375"/>
      <c r="AO87" s="375"/>
      <c r="AP87" s="375"/>
    </row>
    <row r="88" spans="1:42" ht="33" customHeight="1" x14ac:dyDescent="0.25">
      <c r="A88" s="2021"/>
      <c r="B88" s="2021"/>
      <c r="C88" s="2229"/>
      <c r="D88" s="2229"/>
      <c r="E88" s="2229"/>
      <c r="F88" s="2229"/>
      <c r="G88" s="2233"/>
      <c r="H88" s="1348"/>
      <c r="I88" s="1574"/>
      <c r="J88" s="1574"/>
      <c r="K88" s="1574"/>
      <c r="L88" s="1574"/>
      <c r="M88" s="1574"/>
      <c r="N88" s="1574"/>
      <c r="O88" s="1574"/>
      <c r="P88" s="1574"/>
      <c r="Q88" s="1574"/>
      <c r="R88" s="1574"/>
      <c r="S88" s="1574"/>
      <c r="T88" s="1574"/>
      <c r="U88" s="1574"/>
      <c r="V88" s="1574"/>
      <c r="W88" s="1574"/>
      <c r="X88" s="1574"/>
      <c r="Y88" s="1574"/>
      <c r="Z88" s="1574"/>
      <c r="AA88" s="1574"/>
      <c r="AB88" s="1574"/>
      <c r="AC88" s="1574"/>
      <c r="AD88" s="1574"/>
      <c r="AE88" s="1574"/>
      <c r="AF88" s="1574"/>
      <c r="AG88" s="1574"/>
      <c r="AH88" s="1574"/>
      <c r="AI88" s="1574"/>
      <c r="AJ88" s="1574"/>
      <c r="AK88" s="1574"/>
      <c r="AL88" s="375"/>
      <c r="AM88" s="375"/>
      <c r="AN88" s="375"/>
      <c r="AO88" s="375"/>
      <c r="AP88" s="375"/>
    </row>
    <row r="89" spans="1:42" ht="15.75" customHeight="1" x14ac:dyDescent="0.25">
      <c r="A89" s="19">
        <v>1</v>
      </c>
      <c r="B89" s="55" t="s">
        <v>100</v>
      </c>
      <c r="C89" s="745">
        <v>1980</v>
      </c>
      <c r="D89" s="745">
        <v>3</v>
      </c>
      <c r="E89" s="745">
        <v>24</v>
      </c>
      <c r="F89" s="349">
        <v>59</v>
      </c>
      <c r="G89" s="741">
        <v>1440.6</v>
      </c>
      <c r="H89" s="741"/>
      <c r="I89" s="1574"/>
      <c r="J89" s="1574"/>
      <c r="K89" s="1574"/>
      <c r="L89" s="1574"/>
      <c r="M89" s="1574"/>
      <c r="N89" s="1574"/>
      <c r="O89" s="1574"/>
      <c r="P89" s="1574"/>
      <c r="Q89" s="1574"/>
      <c r="R89" s="1574"/>
      <c r="S89" s="1574"/>
      <c r="T89" s="1574"/>
      <c r="U89" s="1574"/>
      <c r="V89" s="1574"/>
      <c r="W89" s="1574"/>
      <c r="X89" s="1574"/>
      <c r="Y89" s="1574"/>
      <c r="Z89" s="1574"/>
      <c r="AA89" s="1574"/>
      <c r="AB89" s="1574"/>
      <c r="AC89" s="1574"/>
      <c r="AD89" s="1574"/>
      <c r="AE89" s="1574"/>
      <c r="AF89" s="1574"/>
      <c r="AG89" s="1574"/>
      <c r="AH89" s="1574"/>
      <c r="AI89" s="1574"/>
      <c r="AJ89" s="1574"/>
      <c r="AK89" s="1574"/>
      <c r="AL89" s="375"/>
      <c r="AM89" s="375"/>
      <c r="AN89" s="375"/>
      <c r="AO89" s="375"/>
      <c r="AP89" s="375"/>
    </row>
    <row r="90" spans="1:42" ht="15.75" customHeight="1" x14ac:dyDescent="0.25">
      <c r="A90" s="19">
        <v>2</v>
      </c>
      <c r="B90" s="55" t="s">
        <v>101</v>
      </c>
      <c r="C90" s="745">
        <v>1978</v>
      </c>
      <c r="D90" s="745">
        <v>3</v>
      </c>
      <c r="E90" s="745">
        <v>24</v>
      </c>
      <c r="F90" s="708">
        <v>71</v>
      </c>
      <c r="G90" s="741">
        <v>1449.9</v>
      </c>
      <c r="H90" s="741"/>
      <c r="I90" s="1574"/>
      <c r="J90" s="1574"/>
      <c r="K90" s="1574"/>
      <c r="L90" s="1574"/>
      <c r="M90" s="1574"/>
      <c r="N90" s="1574"/>
      <c r="O90" s="1574"/>
      <c r="P90" s="1574"/>
      <c r="Q90" s="1574"/>
      <c r="R90" s="1574"/>
      <c r="S90" s="1574"/>
      <c r="T90" s="1574"/>
      <c r="U90" s="1574"/>
      <c r="V90" s="1574"/>
      <c r="W90" s="1574"/>
      <c r="X90" s="1574"/>
      <c r="Y90" s="1574"/>
      <c r="Z90" s="1574"/>
      <c r="AA90" s="1574"/>
      <c r="AB90" s="1574"/>
      <c r="AC90" s="1574"/>
      <c r="AD90" s="1574"/>
      <c r="AE90" s="1574"/>
      <c r="AF90" s="1574"/>
      <c r="AG90" s="1574"/>
      <c r="AH90" s="1574"/>
      <c r="AI90" s="1574"/>
      <c r="AJ90" s="1574"/>
      <c r="AK90" s="1574"/>
      <c r="AL90" s="375"/>
      <c r="AM90" s="375"/>
      <c r="AN90" s="375"/>
      <c r="AO90" s="375"/>
      <c r="AP90" s="375"/>
    </row>
    <row r="91" spans="1:42" ht="15.75" customHeight="1" x14ac:dyDescent="0.25">
      <c r="A91" s="19">
        <v>3</v>
      </c>
      <c r="B91" s="55" t="s">
        <v>102</v>
      </c>
      <c r="C91" s="745">
        <v>1979</v>
      </c>
      <c r="D91" s="745">
        <v>3</v>
      </c>
      <c r="E91" s="745">
        <v>24</v>
      </c>
      <c r="F91" s="349">
        <v>79</v>
      </c>
      <c r="G91" s="741">
        <v>1460.41</v>
      </c>
      <c r="H91" s="741"/>
      <c r="I91" s="1574"/>
      <c r="J91" s="1574"/>
      <c r="K91" s="1574"/>
      <c r="L91" s="1574"/>
      <c r="M91" s="1574"/>
      <c r="N91" s="1574"/>
      <c r="O91" s="1574"/>
      <c r="P91" s="1574"/>
      <c r="Q91" s="1574"/>
      <c r="R91" s="1574"/>
      <c r="S91" s="1574"/>
      <c r="T91" s="1574"/>
      <c r="U91" s="1574"/>
      <c r="V91" s="1574"/>
      <c r="W91" s="1574"/>
      <c r="X91" s="1574"/>
      <c r="Y91" s="1574"/>
      <c r="Z91" s="1574"/>
      <c r="AA91" s="1574"/>
      <c r="AB91" s="1574"/>
      <c r="AC91" s="1574"/>
      <c r="AD91" s="1574"/>
      <c r="AE91" s="1574"/>
      <c r="AF91" s="1574"/>
      <c r="AG91" s="1574"/>
      <c r="AH91" s="1574"/>
      <c r="AI91" s="1574"/>
      <c r="AJ91" s="1574"/>
      <c r="AK91" s="1574"/>
      <c r="AL91" s="375"/>
      <c r="AM91" s="375"/>
      <c r="AN91" s="375"/>
      <c r="AO91" s="375"/>
      <c r="AP91" s="375"/>
    </row>
    <row r="92" spans="1:42" ht="15.75" customHeight="1" x14ac:dyDescent="0.25">
      <c r="A92" s="19">
        <v>4</v>
      </c>
      <c r="B92" s="55" t="s">
        <v>103</v>
      </c>
      <c r="C92" s="745">
        <v>1986</v>
      </c>
      <c r="D92" s="745">
        <v>3</v>
      </c>
      <c r="E92" s="745">
        <v>24</v>
      </c>
      <c r="F92" s="746">
        <v>63</v>
      </c>
      <c r="G92" s="741">
        <v>1454.3</v>
      </c>
      <c r="H92" s="741"/>
      <c r="I92" s="1574"/>
      <c r="J92" s="1574"/>
      <c r="K92" s="1574"/>
      <c r="L92" s="1574"/>
      <c r="M92" s="1574"/>
      <c r="N92" s="1574"/>
      <c r="O92" s="1574"/>
      <c r="P92" s="1574"/>
      <c r="Q92" s="1574"/>
      <c r="R92" s="1574"/>
      <c r="S92" s="1574"/>
      <c r="T92" s="1574"/>
      <c r="U92" s="1574"/>
      <c r="V92" s="1574"/>
      <c r="W92" s="1574"/>
      <c r="X92" s="1574"/>
      <c r="Y92" s="1574"/>
      <c r="Z92" s="1574"/>
      <c r="AA92" s="1574"/>
      <c r="AB92" s="1574"/>
      <c r="AC92" s="1574"/>
      <c r="AD92" s="1574"/>
      <c r="AE92" s="1574"/>
      <c r="AF92" s="1574"/>
      <c r="AG92" s="1574"/>
      <c r="AH92" s="1574"/>
      <c r="AI92" s="1574"/>
      <c r="AJ92" s="1574"/>
      <c r="AK92" s="1574"/>
      <c r="AL92" s="375"/>
      <c r="AM92" s="375"/>
      <c r="AN92" s="375"/>
      <c r="AO92" s="375"/>
      <c r="AP92" s="375"/>
    </row>
    <row r="93" spans="1:42" ht="15.75" customHeight="1" x14ac:dyDescent="0.25">
      <c r="A93" s="19">
        <v>5</v>
      </c>
      <c r="B93" s="55" t="s">
        <v>104</v>
      </c>
      <c r="C93" s="745">
        <v>1985</v>
      </c>
      <c r="D93" s="745">
        <v>3</v>
      </c>
      <c r="E93" s="745">
        <v>24</v>
      </c>
      <c r="F93" s="708">
        <v>88</v>
      </c>
      <c r="G93" s="741">
        <v>1464.7</v>
      </c>
      <c r="H93" s="741"/>
      <c r="I93" s="1574"/>
      <c r="J93" s="1574"/>
      <c r="K93" s="1574"/>
      <c r="L93" s="1574"/>
      <c r="M93" s="1574"/>
      <c r="N93" s="1574"/>
      <c r="O93" s="1574"/>
      <c r="P93" s="1574"/>
      <c r="Q93" s="1574"/>
      <c r="R93" s="1574"/>
      <c r="S93" s="1574"/>
      <c r="T93" s="1574"/>
      <c r="U93" s="1574"/>
      <c r="V93" s="1574"/>
      <c r="W93" s="1574"/>
      <c r="X93" s="1574"/>
      <c r="Y93" s="1574"/>
      <c r="Z93" s="1574"/>
      <c r="AA93" s="1574"/>
      <c r="AB93" s="1574"/>
      <c r="AC93" s="1574"/>
      <c r="AD93" s="1574"/>
      <c r="AE93" s="1574"/>
      <c r="AF93" s="1574"/>
      <c r="AG93" s="1574"/>
      <c r="AH93" s="1574"/>
      <c r="AI93" s="1574"/>
      <c r="AJ93" s="1574"/>
      <c r="AK93" s="1574"/>
      <c r="AL93" s="375"/>
      <c r="AM93" s="375"/>
      <c r="AN93" s="375"/>
      <c r="AO93" s="375"/>
      <c r="AP93" s="375"/>
    </row>
    <row r="94" spans="1:42" ht="15.75" customHeight="1" x14ac:dyDescent="0.25">
      <c r="A94" s="251">
        <v>6</v>
      </c>
      <c r="B94" s="55" t="s">
        <v>105</v>
      </c>
      <c r="C94" s="745">
        <v>1976</v>
      </c>
      <c r="D94" s="745">
        <v>2</v>
      </c>
      <c r="E94" s="745">
        <v>18</v>
      </c>
      <c r="F94" s="708">
        <v>35</v>
      </c>
      <c r="G94" s="741">
        <v>766.9</v>
      </c>
      <c r="H94" s="798"/>
      <c r="I94" s="1574"/>
      <c r="J94" s="1574"/>
      <c r="K94" s="1574"/>
      <c r="L94" s="1574"/>
      <c r="M94" s="1574"/>
      <c r="N94" s="1574"/>
      <c r="O94" s="1574"/>
      <c r="P94" s="1574"/>
      <c r="Q94" s="1574"/>
      <c r="R94" s="1574"/>
      <c r="S94" s="1574"/>
      <c r="T94" s="1574"/>
      <c r="U94" s="1574"/>
      <c r="V94" s="1574"/>
      <c r="W94" s="1574"/>
      <c r="X94" s="1574"/>
      <c r="Y94" s="1574"/>
      <c r="Z94" s="1574"/>
      <c r="AA94" s="1574"/>
      <c r="AB94" s="1574"/>
      <c r="AC94" s="1574"/>
      <c r="AD94" s="1574"/>
      <c r="AE94" s="1574"/>
      <c r="AF94" s="1574"/>
      <c r="AG94" s="1574"/>
      <c r="AH94" s="1574"/>
      <c r="AI94" s="1574"/>
      <c r="AJ94" s="1574"/>
      <c r="AK94" s="1574"/>
      <c r="AL94" s="375"/>
      <c r="AM94" s="375"/>
      <c r="AN94" s="375"/>
      <c r="AO94" s="375"/>
      <c r="AP94" s="375"/>
    </row>
    <row r="95" spans="1:42" ht="15.75" customHeight="1" x14ac:dyDescent="0.25">
      <c r="A95" s="251">
        <v>7</v>
      </c>
      <c r="B95" s="55" t="s">
        <v>106</v>
      </c>
      <c r="C95" s="745">
        <v>1975</v>
      </c>
      <c r="D95" s="745">
        <v>2</v>
      </c>
      <c r="E95" s="745">
        <v>18</v>
      </c>
      <c r="F95" s="661">
        <v>49</v>
      </c>
      <c r="G95" s="741">
        <v>778.78</v>
      </c>
      <c r="H95" s="798"/>
      <c r="I95" s="1574"/>
      <c r="J95" s="1574"/>
      <c r="K95" s="1574"/>
      <c r="L95" s="1574"/>
      <c r="M95" s="1574"/>
      <c r="N95" s="1574"/>
      <c r="O95" s="1574"/>
      <c r="P95" s="1574"/>
      <c r="Q95" s="1574"/>
      <c r="R95" s="1574"/>
      <c r="S95" s="1574"/>
      <c r="T95" s="1574"/>
      <c r="U95" s="1574"/>
      <c r="V95" s="1574"/>
      <c r="W95" s="1574"/>
      <c r="X95" s="1574"/>
      <c r="Y95" s="1574"/>
      <c r="Z95" s="1574"/>
      <c r="AA95" s="1574"/>
      <c r="AB95" s="1574"/>
      <c r="AC95" s="1574"/>
      <c r="AD95" s="1574"/>
      <c r="AE95" s="1574"/>
      <c r="AF95" s="1574"/>
      <c r="AG95" s="1574"/>
      <c r="AH95" s="1574"/>
      <c r="AI95" s="1574"/>
      <c r="AJ95" s="1574"/>
      <c r="AK95" s="1574"/>
      <c r="AL95" s="375"/>
      <c r="AM95" s="375"/>
      <c r="AN95" s="375"/>
      <c r="AO95" s="375"/>
      <c r="AP95" s="375"/>
    </row>
    <row r="96" spans="1:42" ht="15.75" customHeight="1" x14ac:dyDescent="0.25">
      <c r="A96" s="251">
        <v>8</v>
      </c>
      <c r="B96" s="252" t="s">
        <v>113</v>
      </c>
      <c r="C96" s="745">
        <v>1973</v>
      </c>
      <c r="D96" s="745">
        <v>2</v>
      </c>
      <c r="E96" s="745">
        <v>16</v>
      </c>
      <c r="F96" s="661">
        <v>32</v>
      </c>
      <c r="G96" s="741">
        <v>722.8</v>
      </c>
      <c r="H96" s="798"/>
      <c r="I96" s="1574"/>
      <c r="J96" s="1574"/>
      <c r="K96" s="1574"/>
      <c r="L96" s="1574"/>
      <c r="M96" s="1574"/>
      <c r="N96" s="1574"/>
      <c r="O96" s="1574"/>
      <c r="P96" s="1574"/>
      <c r="Q96" s="1574"/>
      <c r="R96" s="1574"/>
      <c r="S96" s="1574"/>
      <c r="T96" s="1574"/>
      <c r="U96" s="1574"/>
      <c r="V96" s="1574"/>
      <c r="W96" s="1574"/>
      <c r="X96" s="1574"/>
      <c r="Y96" s="1574"/>
      <c r="Z96" s="1574"/>
      <c r="AA96" s="1574"/>
      <c r="AB96" s="1574"/>
      <c r="AC96" s="1574"/>
      <c r="AD96" s="1574"/>
      <c r="AE96" s="1574"/>
      <c r="AF96" s="1574"/>
      <c r="AG96" s="1574"/>
      <c r="AH96" s="1574"/>
      <c r="AI96" s="1574"/>
      <c r="AJ96" s="1574"/>
      <c r="AK96" s="1574"/>
      <c r="AL96" s="375"/>
      <c r="AM96" s="375"/>
      <c r="AN96" s="375"/>
      <c r="AO96" s="375"/>
      <c r="AP96" s="375"/>
    </row>
    <row r="97" spans="1:42" ht="15.75" customHeight="1" x14ac:dyDescent="0.25">
      <c r="A97" s="251">
        <v>9</v>
      </c>
      <c r="B97" s="252" t="s">
        <v>114</v>
      </c>
      <c r="C97" s="745">
        <v>1973</v>
      </c>
      <c r="D97" s="745">
        <v>2</v>
      </c>
      <c r="E97" s="745">
        <v>16</v>
      </c>
      <c r="F97" s="661">
        <v>46</v>
      </c>
      <c r="G97" s="741">
        <v>714.4</v>
      </c>
      <c r="H97" s="798"/>
      <c r="I97" s="1574"/>
      <c r="J97" s="1574"/>
      <c r="K97" s="1574"/>
      <c r="L97" s="1574"/>
      <c r="M97" s="1574"/>
      <c r="N97" s="1574"/>
      <c r="O97" s="1574"/>
      <c r="P97" s="1574"/>
      <c r="Q97" s="1574"/>
      <c r="R97" s="1574"/>
      <c r="S97" s="1574"/>
      <c r="T97" s="1574"/>
      <c r="U97" s="1574"/>
      <c r="V97" s="1574"/>
      <c r="W97" s="1574"/>
      <c r="X97" s="1574"/>
      <c r="Y97" s="1574"/>
      <c r="Z97" s="1574"/>
      <c r="AA97" s="1574"/>
      <c r="AB97" s="1574"/>
      <c r="AC97" s="1574"/>
      <c r="AD97" s="1574"/>
      <c r="AE97" s="1574"/>
      <c r="AF97" s="1574"/>
      <c r="AG97" s="1574"/>
      <c r="AH97" s="1574"/>
      <c r="AI97" s="1574"/>
      <c r="AJ97" s="1574"/>
      <c r="AK97" s="1574"/>
      <c r="AL97" s="375"/>
      <c r="AM97" s="375"/>
      <c r="AN97" s="375"/>
      <c r="AO97" s="375"/>
      <c r="AP97" s="375"/>
    </row>
    <row r="98" spans="1:42" ht="15.75" customHeight="1" x14ac:dyDescent="0.25">
      <c r="A98" s="251">
        <v>10</v>
      </c>
      <c r="B98" s="252" t="s">
        <v>123</v>
      </c>
      <c r="C98" s="745">
        <v>1990</v>
      </c>
      <c r="D98" s="745">
        <v>3</v>
      </c>
      <c r="E98" s="745">
        <v>24</v>
      </c>
      <c r="F98" s="661">
        <v>61</v>
      </c>
      <c r="G98" s="741">
        <v>1444.1</v>
      </c>
      <c r="H98" s="798"/>
      <c r="I98" s="1574"/>
      <c r="J98" s="1574"/>
      <c r="K98" s="1574"/>
      <c r="L98" s="1574"/>
      <c r="M98" s="1574"/>
      <c r="N98" s="1574"/>
      <c r="O98" s="1574"/>
      <c r="P98" s="1574"/>
      <c r="Q98" s="1574"/>
      <c r="R98" s="1574"/>
      <c r="S98" s="1574"/>
      <c r="T98" s="1574"/>
      <c r="U98" s="1574"/>
      <c r="V98" s="1574"/>
      <c r="W98" s="1574"/>
      <c r="X98" s="1574"/>
      <c r="Y98" s="1574"/>
      <c r="Z98" s="1574"/>
      <c r="AA98" s="1574"/>
      <c r="AB98" s="1574"/>
      <c r="AC98" s="1574"/>
      <c r="AD98" s="1574"/>
      <c r="AE98" s="1574"/>
      <c r="AF98" s="1574"/>
      <c r="AG98" s="1574"/>
      <c r="AH98" s="1574"/>
      <c r="AI98" s="1574"/>
      <c r="AJ98" s="1574"/>
      <c r="AK98" s="1574"/>
      <c r="AL98" s="375"/>
      <c r="AM98" s="375"/>
      <c r="AN98" s="375"/>
      <c r="AO98" s="375"/>
      <c r="AP98" s="375"/>
    </row>
    <row r="99" spans="1:42" ht="15.75" customHeight="1" x14ac:dyDescent="0.25">
      <c r="A99" s="251">
        <v>11</v>
      </c>
      <c r="B99" s="252" t="s">
        <v>117</v>
      </c>
      <c r="C99" s="745">
        <v>1969</v>
      </c>
      <c r="D99" s="745">
        <v>2</v>
      </c>
      <c r="E99" s="745">
        <v>16</v>
      </c>
      <c r="F99" s="661">
        <v>37</v>
      </c>
      <c r="G99" s="741">
        <v>716.27</v>
      </c>
      <c r="H99" s="798"/>
      <c r="I99" s="1574"/>
      <c r="J99" s="1574"/>
      <c r="K99" s="1574"/>
      <c r="L99" s="1574"/>
      <c r="M99" s="1574"/>
      <c r="N99" s="1574"/>
      <c r="O99" s="1574"/>
      <c r="P99" s="1574"/>
      <c r="Q99" s="1574"/>
      <c r="R99" s="1574"/>
      <c r="S99" s="1574"/>
      <c r="T99" s="1574"/>
      <c r="U99" s="1574"/>
      <c r="V99" s="1574"/>
      <c r="W99" s="1574"/>
      <c r="X99" s="1574"/>
      <c r="Y99" s="1574"/>
      <c r="Z99" s="1574"/>
      <c r="AA99" s="1574"/>
      <c r="AB99" s="1574"/>
      <c r="AC99" s="1574"/>
      <c r="AD99" s="1574"/>
      <c r="AE99" s="1574"/>
      <c r="AF99" s="1574"/>
      <c r="AG99" s="1574"/>
      <c r="AH99" s="1574"/>
      <c r="AI99" s="1574"/>
      <c r="AJ99" s="1574"/>
      <c r="AK99" s="1574"/>
      <c r="AL99" s="375"/>
      <c r="AM99" s="375"/>
      <c r="AN99" s="375"/>
      <c r="AO99" s="375"/>
      <c r="AP99" s="375"/>
    </row>
    <row r="100" spans="1:42" ht="15.75" customHeight="1" x14ac:dyDescent="0.25">
      <c r="A100" s="251">
        <v>12</v>
      </c>
      <c r="B100" s="252" t="s">
        <v>119</v>
      </c>
      <c r="C100" s="745">
        <v>1968</v>
      </c>
      <c r="D100" s="745">
        <v>2</v>
      </c>
      <c r="E100" s="745">
        <v>16</v>
      </c>
      <c r="F100" s="661">
        <v>54</v>
      </c>
      <c r="G100" s="741">
        <v>714.5</v>
      </c>
      <c r="H100" s="798"/>
      <c r="I100" s="1574"/>
      <c r="J100" s="1574"/>
      <c r="K100" s="1574"/>
      <c r="L100" s="1574"/>
      <c r="M100" s="1574"/>
      <c r="N100" s="1574"/>
      <c r="O100" s="1574"/>
      <c r="P100" s="1574"/>
      <c r="Q100" s="1574"/>
      <c r="R100" s="1574"/>
      <c r="S100" s="1574"/>
      <c r="T100" s="1574"/>
      <c r="U100" s="1574"/>
      <c r="V100" s="1574"/>
      <c r="W100" s="1574"/>
      <c r="X100" s="1574"/>
      <c r="Y100" s="1574"/>
      <c r="Z100" s="1574"/>
      <c r="AA100" s="1574"/>
      <c r="AB100" s="1574"/>
      <c r="AC100" s="1574"/>
      <c r="AD100" s="1574"/>
      <c r="AE100" s="1574"/>
      <c r="AF100" s="1574"/>
      <c r="AG100" s="1574"/>
      <c r="AH100" s="1574"/>
      <c r="AI100" s="1574"/>
      <c r="AJ100" s="1574"/>
      <c r="AK100" s="1574"/>
      <c r="AL100" s="375"/>
      <c r="AM100" s="375"/>
      <c r="AN100" s="375"/>
      <c r="AO100" s="375"/>
      <c r="AP100" s="375"/>
    </row>
    <row r="101" spans="1:42" ht="15.75" customHeight="1" x14ac:dyDescent="0.25">
      <c r="A101" s="251">
        <v>13</v>
      </c>
      <c r="B101" s="252" t="s">
        <v>121</v>
      </c>
      <c r="C101" s="745">
        <v>1970</v>
      </c>
      <c r="D101" s="745">
        <v>2</v>
      </c>
      <c r="E101" s="745">
        <v>16</v>
      </c>
      <c r="F101" s="661">
        <v>35</v>
      </c>
      <c r="G101" s="741">
        <v>714.01</v>
      </c>
      <c r="H101" s="798"/>
      <c r="I101" s="1574"/>
      <c r="J101" s="1574"/>
      <c r="K101" s="1574"/>
      <c r="L101" s="1574"/>
      <c r="M101" s="1574"/>
      <c r="N101" s="1574"/>
      <c r="O101" s="1574"/>
      <c r="P101" s="1574"/>
      <c r="Q101" s="1574"/>
      <c r="R101" s="1574"/>
      <c r="S101" s="1574"/>
      <c r="T101" s="1574"/>
      <c r="U101" s="1574"/>
      <c r="V101" s="1574"/>
      <c r="W101" s="1574"/>
      <c r="X101" s="1574"/>
      <c r="Y101" s="1574"/>
      <c r="Z101" s="1574"/>
      <c r="AA101" s="1574"/>
      <c r="AB101" s="1574"/>
      <c r="AC101" s="1574"/>
      <c r="AD101" s="1574"/>
      <c r="AE101" s="1574"/>
      <c r="AF101" s="1574"/>
      <c r="AG101" s="1574"/>
      <c r="AH101" s="1574"/>
      <c r="AI101" s="1574"/>
      <c r="AJ101" s="1574"/>
      <c r="AK101" s="1574"/>
      <c r="AL101" s="375"/>
      <c r="AM101" s="375"/>
      <c r="AN101" s="375"/>
      <c r="AO101" s="375"/>
      <c r="AP101" s="375"/>
    </row>
    <row r="102" spans="1:42" ht="15.75" customHeight="1" x14ac:dyDescent="0.25">
      <c r="A102" s="19"/>
      <c r="B102" s="392" t="s">
        <v>23</v>
      </c>
      <c r="C102" s="745"/>
      <c r="D102" s="780"/>
      <c r="E102" s="781">
        <f t="shared" ref="E102:G102" si="47">SUM(E89:E101)</f>
        <v>260</v>
      </c>
      <c r="F102" s="781">
        <f t="shared" si="47"/>
        <v>709</v>
      </c>
      <c r="G102" s="810">
        <f t="shared" si="47"/>
        <v>13841.67</v>
      </c>
      <c r="H102" s="810"/>
      <c r="I102" s="1574"/>
      <c r="J102" s="1574"/>
      <c r="K102" s="1574"/>
      <c r="L102" s="1574"/>
      <c r="M102" s="1574"/>
      <c r="N102" s="1574"/>
      <c r="O102" s="1574"/>
      <c r="P102" s="1574"/>
      <c r="Q102" s="1574"/>
      <c r="R102" s="1574"/>
      <c r="S102" s="1574"/>
      <c r="T102" s="1574"/>
      <c r="U102" s="1574"/>
      <c r="V102" s="1574"/>
      <c r="W102" s="1574"/>
      <c r="X102" s="1574"/>
      <c r="Y102" s="1574"/>
      <c r="Z102" s="1574"/>
      <c r="AA102" s="1574"/>
      <c r="AB102" s="1574"/>
      <c r="AC102" s="1574"/>
      <c r="AD102" s="1574"/>
      <c r="AE102" s="1574"/>
      <c r="AF102" s="1574"/>
      <c r="AG102" s="1574"/>
      <c r="AH102" s="1574"/>
      <c r="AI102" s="1574"/>
      <c r="AJ102" s="1574"/>
      <c r="AK102" s="1574"/>
      <c r="AL102" s="375"/>
      <c r="AM102" s="375"/>
      <c r="AN102" s="375"/>
      <c r="AO102" s="375"/>
      <c r="AP102" s="375"/>
    </row>
    <row r="103" spans="1:42" ht="15.75" customHeight="1" x14ac:dyDescent="0.25">
      <c r="I103" s="1574"/>
      <c r="J103" s="1574"/>
      <c r="K103" s="1574"/>
      <c r="L103" s="1574"/>
      <c r="M103" s="1574"/>
      <c r="N103" s="1574"/>
      <c r="O103" s="1574"/>
      <c r="P103" s="1574"/>
      <c r="Q103" s="1574"/>
      <c r="R103" s="1574"/>
      <c r="S103" s="1574"/>
      <c r="T103" s="1574"/>
      <c r="U103" s="1574"/>
      <c r="V103" s="1574"/>
      <c r="W103" s="1574"/>
      <c r="X103" s="1574"/>
      <c r="Y103" s="1574"/>
      <c r="Z103" s="1574"/>
      <c r="AA103" s="1574"/>
      <c r="AB103" s="1574"/>
      <c r="AC103" s="1574"/>
      <c r="AD103" s="1574"/>
      <c r="AE103" s="1574"/>
      <c r="AF103" s="1574"/>
      <c r="AG103" s="1574"/>
      <c r="AH103" s="1574"/>
      <c r="AI103" s="1574"/>
      <c r="AJ103" s="1574"/>
      <c r="AK103" s="1574"/>
    </row>
    <row r="107" spans="1:42" ht="18.75" customHeight="1" x14ac:dyDescent="0.25">
      <c r="A107" s="250"/>
      <c r="B107" s="250"/>
      <c r="C107" s="250"/>
      <c r="D107" s="250"/>
      <c r="E107" s="250"/>
      <c r="F107" s="250"/>
      <c r="G107" s="250"/>
      <c r="H107" s="250"/>
      <c r="I107" s="250"/>
      <c r="J107" s="250"/>
      <c r="K107" s="250"/>
      <c r="L107" s="250"/>
      <c r="M107" s="250"/>
      <c r="N107" s="250"/>
      <c r="O107" s="250"/>
      <c r="P107" s="250"/>
      <c r="Q107" s="250"/>
      <c r="R107" s="250"/>
      <c r="S107" s="250"/>
      <c r="T107" s="250"/>
      <c r="U107" s="250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</row>
    <row r="108" spans="1:42" ht="18" customHeight="1" x14ac:dyDescent="0.25">
      <c r="A108" s="250"/>
      <c r="B108" s="250"/>
      <c r="C108" s="250"/>
      <c r="D108" s="250"/>
      <c r="E108" s="250"/>
      <c r="F108" s="250"/>
      <c r="G108" s="250"/>
      <c r="H108" s="250"/>
      <c r="I108" s="250"/>
      <c r="J108" s="250"/>
      <c r="K108" s="250"/>
      <c r="L108" s="250"/>
      <c r="M108" s="250"/>
      <c r="N108" s="250"/>
      <c r="O108" s="250"/>
      <c r="P108" s="250"/>
      <c r="Q108" s="250"/>
      <c r="R108" s="250"/>
      <c r="S108" s="250"/>
      <c r="T108" s="250"/>
      <c r="U108" s="250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</row>
    <row r="109" spans="1:42" ht="18" customHeight="1" x14ac:dyDescent="0.25">
      <c r="A109" s="250"/>
      <c r="B109" s="250"/>
      <c r="C109" s="250"/>
      <c r="D109" s="250"/>
      <c r="E109" s="250"/>
      <c r="F109" s="250"/>
      <c r="G109" s="250"/>
      <c r="H109" s="250"/>
      <c r="I109" s="250"/>
      <c r="J109" s="250"/>
      <c r="K109" s="250"/>
      <c r="L109" s="250"/>
      <c r="M109" s="250"/>
      <c r="N109" s="250"/>
      <c r="O109" s="250"/>
      <c r="P109" s="250"/>
      <c r="Q109" s="250"/>
      <c r="R109" s="250"/>
      <c r="S109" s="250"/>
      <c r="T109" s="250"/>
      <c r="U109" s="250"/>
      <c r="V109" s="250"/>
      <c r="W109" s="250"/>
      <c r="X109" s="250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  <c r="AI109" s="250"/>
      <c r="AJ109" s="250"/>
    </row>
    <row r="110" spans="1:42" ht="15.75" customHeight="1" x14ac:dyDescent="0.25">
      <c r="A110" s="250"/>
      <c r="B110" s="250"/>
      <c r="C110" s="250"/>
      <c r="D110" s="250"/>
      <c r="E110" s="250"/>
      <c r="F110" s="250"/>
      <c r="G110" s="250"/>
      <c r="H110" s="250"/>
      <c r="I110" s="250"/>
      <c r="J110" s="250"/>
      <c r="K110" s="250"/>
      <c r="L110" s="250"/>
      <c r="M110" s="250"/>
      <c r="N110" s="250"/>
      <c r="O110" s="250"/>
      <c r="P110" s="250"/>
      <c r="Q110" s="250"/>
      <c r="R110" s="250"/>
      <c r="S110" s="250"/>
      <c r="T110" s="250"/>
      <c r="U110" s="250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</row>
    <row r="111" spans="1:42" ht="21" customHeight="1" x14ac:dyDescent="0.25">
      <c r="A111" s="250"/>
      <c r="B111" s="250"/>
      <c r="C111" s="250"/>
      <c r="D111" s="250"/>
      <c r="E111" s="250"/>
      <c r="F111" s="250"/>
      <c r="G111" s="250"/>
      <c r="H111" s="250"/>
      <c r="I111" s="250"/>
      <c r="J111" s="250"/>
      <c r="K111" s="250"/>
      <c r="L111" s="250"/>
      <c r="M111" s="250"/>
      <c r="N111" s="250"/>
      <c r="O111" s="250"/>
      <c r="P111" s="250"/>
      <c r="Q111" s="250"/>
      <c r="R111" s="250"/>
      <c r="S111" s="250"/>
      <c r="T111" s="250"/>
      <c r="U111" s="250"/>
      <c r="V111" s="250"/>
      <c r="W111" s="250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  <c r="AI111" s="250"/>
      <c r="AJ111" s="250"/>
    </row>
    <row r="112" spans="1:42" x14ac:dyDescent="0.25">
      <c r="A112" s="250"/>
      <c r="B112" s="250"/>
      <c r="C112" s="250"/>
      <c r="D112" s="250"/>
      <c r="E112" s="250"/>
      <c r="F112" s="250"/>
      <c r="G112" s="250"/>
      <c r="H112" s="250"/>
      <c r="I112" s="250"/>
      <c r="J112" s="250"/>
      <c r="K112" s="250"/>
      <c r="L112" s="250"/>
      <c r="M112" s="250"/>
      <c r="N112" s="250"/>
      <c r="O112" s="250"/>
      <c r="P112" s="250"/>
      <c r="Q112" s="250"/>
      <c r="R112" s="250"/>
      <c r="S112" s="250"/>
      <c r="T112" s="250"/>
      <c r="U112" s="250"/>
      <c r="V112" s="250"/>
      <c r="W112" s="250"/>
      <c r="X112" s="250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  <c r="AI112" s="250"/>
      <c r="AJ112" s="250"/>
    </row>
    <row r="113" spans="1:37" x14ac:dyDescent="0.25">
      <c r="A113" s="250"/>
      <c r="B113" s="250"/>
      <c r="C113" s="250"/>
      <c r="D113" s="250"/>
      <c r="E113" s="250"/>
      <c r="F113" s="250"/>
      <c r="G113" s="250"/>
      <c r="H113" s="250"/>
      <c r="I113" s="250"/>
      <c r="J113" s="250"/>
      <c r="K113" s="250"/>
      <c r="L113" s="250"/>
      <c r="M113" s="250"/>
      <c r="N113" s="250"/>
      <c r="O113" s="250"/>
      <c r="P113" s="250"/>
      <c r="Q113" s="250"/>
      <c r="R113" s="250"/>
      <c r="S113" s="250"/>
      <c r="T113" s="250"/>
      <c r="U113" s="250"/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  <c r="AJ113" s="250"/>
    </row>
    <row r="114" spans="1:37" x14ac:dyDescent="0.25">
      <c r="A114" s="250"/>
      <c r="B114" s="250"/>
      <c r="C114" s="250"/>
      <c r="D114" s="250"/>
      <c r="E114" s="250"/>
      <c r="F114" s="250"/>
      <c r="G114" s="250"/>
      <c r="H114" s="250"/>
      <c r="I114" s="250"/>
      <c r="J114" s="250"/>
      <c r="K114" s="250"/>
      <c r="L114" s="250"/>
      <c r="M114" s="250"/>
      <c r="N114" s="250"/>
      <c r="O114" s="250"/>
      <c r="P114" s="250"/>
      <c r="Q114" s="250"/>
      <c r="R114" s="250"/>
      <c r="S114" s="250"/>
      <c r="T114" s="250"/>
      <c r="U114" s="250"/>
      <c r="V114" s="250"/>
      <c r="W114" s="250"/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  <c r="AI114" s="250"/>
      <c r="AJ114" s="250"/>
    </row>
    <row r="115" spans="1:37" x14ac:dyDescent="0.25">
      <c r="A115" s="250"/>
      <c r="B115" s="250"/>
      <c r="C115" s="250"/>
      <c r="D115" s="250"/>
      <c r="E115" s="250"/>
      <c r="F115" s="250"/>
      <c r="G115" s="250"/>
      <c r="H115" s="250"/>
      <c r="I115" s="250"/>
      <c r="J115" s="250"/>
      <c r="K115" s="250"/>
      <c r="L115" s="250"/>
      <c r="M115" s="250"/>
      <c r="N115" s="250"/>
      <c r="O115" s="250"/>
      <c r="P115" s="250"/>
      <c r="Q115" s="250"/>
      <c r="R115" s="250"/>
      <c r="S115" s="250"/>
      <c r="T115" s="250"/>
      <c r="U115" s="250"/>
      <c r="V115" s="250"/>
      <c r="W115" s="250"/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  <c r="AJ115" s="250"/>
    </row>
    <row r="116" spans="1:37" x14ac:dyDescent="0.25">
      <c r="A116" s="250"/>
      <c r="B116" s="250"/>
      <c r="C116" s="250"/>
      <c r="D116" s="250"/>
      <c r="E116" s="250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  <c r="Q116" s="250"/>
      <c r="R116" s="250"/>
      <c r="S116" s="250"/>
      <c r="T116" s="250"/>
      <c r="U116" s="250"/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  <c r="AJ116" s="250"/>
    </row>
    <row r="117" spans="1:37" x14ac:dyDescent="0.25">
      <c r="A117" s="250" t="s">
        <v>180</v>
      </c>
      <c r="B117" s="250"/>
      <c r="C117" s="250"/>
      <c r="D117" s="250"/>
      <c r="E117" s="250"/>
      <c r="F117" s="250"/>
      <c r="G117" s="250"/>
      <c r="H117" s="250"/>
      <c r="I117" s="250"/>
      <c r="J117" s="250"/>
      <c r="K117" s="250"/>
      <c r="L117" s="250"/>
      <c r="M117" s="250"/>
      <c r="N117" s="250"/>
      <c r="O117" s="250"/>
      <c r="P117" s="250"/>
      <c r="Q117" s="250"/>
      <c r="R117" s="250"/>
      <c r="S117" s="250"/>
      <c r="T117" s="250"/>
      <c r="U117" s="250"/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  <c r="AI117" s="250"/>
      <c r="AJ117" s="250"/>
      <c r="AK117" s="250"/>
    </row>
    <row r="118" spans="1:37" x14ac:dyDescent="0.25">
      <c r="A118" s="250"/>
      <c r="B118" s="250"/>
      <c r="C118" s="250"/>
      <c r="D118" s="250"/>
      <c r="E118" s="250"/>
      <c r="F118" s="250"/>
      <c r="G118" s="250"/>
      <c r="H118" s="250"/>
      <c r="I118" s="250"/>
      <c r="J118" s="250"/>
      <c r="K118" s="250"/>
      <c r="L118" s="250"/>
      <c r="M118" s="250"/>
      <c r="N118" s="250"/>
      <c r="O118" s="250"/>
      <c r="P118" s="250"/>
      <c r="Q118" s="250"/>
      <c r="R118" s="250"/>
      <c r="S118" s="250"/>
      <c r="T118" s="250"/>
      <c r="U118" s="250"/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  <c r="AI118" s="250"/>
      <c r="AJ118" s="250"/>
      <c r="AK118" s="250"/>
    </row>
    <row r="119" spans="1:37" x14ac:dyDescent="0.25">
      <c r="A119" s="250"/>
      <c r="B119" s="250"/>
      <c r="C119" s="250"/>
      <c r="D119" s="250"/>
      <c r="E119" s="250"/>
      <c r="F119" s="250"/>
      <c r="G119" s="250"/>
      <c r="H119" s="250"/>
      <c r="I119" s="250"/>
      <c r="J119" s="250"/>
      <c r="K119" s="250"/>
      <c r="L119" s="250"/>
      <c r="M119" s="250"/>
      <c r="N119" s="250"/>
      <c r="O119" s="250"/>
      <c r="P119" s="250"/>
      <c r="Q119" s="250"/>
      <c r="R119" s="250"/>
      <c r="S119" s="250"/>
      <c r="T119" s="250"/>
      <c r="U119" s="250"/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  <c r="AI119" s="250"/>
      <c r="AJ119" s="250"/>
      <c r="AK119" s="250"/>
    </row>
    <row r="120" spans="1:37" x14ac:dyDescent="0.25">
      <c r="A120" s="250"/>
      <c r="B120" s="250"/>
      <c r="C120" s="250"/>
      <c r="D120" s="250"/>
      <c r="E120" s="250"/>
      <c r="F120" s="250"/>
      <c r="G120" s="250"/>
      <c r="H120" s="250"/>
      <c r="I120" s="250"/>
      <c r="J120" s="250"/>
      <c r="K120" s="250"/>
      <c r="L120" s="250"/>
      <c r="M120" s="250"/>
      <c r="N120" s="250"/>
      <c r="O120" s="250"/>
      <c r="P120" s="250"/>
      <c r="Q120" s="250"/>
      <c r="R120" s="250"/>
      <c r="S120" s="250"/>
      <c r="T120" s="250"/>
      <c r="U120" s="250"/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  <c r="AI120" s="250"/>
      <c r="AJ120" s="250"/>
      <c r="AK120" s="250"/>
    </row>
  </sheetData>
  <mergeCells count="73">
    <mergeCell ref="BD4:BD5"/>
    <mergeCell ref="BE4:BE5"/>
    <mergeCell ref="AQ4:AQ5"/>
    <mergeCell ref="AR4:AR5"/>
    <mergeCell ref="AT4:AT5"/>
    <mergeCell ref="AU4:AU5"/>
    <mergeCell ref="AX4:AX5"/>
    <mergeCell ref="AY4:AY5"/>
    <mergeCell ref="AZ4:AZ5"/>
    <mergeCell ref="BA4:BA5"/>
    <mergeCell ref="BB4:BB5"/>
    <mergeCell ref="AV4:AV5"/>
    <mergeCell ref="AW4:AW5"/>
    <mergeCell ref="BC4:BC5"/>
    <mergeCell ref="H4:I4"/>
    <mergeCell ref="J4:K4"/>
    <mergeCell ref="L4:M4"/>
    <mergeCell ref="AB4:AB5"/>
    <mergeCell ref="AC4:AC5"/>
    <mergeCell ref="Y4:Y5"/>
    <mergeCell ref="AD4:AD5"/>
    <mergeCell ref="AE4:AE5"/>
    <mergeCell ref="T4:U4"/>
    <mergeCell ref="A87:A88"/>
    <mergeCell ref="B87:B88"/>
    <mergeCell ref="C87:C88"/>
    <mergeCell ref="D87:D88"/>
    <mergeCell ref="E87:E88"/>
    <mergeCell ref="F87:F88"/>
    <mergeCell ref="G87:G88"/>
    <mergeCell ref="H71:H72"/>
    <mergeCell ref="G4:G5"/>
    <mergeCell ref="N4:O4"/>
    <mergeCell ref="P4:Q4"/>
    <mergeCell ref="V4:W4"/>
    <mergeCell ref="X4:X5"/>
    <mergeCell ref="BB49:BB50"/>
    <mergeCell ref="BC49:BC50"/>
    <mergeCell ref="A71:A72"/>
    <mergeCell ref="B71:B72"/>
    <mergeCell ref="C71:C72"/>
    <mergeCell ref="D71:D72"/>
    <mergeCell ref="E71:E72"/>
    <mergeCell ref="F71:F72"/>
    <mergeCell ref="G71:G72"/>
    <mergeCell ref="G49:G50"/>
    <mergeCell ref="A49:A50"/>
    <mergeCell ref="B49:B50"/>
    <mergeCell ref="C49:C50"/>
    <mergeCell ref="D49:D50"/>
    <mergeCell ref="E49:E50"/>
    <mergeCell ref="F49:F50"/>
    <mergeCell ref="A4:A5"/>
    <mergeCell ref="B4:B5"/>
    <mergeCell ref="C4:C5"/>
    <mergeCell ref="D4:D5"/>
    <mergeCell ref="E4:E5"/>
    <mergeCell ref="F4:F5"/>
    <mergeCell ref="R4:S4"/>
    <mergeCell ref="AO4:AO5"/>
    <mergeCell ref="AP4:AP5"/>
    <mergeCell ref="AS4:AS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Z4:Z5"/>
    <mergeCell ref="AA4:AA5"/>
  </mergeCells>
  <pageMargins left="0.27559055118110237" right="0.19685039370078741" top="0.15748031496062992" bottom="0.9055118110236221" header="0.15748031496062992" footer="0.31496062992125984"/>
  <pageSetup paperSize="9" scale="74" orientation="landscape" horizontalDpi="180" verticalDpi="180" r:id="rId1"/>
  <rowBreaks count="1" manualBreakCount="1">
    <brk id="41" max="56" man="1"/>
  </rowBreaks>
  <colBreaks count="1" manualBreakCount="1">
    <brk id="36" max="104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7"/>
  <sheetViews>
    <sheetView topLeftCell="A52" zoomScaleNormal="100" workbookViewId="0">
      <selection activeCell="Y90" sqref="Y90"/>
    </sheetView>
  </sheetViews>
  <sheetFormatPr defaultRowHeight="15.75" x14ac:dyDescent="0.25"/>
  <cols>
    <col min="1" max="1" width="4.28515625" customWidth="1"/>
    <col min="2" max="2" width="32.42578125" customWidth="1"/>
    <col min="3" max="3" width="9.28515625" hidden="1" customWidth="1"/>
    <col min="4" max="4" width="10.28515625" hidden="1" customWidth="1"/>
    <col min="5" max="5" width="7.140625" hidden="1" customWidth="1"/>
    <col min="6" max="6" width="8.140625" hidden="1" customWidth="1"/>
    <col min="7" max="7" width="11.28515625" customWidth="1"/>
    <col min="8" max="8" width="11.28515625" hidden="1" customWidth="1"/>
    <col min="9" max="13" width="12.7109375" hidden="1" customWidth="1"/>
    <col min="14" max="14" width="13.28515625" customWidth="1"/>
    <col min="15" max="15" width="12.7109375" customWidth="1"/>
    <col min="16" max="19" width="11.85546875" hidden="1" customWidth="1"/>
    <col min="20" max="20" width="11.140625" customWidth="1"/>
    <col min="21" max="24" width="11" customWidth="1"/>
    <col min="25" max="26" width="11.7109375" customWidth="1"/>
    <col min="27" max="27" width="12.42578125" customWidth="1"/>
    <col min="28" max="28" width="11.42578125" customWidth="1"/>
    <col min="29" max="29" width="10.42578125" customWidth="1"/>
    <col min="30" max="30" width="12.5703125" customWidth="1"/>
    <col min="31" max="31" width="12.42578125" customWidth="1"/>
    <col min="32" max="32" width="11.140625" customWidth="1"/>
    <col min="33" max="33" width="11.28515625" customWidth="1"/>
    <col min="34" max="34" width="13" customWidth="1"/>
    <col min="35" max="35" width="12" customWidth="1"/>
    <col min="36" max="36" width="12.28515625" customWidth="1"/>
    <col min="37" max="37" width="12" customWidth="1"/>
    <col min="38" max="38" width="12.28515625" customWidth="1"/>
    <col min="39" max="42" width="10.28515625" customWidth="1"/>
    <col min="43" max="43" width="11.5703125" customWidth="1"/>
    <col min="44" max="44" width="11.42578125" customWidth="1"/>
    <col min="45" max="45" width="11.85546875" customWidth="1"/>
    <col min="46" max="46" width="10.5703125" customWidth="1"/>
    <col min="47" max="47" width="11.140625" customWidth="1"/>
    <col min="48" max="48" width="10.28515625" customWidth="1"/>
    <col min="49" max="49" width="11.140625" customWidth="1"/>
    <col min="50" max="50" width="11.7109375" customWidth="1"/>
    <col min="51" max="51" width="9.28515625" customWidth="1"/>
    <col min="52" max="53" width="10.7109375" customWidth="1"/>
    <col min="54" max="54" width="10.7109375" hidden="1" customWidth="1"/>
    <col min="55" max="56" width="10.7109375" customWidth="1"/>
    <col min="57" max="57" width="11.28515625" customWidth="1"/>
    <col min="58" max="58" width="12" customWidth="1"/>
    <col min="59" max="59" width="11.5703125" customWidth="1"/>
    <col min="60" max="60" width="10.42578125" customWidth="1"/>
    <col min="61" max="61" width="11.140625" style="40" customWidth="1"/>
    <col min="62" max="62" width="12.5703125" customWidth="1"/>
  </cols>
  <sheetData>
    <row r="1" spans="1:62" ht="18.75" x14ac:dyDescent="0.3">
      <c r="B1" s="74" t="s">
        <v>799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1"/>
      <c r="AK1" s="1"/>
    </row>
    <row r="2" spans="1:62" ht="18" x14ac:dyDescent="0.25">
      <c r="A2" s="17"/>
      <c r="B2" s="1"/>
      <c r="C2" s="58"/>
      <c r="D2" s="1"/>
      <c r="E2" s="1"/>
      <c r="F2" s="61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62" ht="18" x14ac:dyDescent="0.25">
      <c r="A3" s="1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Y3" s="250"/>
      <c r="AZ3" s="250"/>
    </row>
    <row r="4" spans="1:62" ht="31.5" customHeight="1" x14ac:dyDescent="0.25">
      <c r="A4" s="2020" t="s">
        <v>0</v>
      </c>
      <c r="B4" s="2020" t="s">
        <v>184</v>
      </c>
      <c r="C4" s="2020" t="s">
        <v>54</v>
      </c>
      <c r="D4" s="2020" t="s">
        <v>55</v>
      </c>
      <c r="E4" s="2020" t="s">
        <v>56</v>
      </c>
      <c r="F4" s="2020" t="s">
        <v>57</v>
      </c>
      <c r="G4" s="2241" t="s">
        <v>6</v>
      </c>
      <c r="H4" s="1991" t="s">
        <v>290</v>
      </c>
      <c r="I4" s="1992"/>
      <c r="J4" s="1991" t="s">
        <v>874</v>
      </c>
      <c r="K4" s="1992"/>
      <c r="L4" s="2175" t="s">
        <v>875</v>
      </c>
      <c r="M4" s="2176"/>
      <c r="N4" s="1991" t="s">
        <v>656</v>
      </c>
      <c r="O4" s="1992"/>
      <c r="P4" s="1991" t="s">
        <v>874</v>
      </c>
      <c r="Q4" s="1992"/>
      <c r="R4" s="2175" t="s">
        <v>876</v>
      </c>
      <c r="S4" s="2176"/>
      <c r="T4" s="2214" t="s">
        <v>658</v>
      </c>
      <c r="U4" s="2215"/>
      <c r="V4" s="1991" t="s">
        <v>874</v>
      </c>
      <c r="W4" s="1992"/>
      <c r="X4" s="2175" t="s">
        <v>877</v>
      </c>
      <c r="Y4" s="2176"/>
      <c r="Z4" s="1991" t="s">
        <v>310</v>
      </c>
      <c r="AA4" s="1992"/>
      <c r="AB4" s="1991" t="s">
        <v>878</v>
      </c>
      <c r="AC4" s="1992"/>
      <c r="AD4" s="2175" t="s">
        <v>879</v>
      </c>
      <c r="AE4" s="2176"/>
      <c r="AF4" s="2224" t="s">
        <v>593</v>
      </c>
      <c r="AG4" s="2225"/>
      <c r="AH4" s="1989" t="s">
        <v>745</v>
      </c>
      <c r="AI4" s="1990"/>
      <c r="AJ4" s="2247" t="s">
        <v>747</v>
      </c>
      <c r="AK4" s="2041" t="s">
        <v>370</v>
      </c>
      <c r="AL4" s="2041" t="s">
        <v>333</v>
      </c>
      <c r="AM4" s="2132" t="s">
        <v>331</v>
      </c>
      <c r="AN4" s="2132" t="s">
        <v>337</v>
      </c>
      <c r="AO4" s="2132" t="s">
        <v>10</v>
      </c>
      <c r="AP4" s="2132" t="s">
        <v>578</v>
      </c>
      <c r="AQ4" s="2132" t="s">
        <v>586</v>
      </c>
      <c r="AR4" s="2181" t="s">
        <v>503</v>
      </c>
      <c r="AS4" s="2071" t="s">
        <v>316</v>
      </c>
      <c r="AT4" s="2071" t="s">
        <v>369</v>
      </c>
      <c r="AU4" s="2049" t="s">
        <v>844</v>
      </c>
      <c r="AV4" s="2049" t="s">
        <v>640</v>
      </c>
      <c r="AW4" s="2049" t="s">
        <v>845</v>
      </c>
      <c r="AX4" s="2247" t="s">
        <v>688</v>
      </c>
      <c r="AY4" s="2071" t="s">
        <v>727</v>
      </c>
      <c r="AZ4" s="2071" t="s">
        <v>690</v>
      </c>
      <c r="BA4" s="2049" t="s">
        <v>854</v>
      </c>
      <c r="BB4" s="2049"/>
      <c r="BC4" s="2247" t="s">
        <v>692</v>
      </c>
      <c r="BD4" s="2041" t="s">
        <v>656</v>
      </c>
      <c r="BE4" s="2041" t="s">
        <v>694</v>
      </c>
      <c r="BF4" s="2041" t="s">
        <v>735</v>
      </c>
      <c r="BG4" s="2134" t="s">
        <v>724</v>
      </c>
      <c r="BH4" s="2043" t="s">
        <v>182</v>
      </c>
      <c r="BI4" s="2043" t="s">
        <v>736</v>
      </c>
      <c r="BJ4" s="2045" t="s">
        <v>715</v>
      </c>
    </row>
    <row r="5" spans="1:62" ht="69.75" customHeight="1" x14ac:dyDescent="0.25">
      <c r="A5" s="2021"/>
      <c r="B5" s="2021"/>
      <c r="C5" s="2021"/>
      <c r="D5" s="2021"/>
      <c r="E5" s="2021"/>
      <c r="F5" s="2021"/>
      <c r="G5" s="2242"/>
      <c r="H5" s="150" t="s">
        <v>15</v>
      </c>
      <c r="I5" s="1723" t="s">
        <v>16</v>
      </c>
      <c r="J5" s="150" t="s">
        <v>15</v>
      </c>
      <c r="K5" s="1883" t="s">
        <v>16</v>
      </c>
      <c r="L5" s="150" t="s">
        <v>15</v>
      </c>
      <c r="M5" s="1883" t="s">
        <v>16</v>
      </c>
      <c r="N5" s="150" t="s">
        <v>15</v>
      </c>
      <c r="O5" s="1666" t="s">
        <v>16</v>
      </c>
      <c r="P5" s="150" t="s">
        <v>15</v>
      </c>
      <c r="Q5" s="1883" t="s">
        <v>16</v>
      </c>
      <c r="R5" s="1643" t="s">
        <v>15</v>
      </c>
      <c r="S5" s="1644" t="s">
        <v>16</v>
      </c>
      <c r="T5" s="150" t="s">
        <v>15</v>
      </c>
      <c r="U5" s="1666" t="s">
        <v>16</v>
      </c>
      <c r="V5" s="150" t="s">
        <v>15</v>
      </c>
      <c r="W5" s="1886" t="s">
        <v>16</v>
      </c>
      <c r="X5" s="150" t="s">
        <v>15</v>
      </c>
      <c r="Y5" s="1886" t="s">
        <v>16</v>
      </c>
      <c r="Z5" s="150" t="s">
        <v>15</v>
      </c>
      <c r="AA5" s="1666" t="s">
        <v>16</v>
      </c>
      <c r="AB5" s="150" t="s">
        <v>15</v>
      </c>
      <c r="AC5" s="1886" t="s">
        <v>16</v>
      </c>
      <c r="AD5" s="1643" t="s">
        <v>15</v>
      </c>
      <c r="AE5" s="1644" t="s">
        <v>16</v>
      </c>
      <c r="AF5" s="1643" t="s">
        <v>15</v>
      </c>
      <c r="AG5" s="1644" t="s">
        <v>16</v>
      </c>
      <c r="AH5" s="150" t="s">
        <v>15</v>
      </c>
      <c r="AI5" s="1666" t="s">
        <v>16</v>
      </c>
      <c r="AJ5" s="2248"/>
      <c r="AK5" s="2042"/>
      <c r="AL5" s="2042"/>
      <c r="AM5" s="2133"/>
      <c r="AN5" s="2133"/>
      <c r="AO5" s="2133"/>
      <c r="AP5" s="2133"/>
      <c r="AQ5" s="2133"/>
      <c r="AR5" s="2181"/>
      <c r="AS5" s="2071"/>
      <c r="AT5" s="2182"/>
      <c r="AU5" s="2050"/>
      <c r="AV5" s="2050"/>
      <c r="AW5" s="2050"/>
      <c r="AX5" s="2248"/>
      <c r="AY5" s="2071"/>
      <c r="AZ5" s="2071"/>
      <c r="BA5" s="2050"/>
      <c r="BB5" s="2050"/>
      <c r="BC5" s="2248"/>
      <c r="BD5" s="2042"/>
      <c r="BE5" s="2042"/>
      <c r="BF5" s="2042"/>
      <c r="BG5" s="2135"/>
      <c r="BH5" s="2044"/>
      <c r="BI5" s="2044"/>
      <c r="BJ5" s="2046"/>
    </row>
    <row r="6" spans="1:62" s="124" customFormat="1" ht="15" x14ac:dyDescent="0.25">
      <c r="A6" s="112">
        <v>1</v>
      </c>
      <c r="B6" s="1350" t="s">
        <v>90</v>
      </c>
      <c r="C6" s="702">
        <v>1967</v>
      </c>
      <c r="D6" s="702">
        <v>1</v>
      </c>
      <c r="E6" s="702">
        <v>2</v>
      </c>
      <c r="F6" s="349">
        <v>2</v>
      </c>
      <c r="G6" s="728">
        <v>34.9</v>
      </c>
      <c r="H6" s="728"/>
      <c r="I6" s="728"/>
      <c r="J6" s="728"/>
      <c r="K6" s="728"/>
      <c r="L6" s="728">
        <f>H6+J6</f>
        <v>0</v>
      </c>
      <c r="M6" s="728">
        <f>I6+K6</f>
        <v>0</v>
      </c>
      <c r="N6" s="728">
        <v>33.479999999999997</v>
      </c>
      <c r="O6" s="728">
        <v>39.06</v>
      </c>
      <c r="P6" s="728"/>
      <c r="Q6" s="728"/>
      <c r="R6" s="728">
        <f>N6+P6</f>
        <v>33.479999999999997</v>
      </c>
      <c r="S6" s="728">
        <f>O6+Q6</f>
        <v>39.06</v>
      </c>
      <c r="T6" s="728">
        <v>372.72</v>
      </c>
      <c r="U6" s="728">
        <v>434.84</v>
      </c>
      <c r="V6" s="728"/>
      <c r="W6" s="728"/>
      <c r="X6" s="728">
        <f>T6+V6</f>
        <v>372.72</v>
      </c>
      <c r="Y6" s="728">
        <f>U6+W6</f>
        <v>434.84</v>
      </c>
      <c r="Z6" s="728">
        <v>4070.7</v>
      </c>
      <c r="AA6" s="728">
        <v>3983.45</v>
      </c>
      <c r="AB6" s="728"/>
      <c r="AC6" s="728"/>
      <c r="AD6" s="728">
        <f>Z6+AB6</f>
        <v>4070.7</v>
      </c>
      <c r="AE6" s="728">
        <f>AA6+AC6</f>
        <v>3983.45</v>
      </c>
      <c r="AF6" s="728">
        <v>0</v>
      </c>
      <c r="AG6" s="728">
        <v>0</v>
      </c>
      <c r="AH6" s="728">
        <f>L6+R6+X6+AD6+AF6</f>
        <v>4476.8999999999996</v>
      </c>
      <c r="AI6" s="728">
        <f>M6+S6+Y6+AE6+AG6</f>
        <v>4457.3499999999995</v>
      </c>
      <c r="AJ6" s="1902">
        <f>AX6+BC6+BD6+BE6</f>
        <v>2941.4341997766746</v>
      </c>
      <c r="AK6" s="730"/>
      <c r="AL6" s="730">
        <f>17107.61/15537.85*G6</f>
        <v>38.425881894856751</v>
      </c>
      <c r="AM6" s="731">
        <f>1425/15537.85*G6</f>
        <v>3.2007324050624759</v>
      </c>
      <c r="AN6" s="731"/>
      <c r="AO6" s="731"/>
      <c r="AP6" s="731">
        <f>7978.56/15537.85*G6</f>
        <v>17.920867044024753</v>
      </c>
      <c r="AQ6" s="731">
        <f>1000/15537.85*G6</f>
        <v>2.2461280035526152</v>
      </c>
      <c r="AR6" s="732">
        <f>54851.86/15537.85*G6</f>
        <v>123.20429879294753</v>
      </c>
      <c r="AS6" s="730">
        <f>563468.86/15537.85*G6</f>
        <v>1265.6231855758679</v>
      </c>
      <c r="AT6" s="730">
        <f>313147.39/15537.85*G6</f>
        <v>703.36912191841213</v>
      </c>
      <c r="AU6" s="733">
        <f>2950/15537.85*G6</f>
        <v>6.6260776104802144</v>
      </c>
      <c r="AV6" s="733"/>
      <c r="AW6" s="733"/>
      <c r="AX6" s="1899">
        <f>AW6+AV6+AU6+AT6+AS6+AR6+AQ6+AP6+AO6+AN6+AM6+AL6+AK6</f>
        <v>2160.6162932452048</v>
      </c>
      <c r="AY6" s="467"/>
      <c r="AZ6" s="467"/>
      <c r="BA6" s="1515"/>
      <c r="BB6" s="1515"/>
      <c r="BC6" s="1901">
        <f>BB6+BA6+AZ6+AY6</f>
        <v>0</v>
      </c>
      <c r="BD6" s="1513">
        <f>24976.1/15537.85*G6</f>
        <v>56.099517629530467</v>
      </c>
      <c r="BE6" s="625">
        <f>322652.31/15537.85*G6</f>
        <v>724.71838890193942</v>
      </c>
      <c r="BF6" s="1513">
        <f>AH6-AJ6</f>
        <v>1535.465800223325</v>
      </c>
      <c r="BG6" s="1502">
        <f>AI6/AH6*100</f>
        <v>99.563313900243472</v>
      </c>
      <c r="BH6" s="1513">
        <f>AJ6/G6/12</f>
        <v>7.0234818523798346</v>
      </c>
      <c r="BI6" s="1521">
        <f>AH6-AI6</f>
        <v>19.550000000000182</v>
      </c>
      <c r="BJ6" s="1521">
        <v>10.97</v>
      </c>
    </row>
    <row r="7" spans="1:62" s="124" customFormat="1" ht="15" x14ac:dyDescent="0.25">
      <c r="A7" s="6">
        <v>2</v>
      </c>
      <c r="B7" s="1320" t="s">
        <v>91</v>
      </c>
      <c r="C7" s="737">
        <v>1962</v>
      </c>
      <c r="D7" s="737">
        <v>1</v>
      </c>
      <c r="E7" s="737">
        <v>2</v>
      </c>
      <c r="F7" s="708">
        <v>5</v>
      </c>
      <c r="G7" s="738">
        <v>72.599999999999994</v>
      </c>
      <c r="H7" s="738"/>
      <c r="I7" s="738"/>
      <c r="J7" s="738"/>
      <c r="K7" s="738"/>
      <c r="L7" s="728">
        <f t="shared" ref="L7:L39" si="0">H7+J7</f>
        <v>0</v>
      </c>
      <c r="M7" s="728">
        <f t="shared" ref="M7:M39" si="1">I7+K7</f>
        <v>0</v>
      </c>
      <c r="N7" s="738">
        <f>34.68</f>
        <v>34.68</v>
      </c>
      <c r="O7" s="738">
        <v>47.42</v>
      </c>
      <c r="P7" s="738">
        <v>35.04</v>
      </c>
      <c r="Q7" s="738">
        <v>35.04</v>
      </c>
      <c r="R7" s="728">
        <f t="shared" ref="R7:R39" si="2">N7+P7</f>
        <v>69.72</v>
      </c>
      <c r="S7" s="728">
        <f t="shared" ref="S7:S39" si="3">O7+Q7</f>
        <v>82.460000000000008</v>
      </c>
      <c r="T7" s="738">
        <f>454.91</f>
        <v>454.91</v>
      </c>
      <c r="U7" s="738">
        <v>527.22</v>
      </c>
      <c r="V7" s="738">
        <v>320.47000000000003</v>
      </c>
      <c r="W7" s="738">
        <v>320.47000000000003</v>
      </c>
      <c r="X7" s="728">
        <f t="shared" ref="X7:X39" si="4">T7+V7</f>
        <v>775.38000000000011</v>
      </c>
      <c r="Y7" s="728">
        <f t="shared" ref="Y7:Y39" si="5">U7+W7</f>
        <v>847.69</v>
      </c>
      <c r="Z7" s="738">
        <f>6613.2</f>
        <v>6613.2</v>
      </c>
      <c r="AA7" s="738">
        <v>5066.62</v>
      </c>
      <c r="AB7" s="738">
        <v>1854.96</v>
      </c>
      <c r="AC7" s="738">
        <v>1854.96</v>
      </c>
      <c r="AD7" s="728">
        <f t="shared" ref="AD7:AD39" si="6">Z7+AB7</f>
        <v>8468.16</v>
      </c>
      <c r="AE7" s="728">
        <f t="shared" ref="AE7:AE39" si="7">AA7+AC7</f>
        <v>6921.58</v>
      </c>
      <c r="AF7" s="738">
        <v>0</v>
      </c>
      <c r="AG7" s="738">
        <v>0</v>
      </c>
      <c r="AH7" s="728">
        <f t="shared" ref="AH7:AH39" si="8">L7+R7+X7+AD7+AF7</f>
        <v>9313.26</v>
      </c>
      <c r="AI7" s="728">
        <f t="shared" ref="AI7:AI39" si="9">M7+S7+Y7+AE7+AG7</f>
        <v>7851.73</v>
      </c>
      <c r="AJ7" s="1902">
        <f t="shared" ref="AJ7:AJ39" si="10">AX7+BC7+BD7+BE7</f>
        <v>6118.8573897933102</v>
      </c>
      <c r="AK7" s="730"/>
      <c r="AL7" s="730">
        <f t="shared" ref="AL7:AL39" si="11">17107.61/15537.85*G7</f>
        <v>79.934642566378216</v>
      </c>
      <c r="AM7" s="731">
        <f t="shared" ref="AM7:AM39" si="12">1425/15537.85*G7</f>
        <v>6.6582570947717983</v>
      </c>
      <c r="AN7" s="731"/>
      <c r="AO7" s="731"/>
      <c r="AP7" s="731">
        <f t="shared" ref="AP7:AP39" si="13">7978.56/15537.85*G7</f>
        <v>37.279511386710517</v>
      </c>
      <c r="AQ7" s="731">
        <f t="shared" ref="AQ7:AQ39" si="14">1000/15537.85*G7</f>
        <v>4.672461119138104</v>
      </c>
      <c r="AR7" s="732">
        <f t="shared" ref="AR7:AR39" si="15">54851.86/15537.85*G7</f>
        <v>256.29318316240659</v>
      </c>
      <c r="AS7" s="730">
        <f t="shared" ref="AS7:AS39" si="16">563468.86/15537.85*G7</f>
        <v>2632.7863401950717</v>
      </c>
      <c r="AT7" s="730">
        <f t="shared" ref="AT7:AT39" si="17">313147.39/15537.85*G7</f>
        <v>1463.1690043345766</v>
      </c>
      <c r="AU7" s="733">
        <f t="shared" ref="AU7:AU39" si="18">2950/15537.85*G7</f>
        <v>13.783760301457407</v>
      </c>
      <c r="AV7" s="733"/>
      <c r="AW7" s="733"/>
      <c r="AX7" s="1899">
        <f t="shared" ref="AX7:AX39" si="19">AW7+AV7+AU7+AT7+AS7+AR7+AQ7+AP7+AO7+AN7+AM7+AL7+AK7</f>
        <v>4494.5771601605111</v>
      </c>
      <c r="AY7" s="467"/>
      <c r="AZ7" s="467"/>
      <c r="BA7" s="1515"/>
      <c r="BB7" s="1515"/>
      <c r="BC7" s="1901">
        <f t="shared" ref="BC7:BC39" si="20">BB7+BA7+AZ7+AY7</f>
        <v>0</v>
      </c>
      <c r="BD7" s="1513">
        <f t="shared" ref="BD7:BD39" si="21">24976.1/15537.85*G7</f>
        <v>116.6998561577052</v>
      </c>
      <c r="BE7" s="625">
        <f t="shared" ref="BE7:BE39" si="22">322652.31/15537.85*G7</f>
        <v>1507.5803734750946</v>
      </c>
      <c r="BF7" s="1513">
        <f t="shared" ref="BF7:BF40" si="23">AH7-AJ7</f>
        <v>3194.40261020669</v>
      </c>
      <c r="BG7" s="1502">
        <f t="shared" ref="BG7:BG40" si="24">AI7/AH7*100</f>
        <v>84.306998838215605</v>
      </c>
      <c r="BH7" s="1513">
        <f t="shared" ref="BH7:BH40" si="25">AJ7/G7/12</f>
        <v>7.0234818523798337</v>
      </c>
      <c r="BI7" s="1521">
        <f t="shared" ref="BI7:BI40" si="26">AH7-AI7</f>
        <v>1461.5300000000007</v>
      </c>
      <c r="BJ7" s="1521">
        <v>10.97</v>
      </c>
    </row>
    <row r="8" spans="1:62" s="124" customFormat="1" ht="15" x14ac:dyDescent="0.25">
      <c r="A8" s="6">
        <v>3</v>
      </c>
      <c r="B8" s="1320" t="s">
        <v>666</v>
      </c>
      <c r="C8" s="737">
        <v>1983</v>
      </c>
      <c r="D8" s="737">
        <v>1</v>
      </c>
      <c r="E8" s="737">
        <v>2</v>
      </c>
      <c r="F8" s="349">
        <v>4</v>
      </c>
      <c r="G8" s="738">
        <v>80</v>
      </c>
      <c r="H8" s="738"/>
      <c r="I8" s="738"/>
      <c r="J8" s="738"/>
      <c r="K8" s="738"/>
      <c r="L8" s="728">
        <f t="shared" si="0"/>
        <v>0</v>
      </c>
      <c r="M8" s="728">
        <f t="shared" si="1"/>
        <v>0</v>
      </c>
      <c r="N8" s="738">
        <v>9.9</v>
      </c>
      <c r="O8" s="738">
        <v>6.45</v>
      </c>
      <c r="P8" s="738"/>
      <c r="Q8" s="738"/>
      <c r="R8" s="728">
        <f t="shared" si="2"/>
        <v>9.9</v>
      </c>
      <c r="S8" s="728">
        <f t="shared" si="3"/>
        <v>6.45</v>
      </c>
      <c r="T8" s="738">
        <v>110.16</v>
      </c>
      <c r="U8" s="738">
        <v>71.73</v>
      </c>
      <c r="V8" s="738"/>
      <c r="W8" s="738"/>
      <c r="X8" s="728">
        <f t="shared" si="4"/>
        <v>110.16</v>
      </c>
      <c r="Y8" s="728">
        <f t="shared" si="5"/>
        <v>71.73</v>
      </c>
      <c r="Z8" s="738">
        <v>524.20000000000005</v>
      </c>
      <c r="AA8" s="738">
        <v>341.34</v>
      </c>
      <c r="AB8" s="738"/>
      <c r="AC8" s="738"/>
      <c r="AD8" s="728">
        <f t="shared" si="6"/>
        <v>524.20000000000005</v>
      </c>
      <c r="AE8" s="728">
        <f t="shared" si="7"/>
        <v>341.34</v>
      </c>
      <c r="AF8" s="738">
        <v>0</v>
      </c>
      <c r="AG8" s="738">
        <v>0</v>
      </c>
      <c r="AH8" s="728">
        <f t="shared" si="8"/>
        <v>644.26</v>
      </c>
      <c r="AI8" s="728">
        <f t="shared" si="9"/>
        <v>419.52</v>
      </c>
      <c r="AJ8" s="1902">
        <f t="shared" si="10"/>
        <v>6742.5425782846405</v>
      </c>
      <c r="AK8" s="730"/>
      <c r="AL8" s="730">
        <f t="shared" si="11"/>
        <v>88.082250761849281</v>
      </c>
      <c r="AM8" s="731">
        <f t="shared" si="12"/>
        <v>7.3369224184813211</v>
      </c>
      <c r="AN8" s="731"/>
      <c r="AO8" s="731"/>
      <c r="AP8" s="731">
        <f t="shared" si="13"/>
        <v>41.079351390314621</v>
      </c>
      <c r="AQ8" s="731">
        <f t="shared" si="14"/>
        <v>5.1487174866535588</v>
      </c>
      <c r="AR8" s="732">
        <f t="shared" si="15"/>
        <v>282.41673075747286</v>
      </c>
      <c r="AS8" s="730">
        <f t="shared" si="16"/>
        <v>2901.1419726667459</v>
      </c>
      <c r="AT8" s="730">
        <f t="shared" si="17"/>
        <v>1612.3074427929218</v>
      </c>
      <c r="AU8" s="733">
        <f t="shared" si="18"/>
        <v>15.188716585627999</v>
      </c>
      <c r="AV8" s="733"/>
      <c r="AW8" s="733"/>
      <c r="AX8" s="1899">
        <f t="shared" si="19"/>
        <v>4952.7021048600673</v>
      </c>
      <c r="AY8" s="467"/>
      <c r="AZ8" s="467"/>
      <c r="BA8" s="1515"/>
      <c r="BB8" s="1515"/>
      <c r="BC8" s="1901">
        <f t="shared" si="20"/>
        <v>0</v>
      </c>
      <c r="BD8" s="1513">
        <f t="shared" si="21"/>
        <v>128.59488281840794</v>
      </c>
      <c r="BE8" s="625">
        <f t="shared" si="22"/>
        <v>1661.245590606165</v>
      </c>
      <c r="BF8" s="1513">
        <f t="shared" si="23"/>
        <v>-6098.2825782846403</v>
      </c>
      <c r="BG8" s="1502">
        <f t="shared" si="24"/>
        <v>65.116567845279846</v>
      </c>
      <c r="BH8" s="1513">
        <f t="shared" si="25"/>
        <v>7.0234818523798337</v>
      </c>
      <c r="BI8" s="1521">
        <f t="shared" si="26"/>
        <v>224.74</v>
      </c>
      <c r="BJ8" s="1521"/>
    </row>
    <row r="9" spans="1:62" s="124" customFormat="1" ht="15" x14ac:dyDescent="0.25">
      <c r="A9" s="6">
        <v>5</v>
      </c>
      <c r="B9" s="1320" t="s">
        <v>94</v>
      </c>
      <c r="C9" s="737">
        <v>1963</v>
      </c>
      <c r="D9" s="737">
        <v>1</v>
      </c>
      <c r="E9" s="737">
        <v>1</v>
      </c>
      <c r="F9" s="349">
        <v>2</v>
      </c>
      <c r="G9" s="738">
        <v>47.8</v>
      </c>
      <c r="H9" s="738"/>
      <c r="I9" s="738"/>
      <c r="J9" s="738"/>
      <c r="K9" s="738"/>
      <c r="L9" s="728">
        <f t="shared" si="0"/>
        <v>0</v>
      </c>
      <c r="M9" s="728">
        <f t="shared" si="1"/>
        <v>0</v>
      </c>
      <c r="N9" s="738">
        <v>47.34</v>
      </c>
      <c r="O9" s="738">
        <v>55.23</v>
      </c>
      <c r="P9" s="738"/>
      <c r="Q9" s="738"/>
      <c r="R9" s="728">
        <f t="shared" si="2"/>
        <v>47.34</v>
      </c>
      <c r="S9" s="728">
        <f t="shared" si="3"/>
        <v>55.23</v>
      </c>
      <c r="T9" s="738">
        <v>526.5</v>
      </c>
      <c r="U9" s="738">
        <v>614.25</v>
      </c>
      <c r="V9" s="738"/>
      <c r="W9" s="738"/>
      <c r="X9" s="728">
        <f t="shared" si="4"/>
        <v>526.5</v>
      </c>
      <c r="Y9" s="728">
        <f t="shared" si="5"/>
        <v>614.25</v>
      </c>
      <c r="Z9" s="738">
        <v>5732.58</v>
      </c>
      <c r="AA9" s="738">
        <v>5609.33</v>
      </c>
      <c r="AB9" s="738"/>
      <c r="AC9" s="738"/>
      <c r="AD9" s="728">
        <f t="shared" si="6"/>
        <v>5732.58</v>
      </c>
      <c r="AE9" s="728">
        <f t="shared" si="7"/>
        <v>5609.33</v>
      </c>
      <c r="AF9" s="738">
        <v>0</v>
      </c>
      <c r="AG9" s="738">
        <v>0</v>
      </c>
      <c r="AH9" s="728">
        <f t="shared" si="8"/>
        <v>6306.42</v>
      </c>
      <c r="AI9" s="728">
        <f t="shared" si="9"/>
        <v>6278.8099999999995</v>
      </c>
      <c r="AJ9" s="1902">
        <f t="shared" si="10"/>
        <v>4028.6691905250727</v>
      </c>
      <c r="AK9" s="730"/>
      <c r="AL9" s="730">
        <f t="shared" si="11"/>
        <v>52.629144830204943</v>
      </c>
      <c r="AM9" s="731">
        <f t="shared" si="12"/>
        <v>4.3838111450425892</v>
      </c>
      <c r="AN9" s="731"/>
      <c r="AO9" s="731"/>
      <c r="AP9" s="731">
        <f t="shared" si="13"/>
        <v>24.544912455712986</v>
      </c>
      <c r="AQ9" s="731">
        <f t="shared" si="14"/>
        <v>3.0763586982755013</v>
      </c>
      <c r="AR9" s="732">
        <f t="shared" si="15"/>
        <v>168.74399662759004</v>
      </c>
      <c r="AS9" s="730">
        <f t="shared" si="16"/>
        <v>1733.4323286683805</v>
      </c>
      <c r="AT9" s="730">
        <f t="shared" si="17"/>
        <v>963.35369706877077</v>
      </c>
      <c r="AU9" s="733">
        <f t="shared" si="18"/>
        <v>9.0752581599127282</v>
      </c>
      <c r="AV9" s="733"/>
      <c r="AW9" s="733"/>
      <c r="AX9" s="1899">
        <f t="shared" si="19"/>
        <v>2959.2395076538905</v>
      </c>
      <c r="AY9" s="467"/>
      <c r="AZ9" s="467"/>
      <c r="BA9" s="1515"/>
      <c r="BB9" s="1515"/>
      <c r="BC9" s="1901">
        <f t="shared" si="20"/>
        <v>0</v>
      </c>
      <c r="BD9" s="1513">
        <f t="shared" si="21"/>
        <v>76.835442483998747</v>
      </c>
      <c r="BE9" s="625">
        <f t="shared" si="22"/>
        <v>992.5942403871835</v>
      </c>
      <c r="BF9" s="1513">
        <f t="shared" si="23"/>
        <v>2277.7508094749273</v>
      </c>
      <c r="BG9" s="1502">
        <f t="shared" si="24"/>
        <v>99.562192178763851</v>
      </c>
      <c r="BH9" s="1513">
        <f t="shared" si="25"/>
        <v>7.0234818523798346</v>
      </c>
      <c r="BI9" s="1521">
        <f t="shared" si="26"/>
        <v>27.610000000000582</v>
      </c>
      <c r="BJ9" s="1521">
        <v>10.94</v>
      </c>
    </row>
    <row r="10" spans="1:62" s="124" customFormat="1" ht="15" x14ac:dyDescent="0.25">
      <c r="A10" s="6">
        <v>6</v>
      </c>
      <c r="B10" s="1320" t="s">
        <v>95</v>
      </c>
      <c r="C10" s="737">
        <v>1983</v>
      </c>
      <c r="D10" s="737">
        <v>1</v>
      </c>
      <c r="E10" s="737">
        <v>1</v>
      </c>
      <c r="F10" s="708">
        <v>4</v>
      </c>
      <c r="G10" s="738">
        <v>47.9</v>
      </c>
      <c r="H10" s="738"/>
      <c r="I10" s="738"/>
      <c r="J10" s="738"/>
      <c r="K10" s="738"/>
      <c r="L10" s="728">
        <f t="shared" si="0"/>
        <v>0</v>
      </c>
      <c r="M10" s="728">
        <f t="shared" si="1"/>
        <v>0</v>
      </c>
      <c r="N10" s="738">
        <v>43.56</v>
      </c>
      <c r="O10" s="738">
        <v>36.840000000000003</v>
      </c>
      <c r="P10" s="738"/>
      <c r="Q10" s="738"/>
      <c r="R10" s="728">
        <f t="shared" si="2"/>
        <v>43.56</v>
      </c>
      <c r="S10" s="728">
        <f t="shared" si="3"/>
        <v>36.840000000000003</v>
      </c>
      <c r="T10" s="738">
        <v>484.86</v>
      </c>
      <c r="U10" s="738">
        <v>405.61</v>
      </c>
      <c r="V10" s="738"/>
      <c r="W10" s="738"/>
      <c r="X10" s="728">
        <f t="shared" si="4"/>
        <v>484.86</v>
      </c>
      <c r="Y10" s="728">
        <f t="shared" si="5"/>
        <v>405.61</v>
      </c>
      <c r="Z10" s="738">
        <v>5279.16</v>
      </c>
      <c r="AA10" s="738">
        <v>2789.13</v>
      </c>
      <c r="AB10" s="738"/>
      <c r="AC10" s="738"/>
      <c r="AD10" s="728">
        <f t="shared" si="6"/>
        <v>5279.16</v>
      </c>
      <c r="AE10" s="728">
        <f t="shared" si="7"/>
        <v>2789.13</v>
      </c>
      <c r="AF10" s="738">
        <v>0</v>
      </c>
      <c r="AG10" s="738">
        <v>0</v>
      </c>
      <c r="AH10" s="728">
        <f t="shared" si="8"/>
        <v>5807.58</v>
      </c>
      <c r="AI10" s="728">
        <f t="shared" si="9"/>
        <v>3231.58</v>
      </c>
      <c r="AJ10" s="1902">
        <f t="shared" si="10"/>
        <v>4037.0973687479282</v>
      </c>
      <c r="AK10" s="730"/>
      <c r="AL10" s="730">
        <f t="shared" si="11"/>
        <v>52.739247643657258</v>
      </c>
      <c r="AM10" s="731">
        <f t="shared" si="12"/>
        <v>4.3929822980656912</v>
      </c>
      <c r="AN10" s="731"/>
      <c r="AO10" s="731"/>
      <c r="AP10" s="731">
        <f t="shared" si="13"/>
        <v>24.596261644950879</v>
      </c>
      <c r="AQ10" s="731">
        <f t="shared" si="14"/>
        <v>3.0827945951338185</v>
      </c>
      <c r="AR10" s="732">
        <f t="shared" si="15"/>
        <v>169.09701754103688</v>
      </c>
      <c r="AS10" s="730">
        <f t="shared" si="16"/>
        <v>1737.058756134214</v>
      </c>
      <c r="AT10" s="730">
        <f t="shared" si="17"/>
        <v>965.36908137226203</v>
      </c>
      <c r="AU10" s="733">
        <f t="shared" si="18"/>
        <v>9.094244055644765</v>
      </c>
      <c r="AV10" s="733"/>
      <c r="AW10" s="733"/>
      <c r="AX10" s="1899">
        <f t="shared" si="19"/>
        <v>2965.4303852849653</v>
      </c>
      <c r="AY10" s="467"/>
      <c r="AZ10" s="467"/>
      <c r="BA10" s="1515"/>
      <c r="BB10" s="1515"/>
      <c r="BC10" s="1901">
        <f t="shared" si="20"/>
        <v>0</v>
      </c>
      <c r="BD10" s="1513">
        <f t="shared" si="21"/>
        <v>76.996186087521764</v>
      </c>
      <c r="BE10" s="625">
        <f t="shared" si="22"/>
        <v>994.67079737544123</v>
      </c>
      <c r="BF10" s="1513">
        <f t="shared" si="23"/>
        <v>1770.4826312520718</v>
      </c>
      <c r="BG10" s="1502">
        <f t="shared" si="24"/>
        <v>55.64417537080849</v>
      </c>
      <c r="BH10" s="1513">
        <f t="shared" si="25"/>
        <v>7.0234818523798337</v>
      </c>
      <c r="BI10" s="1521">
        <f t="shared" si="26"/>
        <v>2576</v>
      </c>
      <c r="BJ10" s="1521">
        <v>10.94</v>
      </c>
    </row>
    <row r="11" spans="1:62" s="124" customFormat="1" ht="15" customHeight="1" x14ac:dyDescent="0.25">
      <c r="A11" s="6">
        <v>7</v>
      </c>
      <c r="B11" s="1320" t="s">
        <v>96</v>
      </c>
      <c r="C11" s="737">
        <v>1963</v>
      </c>
      <c r="D11" s="737">
        <v>1</v>
      </c>
      <c r="E11" s="737">
        <v>1</v>
      </c>
      <c r="F11" s="708">
        <v>4</v>
      </c>
      <c r="G11" s="738">
        <v>53.6</v>
      </c>
      <c r="H11" s="738"/>
      <c r="I11" s="738"/>
      <c r="J11" s="738"/>
      <c r="K11" s="738"/>
      <c r="L11" s="728">
        <f t="shared" si="0"/>
        <v>0</v>
      </c>
      <c r="M11" s="728">
        <f t="shared" si="1"/>
        <v>0</v>
      </c>
      <c r="N11" s="738">
        <v>51.48</v>
      </c>
      <c r="O11" s="738">
        <v>60.06</v>
      </c>
      <c r="P11" s="738"/>
      <c r="Q11" s="738"/>
      <c r="R11" s="728">
        <f t="shared" si="2"/>
        <v>51.48</v>
      </c>
      <c r="S11" s="728">
        <f t="shared" si="3"/>
        <v>60.06</v>
      </c>
      <c r="T11" s="738">
        <v>366.6</v>
      </c>
      <c r="U11" s="738">
        <v>427.7</v>
      </c>
      <c r="V11" s="738"/>
      <c r="W11" s="738"/>
      <c r="X11" s="728">
        <f t="shared" si="4"/>
        <v>366.6</v>
      </c>
      <c r="Y11" s="728">
        <f t="shared" si="5"/>
        <v>427.7</v>
      </c>
      <c r="Z11" s="738">
        <v>6017.1</v>
      </c>
      <c r="AA11" s="738">
        <v>5919.01</v>
      </c>
      <c r="AB11" s="738"/>
      <c r="AC11" s="738"/>
      <c r="AD11" s="728">
        <f t="shared" si="6"/>
        <v>6017.1</v>
      </c>
      <c r="AE11" s="728">
        <f t="shared" si="7"/>
        <v>5919.01</v>
      </c>
      <c r="AF11" s="738">
        <v>0</v>
      </c>
      <c r="AG11" s="738">
        <v>0</v>
      </c>
      <c r="AH11" s="728">
        <f t="shared" si="8"/>
        <v>6435.18</v>
      </c>
      <c r="AI11" s="728">
        <f t="shared" si="9"/>
        <v>6406.77</v>
      </c>
      <c r="AJ11" s="1902">
        <f t="shared" si="10"/>
        <v>4517.503527450709</v>
      </c>
      <c r="AK11" s="730"/>
      <c r="AL11" s="730">
        <f t="shared" si="11"/>
        <v>59.015108010439022</v>
      </c>
      <c r="AM11" s="731">
        <f t="shared" si="12"/>
        <v>4.9157380203824852</v>
      </c>
      <c r="AN11" s="731"/>
      <c r="AO11" s="731"/>
      <c r="AP11" s="731">
        <f t="shared" si="13"/>
        <v>27.523165431510797</v>
      </c>
      <c r="AQ11" s="731">
        <f t="shared" si="14"/>
        <v>3.4496407160578846</v>
      </c>
      <c r="AR11" s="732">
        <f t="shared" si="15"/>
        <v>189.21920960750683</v>
      </c>
      <c r="AS11" s="730">
        <f t="shared" si="16"/>
        <v>1943.7651216867198</v>
      </c>
      <c r="AT11" s="730">
        <f t="shared" si="17"/>
        <v>1080.2459866712577</v>
      </c>
      <c r="AU11" s="733">
        <f t="shared" si="18"/>
        <v>10.176440112370759</v>
      </c>
      <c r="AV11" s="733"/>
      <c r="AW11" s="733"/>
      <c r="AX11" s="1899">
        <f t="shared" si="19"/>
        <v>3318.3104102562452</v>
      </c>
      <c r="AY11" s="467"/>
      <c r="AZ11" s="467"/>
      <c r="BA11" s="1515"/>
      <c r="BB11" s="1515"/>
      <c r="BC11" s="1901">
        <f t="shared" si="20"/>
        <v>0</v>
      </c>
      <c r="BD11" s="1513">
        <f t="shared" si="21"/>
        <v>86.158571488333322</v>
      </c>
      <c r="BE11" s="625">
        <f t="shared" si="22"/>
        <v>1113.0345457061305</v>
      </c>
      <c r="BF11" s="1513">
        <f t="shared" si="23"/>
        <v>1917.6764725492912</v>
      </c>
      <c r="BG11" s="1502">
        <f t="shared" si="24"/>
        <v>99.558520507584873</v>
      </c>
      <c r="BH11" s="1513">
        <f t="shared" si="25"/>
        <v>7.0234818523798337</v>
      </c>
      <c r="BI11" s="1521">
        <f t="shared" si="26"/>
        <v>28.409999999999854</v>
      </c>
      <c r="BJ11" s="1521">
        <v>10.27</v>
      </c>
    </row>
    <row r="12" spans="1:62" s="124" customFormat="1" ht="15" x14ac:dyDescent="0.25">
      <c r="A12" s="6">
        <v>8</v>
      </c>
      <c r="B12" s="1320" t="s">
        <v>97</v>
      </c>
      <c r="C12" s="737">
        <v>1967</v>
      </c>
      <c r="D12" s="737">
        <v>1</v>
      </c>
      <c r="E12" s="737">
        <v>2</v>
      </c>
      <c r="F12" s="349">
        <v>4</v>
      </c>
      <c r="G12" s="738">
        <v>49.4</v>
      </c>
      <c r="H12" s="738"/>
      <c r="I12" s="738"/>
      <c r="J12" s="738"/>
      <c r="K12" s="738"/>
      <c r="L12" s="728">
        <f t="shared" si="0"/>
        <v>0</v>
      </c>
      <c r="M12" s="728">
        <f t="shared" si="1"/>
        <v>0</v>
      </c>
      <c r="N12" s="738">
        <v>47.46</v>
      </c>
      <c r="O12" s="738">
        <v>55.37</v>
      </c>
      <c r="P12" s="738"/>
      <c r="Q12" s="738"/>
      <c r="R12" s="728">
        <f t="shared" si="2"/>
        <v>47.46</v>
      </c>
      <c r="S12" s="728">
        <f t="shared" si="3"/>
        <v>55.37</v>
      </c>
      <c r="T12" s="738">
        <v>337.86</v>
      </c>
      <c r="U12" s="738">
        <v>394.17</v>
      </c>
      <c r="V12" s="738"/>
      <c r="W12" s="738"/>
      <c r="X12" s="728">
        <f t="shared" si="4"/>
        <v>337.86</v>
      </c>
      <c r="Y12" s="728">
        <f t="shared" si="5"/>
        <v>394.17</v>
      </c>
      <c r="Z12" s="738">
        <v>3195.18</v>
      </c>
      <c r="AA12" s="738">
        <v>3115.15</v>
      </c>
      <c r="AB12" s="738"/>
      <c r="AC12" s="738"/>
      <c r="AD12" s="728">
        <f t="shared" si="6"/>
        <v>3195.18</v>
      </c>
      <c r="AE12" s="728">
        <f t="shared" si="7"/>
        <v>3115.15</v>
      </c>
      <c r="AF12" s="738">
        <v>0</v>
      </c>
      <c r="AG12" s="738">
        <v>0</v>
      </c>
      <c r="AH12" s="728">
        <f t="shared" si="8"/>
        <v>3580.5</v>
      </c>
      <c r="AI12" s="728">
        <f t="shared" si="9"/>
        <v>3564.69</v>
      </c>
      <c r="AJ12" s="1902">
        <f t="shared" si="10"/>
        <v>4163.5200420907659</v>
      </c>
      <c r="AK12" s="730"/>
      <c r="AL12" s="730">
        <f t="shared" si="11"/>
        <v>54.390789845441937</v>
      </c>
      <c r="AM12" s="731">
        <f t="shared" si="12"/>
        <v>4.5305495934122151</v>
      </c>
      <c r="AN12" s="731"/>
      <c r="AO12" s="731"/>
      <c r="AP12" s="731">
        <f t="shared" si="13"/>
        <v>25.366499483519277</v>
      </c>
      <c r="AQ12" s="731">
        <f t="shared" si="14"/>
        <v>3.1793330480085724</v>
      </c>
      <c r="AR12" s="732">
        <f t="shared" si="15"/>
        <v>174.39233124273949</v>
      </c>
      <c r="AS12" s="730">
        <f t="shared" si="16"/>
        <v>1791.4551681217156</v>
      </c>
      <c r="AT12" s="730">
        <f t="shared" si="17"/>
        <v>995.59984592462934</v>
      </c>
      <c r="AU12" s="733">
        <f t="shared" si="18"/>
        <v>9.3790324916252885</v>
      </c>
      <c r="AV12" s="733"/>
      <c r="AW12" s="733"/>
      <c r="AX12" s="1899">
        <f t="shared" si="19"/>
        <v>3058.2935497510916</v>
      </c>
      <c r="AY12" s="467"/>
      <c r="AZ12" s="467"/>
      <c r="BA12" s="1515"/>
      <c r="BB12" s="1515"/>
      <c r="BC12" s="1901">
        <f t="shared" si="20"/>
        <v>0</v>
      </c>
      <c r="BD12" s="1513">
        <f t="shared" si="21"/>
        <v>79.407340140366912</v>
      </c>
      <c r="BE12" s="625">
        <f t="shared" si="22"/>
        <v>1025.8191521993067</v>
      </c>
      <c r="BF12" s="1513">
        <f t="shared" si="23"/>
        <v>-583.02004209076586</v>
      </c>
      <c r="BG12" s="1502">
        <f t="shared" si="24"/>
        <v>99.558441558441558</v>
      </c>
      <c r="BH12" s="1513">
        <f t="shared" si="25"/>
        <v>7.0234818523798346</v>
      </c>
      <c r="BI12" s="1521">
        <f t="shared" si="26"/>
        <v>15.809999999999945</v>
      </c>
      <c r="BJ12" s="1521">
        <v>6.2</v>
      </c>
    </row>
    <row r="13" spans="1:62" s="124" customFormat="1" ht="15" x14ac:dyDescent="0.25">
      <c r="A13" s="6">
        <v>9</v>
      </c>
      <c r="B13" s="1320" t="s">
        <v>98</v>
      </c>
      <c r="C13" s="737">
        <v>1972</v>
      </c>
      <c r="D13" s="737">
        <v>1</v>
      </c>
      <c r="E13" s="737">
        <v>1</v>
      </c>
      <c r="F13" s="708">
        <v>3</v>
      </c>
      <c r="G13" s="738">
        <v>24.6</v>
      </c>
      <c r="H13" s="738"/>
      <c r="I13" s="738"/>
      <c r="J13" s="738"/>
      <c r="K13" s="738"/>
      <c r="L13" s="728">
        <f t="shared" si="0"/>
        <v>0</v>
      </c>
      <c r="M13" s="728">
        <f t="shared" si="1"/>
        <v>0</v>
      </c>
      <c r="N13" s="738">
        <v>23.64</v>
      </c>
      <c r="O13" s="738">
        <v>27.58</v>
      </c>
      <c r="P13" s="738"/>
      <c r="Q13" s="738"/>
      <c r="R13" s="728">
        <f t="shared" si="2"/>
        <v>23.64</v>
      </c>
      <c r="S13" s="728">
        <f t="shared" si="3"/>
        <v>27.58</v>
      </c>
      <c r="T13" s="738">
        <v>84.12</v>
      </c>
      <c r="U13" s="738">
        <v>98.14</v>
      </c>
      <c r="V13" s="738"/>
      <c r="W13" s="738"/>
      <c r="X13" s="728">
        <f t="shared" si="4"/>
        <v>84.12</v>
      </c>
      <c r="Y13" s="728">
        <f t="shared" si="5"/>
        <v>98.14</v>
      </c>
      <c r="Z13" s="738">
        <v>1502.58</v>
      </c>
      <c r="AA13" s="738">
        <v>1339.73</v>
      </c>
      <c r="AB13" s="738"/>
      <c r="AC13" s="738"/>
      <c r="AD13" s="728">
        <f t="shared" si="6"/>
        <v>1502.58</v>
      </c>
      <c r="AE13" s="728">
        <f t="shared" si="7"/>
        <v>1339.73</v>
      </c>
      <c r="AF13" s="738">
        <v>0</v>
      </c>
      <c r="AG13" s="738">
        <v>0</v>
      </c>
      <c r="AH13" s="728">
        <f t="shared" si="8"/>
        <v>1610.34</v>
      </c>
      <c r="AI13" s="728">
        <f t="shared" si="9"/>
        <v>1465.45</v>
      </c>
      <c r="AJ13" s="1902">
        <f t="shared" si="10"/>
        <v>2073.3318428225266</v>
      </c>
      <c r="AK13" s="730"/>
      <c r="AL13" s="730">
        <f t="shared" si="11"/>
        <v>27.085292109268657</v>
      </c>
      <c r="AM13" s="731">
        <f t="shared" si="12"/>
        <v>2.2561036436830064</v>
      </c>
      <c r="AN13" s="731"/>
      <c r="AO13" s="731"/>
      <c r="AP13" s="731">
        <f t="shared" si="13"/>
        <v>12.631900552521747</v>
      </c>
      <c r="AQ13" s="731">
        <f t="shared" si="14"/>
        <v>1.5832306271459695</v>
      </c>
      <c r="AR13" s="732">
        <f t="shared" si="15"/>
        <v>86.843144707922917</v>
      </c>
      <c r="AS13" s="730">
        <f t="shared" si="16"/>
        <v>892.10115659502435</v>
      </c>
      <c r="AT13" s="730">
        <f t="shared" si="17"/>
        <v>495.78453865882352</v>
      </c>
      <c r="AU13" s="733">
        <f t="shared" si="18"/>
        <v>4.6705303500806101</v>
      </c>
      <c r="AV13" s="733"/>
      <c r="AW13" s="733"/>
      <c r="AX13" s="1899">
        <f t="shared" si="19"/>
        <v>1522.9558972444706</v>
      </c>
      <c r="AY13" s="467"/>
      <c r="AZ13" s="467"/>
      <c r="BA13" s="1515"/>
      <c r="BB13" s="1515"/>
      <c r="BC13" s="1901">
        <f t="shared" si="20"/>
        <v>0</v>
      </c>
      <c r="BD13" s="1513">
        <f t="shared" si="21"/>
        <v>39.542926466660447</v>
      </c>
      <c r="BE13" s="625">
        <f t="shared" si="22"/>
        <v>510.83301911139574</v>
      </c>
      <c r="BF13" s="1513">
        <f t="shared" si="23"/>
        <v>-462.99184282252668</v>
      </c>
      <c r="BG13" s="1502">
        <f t="shared" si="24"/>
        <v>91.002521206701701</v>
      </c>
      <c r="BH13" s="1513">
        <f t="shared" si="25"/>
        <v>7.0234818523798319</v>
      </c>
      <c r="BI13" s="1521">
        <f t="shared" si="26"/>
        <v>144.88999999999987</v>
      </c>
      <c r="BJ13" s="1521">
        <v>5.6</v>
      </c>
    </row>
    <row r="14" spans="1:62" s="124" customFormat="1" ht="15" x14ac:dyDescent="0.25">
      <c r="A14" s="270">
        <v>10</v>
      </c>
      <c r="B14" s="507" t="s">
        <v>99</v>
      </c>
      <c r="C14" s="739">
        <v>1993</v>
      </c>
      <c r="D14" s="739">
        <v>1</v>
      </c>
      <c r="E14" s="739">
        <v>1</v>
      </c>
      <c r="F14" s="740">
        <v>5</v>
      </c>
      <c r="G14" s="741">
        <v>92</v>
      </c>
      <c r="H14" s="741"/>
      <c r="I14" s="741"/>
      <c r="J14" s="741"/>
      <c r="K14" s="741"/>
      <c r="L14" s="728">
        <f t="shared" si="0"/>
        <v>0</v>
      </c>
      <c r="M14" s="728">
        <f t="shared" si="1"/>
        <v>0</v>
      </c>
      <c r="N14" s="741">
        <f>23.54</f>
        <v>23.54</v>
      </c>
      <c r="O14" s="741">
        <v>144.44</v>
      </c>
      <c r="P14" s="741">
        <v>64.78</v>
      </c>
      <c r="Q14" s="741">
        <v>64.78</v>
      </c>
      <c r="R14" s="728">
        <f t="shared" si="2"/>
        <v>88.32</v>
      </c>
      <c r="S14" s="728">
        <f t="shared" si="3"/>
        <v>209.22</v>
      </c>
      <c r="T14" s="741">
        <f>317.98</f>
        <v>317.98</v>
      </c>
      <c r="U14" s="741">
        <v>1573.84</v>
      </c>
      <c r="V14" s="741">
        <v>664.61</v>
      </c>
      <c r="W14" s="741">
        <v>664.61</v>
      </c>
      <c r="X14" s="728">
        <f t="shared" si="4"/>
        <v>982.59</v>
      </c>
      <c r="Y14" s="728">
        <f t="shared" si="5"/>
        <v>2238.4499999999998</v>
      </c>
      <c r="Z14" s="741">
        <f>4466.23</f>
        <v>4466.2299999999996</v>
      </c>
      <c r="AA14" s="741">
        <v>6675.57</v>
      </c>
      <c r="AB14" s="741">
        <v>1854.13</v>
      </c>
      <c r="AC14" s="741">
        <v>1854.13</v>
      </c>
      <c r="AD14" s="728">
        <f t="shared" si="6"/>
        <v>6320.36</v>
      </c>
      <c r="AE14" s="728">
        <f t="shared" si="7"/>
        <v>8529.7000000000007</v>
      </c>
      <c r="AF14" s="741">
        <v>0</v>
      </c>
      <c r="AG14" s="741">
        <v>0</v>
      </c>
      <c r="AH14" s="728">
        <f t="shared" si="8"/>
        <v>7391.2699999999995</v>
      </c>
      <c r="AI14" s="728">
        <f t="shared" si="9"/>
        <v>10977.37</v>
      </c>
      <c r="AJ14" s="1902">
        <f t="shared" si="10"/>
        <v>7753.9239650273366</v>
      </c>
      <c r="AK14" s="742"/>
      <c r="AL14" s="730">
        <f t="shared" si="11"/>
        <v>101.29458837612668</v>
      </c>
      <c r="AM14" s="731">
        <f t="shared" si="12"/>
        <v>8.4374607812535185</v>
      </c>
      <c r="AN14" s="731"/>
      <c r="AO14" s="731"/>
      <c r="AP14" s="731">
        <f t="shared" si="13"/>
        <v>47.241254098861816</v>
      </c>
      <c r="AQ14" s="731">
        <f t="shared" si="14"/>
        <v>5.9210251096515929</v>
      </c>
      <c r="AR14" s="732">
        <f t="shared" si="15"/>
        <v>324.77924037109381</v>
      </c>
      <c r="AS14" s="730">
        <f t="shared" si="16"/>
        <v>3336.3132685667579</v>
      </c>
      <c r="AT14" s="730">
        <f t="shared" si="17"/>
        <v>1854.1535592118603</v>
      </c>
      <c r="AU14" s="733">
        <f t="shared" si="18"/>
        <v>17.467024073472199</v>
      </c>
      <c r="AV14" s="733"/>
      <c r="AW14" s="733"/>
      <c r="AX14" s="1899">
        <f t="shared" si="19"/>
        <v>5695.6074205890782</v>
      </c>
      <c r="AY14" s="467"/>
      <c r="AZ14" s="467"/>
      <c r="BA14" s="1515"/>
      <c r="BB14" s="1515"/>
      <c r="BC14" s="1901">
        <f t="shared" si="20"/>
        <v>0</v>
      </c>
      <c r="BD14" s="1513">
        <f t="shared" si="21"/>
        <v>147.88411524116916</v>
      </c>
      <c r="BE14" s="625">
        <f t="shared" si="22"/>
        <v>1910.4324291970897</v>
      </c>
      <c r="BF14" s="1513">
        <f t="shared" si="23"/>
        <v>-362.65396502733711</v>
      </c>
      <c r="BG14" s="1502">
        <f t="shared" si="24"/>
        <v>148.51804899563948</v>
      </c>
      <c r="BH14" s="1513">
        <f t="shared" si="25"/>
        <v>7.0234818523798337</v>
      </c>
      <c r="BI14" s="1521">
        <f t="shared" si="26"/>
        <v>-3586.1000000000013</v>
      </c>
      <c r="BJ14" s="1521">
        <v>6.87</v>
      </c>
    </row>
    <row r="15" spans="1:62" s="124" customFormat="1" ht="15" x14ac:dyDescent="0.25">
      <c r="A15" s="19">
        <v>11</v>
      </c>
      <c r="B15" s="1514" t="s">
        <v>100</v>
      </c>
      <c r="C15" s="745">
        <v>1980</v>
      </c>
      <c r="D15" s="745">
        <v>3</v>
      </c>
      <c r="E15" s="745">
        <v>24</v>
      </c>
      <c r="F15" s="349">
        <v>59</v>
      </c>
      <c r="G15" s="741">
        <v>1440.6</v>
      </c>
      <c r="H15" s="741">
        <v>20831.22</v>
      </c>
      <c r="I15" s="741">
        <v>23027.96</v>
      </c>
      <c r="J15" s="741"/>
      <c r="K15" s="741"/>
      <c r="L15" s="728">
        <f t="shared" si="0"/>
        <v>20831.22</v>
      </c>
      <c r="M15" s="728">
        <f t="shared" si="1"/>
        <v>23027.96</v>
      </c>
      <c r="N15" s="741">
        <v>1383</v>
      </c>
      <c r="O15" s="741">
        <v>1631.27</v>
      </c>
      <c r="P15" s="741"/>
      <c r="Q15" s="741"/>
      <c r="R15" s="728">
        <f t="shared" si="2"/>
        <v>1383</v>
      </c>
      <c r="S15" s="728">
        <f t="shared" si="3"/>
        <v>1631.27</v>
      </c>
      <c r="T15" s="741">
        <v>15385.56</v>
      </c>
      <c r="U15" s="741">
        <v>18147.990000000002</v>
      </c>
      <c r="V15" s="741"/>
      <c r="W15" s="741"/>
      <c r="X15" s="728">
        <f t="shared" si="4"/>
        <v>15385.56</v>
      </c>
      <c r="Y15" s="728">
        <f t="shared" si="5"/>
        <v>18147.990000000002</v>
      </c>
      <c r="Z15" s="741">
        <v>207435.6</v>
      </c>
      <c r="AA15" s="741">
        <v>195992.02</v>
      </c>
      <c r="AB15" s="741"/>
      <c r="AC15" s="741"/>
      <c r="AD15" s="728">
        <f t="shared" si="6"/>
        <v>207435.6</v>
      </c>
      <c r="AE15" s="728">
        <f t="shared" si="7"/>
        <v>195992.02</v>
      </c>
      <c r="AF15" s="741">
        <v>6496.42</v>
      </c>
      <c r="AG15" s="741">
        <v>5589.57</v>
      </c>
      <c r="AH15" s="728">
        <f t="shared" si="8"/>
        <v>251531.80000000002</v>
      </c>
      <c r="AI15" s="728">
        <f t="shared" si="9"/>
        <v>244388.81</v>
      </c>
      <c r="AJ15" s="1902">
        <f t="shared" si="10"/>
        <v>227322.07240107548</v>
      </c>
      <c r="AK15" s="730">
        <v>1564.56</v>
      </c>
      <c r="AL15" s="730">
        <f t="shared" si="11"/>
        <v>1586.141130594001</v>
      </c>
      <c r="AM15" s="731">
        <f t="shared" si="12"/>
        <v>132.11963045080239</v>
      </c>
      <c r="AN15" s="731">
        <v>5121.83</v>
      </c>
      <c r="AO15" s="731"/>
      <c r="AP15" s="731">
        <f t="shared" si="13"/>
        <v>739.73642016109056</v>
      </c>
      <c r="AQ15" s="731">
        <f t="shared" si="14"/>
        <v>92.715530140913955</v>
      </c>
      <c r="AR15" s="732">
        <f t="shared" si="15"/>
        <v>5085.6192791151925</v>
      </c>
      <c r="AS15" s="730">
        <f t="shared" si="16"/>
        <v>52242.31407279642</v>
      </c>
      <c r="AT15" s="730">
        <f t="shared" si="17"/>
        <v>29033.626276093539</v>
      </c>
      <c r="AU15" s="733">
        <f t="shared" si="18"/>
        <v>273.51081391569619</v>
      </c>
      <c r="AV15" s="733"/>
      <c r="AW15" s="733">
        <f>609509.33/13841.67*G15</f>
        <v>63435.92505803128</v>
      </c>
      <c r="AX15" s="1899">
        <f t="shared" si="19"/>
        <v>159308.09821129893</v>
      </c>
      <c r="AY15" s="467">
        <f>3869.47/8714.01*G15</f>
        <v>639.70072125232798</v>
      </c>
      <c r="AZ15" s="467">
        <v>203.02</v>
      </c>
      <c r="BA15" s="1515">
        <f>211351.95/8714.01*G15</f>
        <v>34940.701143331251</v>
      </c>
      <c r="BB15" s="1515"/>
      <c r="BC15" s="1901">
        <f t="shared" si="20"/>
        <v>35783.421864583579</v>
      </c>
      <c r="BD15" s="1513">
        <f t="shared" si="21"/>
        <v>2315.6723523524811</v>
      </c>
      <c r="BE15" s="625">
        <f t="shared" si="22"/>
        <v>29914.879972840514</v>
      </c>
      <c r="BF15" s="1513">
        <f t="shared" si="23"/>
        <v>24209.727598924539</v>
      </c>
      <c r="BG15" s="1502">
        <f t="shared" si="24"/>
        <v>97.160203998063054</v>
      </c>
      <c r="BH15" s="1513">
        <f t="shared" si="25"/>
        <v>13.149733467598887</v>
      </c>
      <c r="BI15" s="1521">
        <f t="shared" si="26"/>
        <v>7142.9900000000198</v>
      </c>
      <c r="BJ15" s="1521">
        <v>14.53</v>
      </c>
    </row>
    <row r="16" spans="1:62" s="124" customFormat="1" ht="15" x14ac:dyDescent="0.25">
      <c r="A16" s="19">
        <v>12</v>
      </c>
      <c r="B16" s="1514" t="s">
        <v>101</v>
      </c>
      <c r="C16" s="745">
        <v>1978</v>
      </c>
      <c r="D16" s="745">
        <v>3</v>
      </c>
      <c r="E16" s="745">
        <v>24</v>
      </c>
      <c r="F16" s="708">
        <v>71</v>
      </c>
      <c r="G16" s="741">
        <v>1449.9</v>
      </c>
      <c r="H16" s="741">
        <f>17882.43</f>
        <v>17882.43</v>
      </c>
      <c r="I16" s="741">
        <v>20108.57</v>
      </c>
      <c r="J16" s="741">
        <v>3083.19</v>
      </c>
      <c r="K16" s="741">
        <v>3083.19</v>
      </c>
      <c r="L16" s="728">
        <f t="shared" si="0"/>
        <v>20965.62</v>
      </c>
      <c r="M16" s="728">
        <f t="shared" si="1"/>
        <v>23191.759999999998</v>
      </c>
      <c r="N16" s="741">
        <f>1187.25</f>
        <v>1187.25</v>
      </c>
      <c r="O16" s="741">
        <v>1423.75</v>
      </c>
      <c r="P16" s="741">
        <v>204.69</v>
      </c>
      <c r="Q16" s="741">
        <v>204.69</v>
      </c>
      <c r="R16" s="728">
        <f t="shared" si="2"/>
        <v>1391.94</v>
      </c>
      <c r="S16" s="728">
        <f t="shared" si="3"/>
        <v>1628.44</v>
      </c>
      <c r="T16" s="741">
        <f>13523.92</f>
        <v>13523.92</v>
      </c>
      <c r="U16" s="741">
        <v>15653.24</v>
      </c>
      <c r="V16" s="741">
        <v>1961.06</v>
      </c>
      <c r="W16" s="741">
        <v>1961.06</v>
      </c>
      <c r="X16" s="728">
        <f t="shared" si="4"/>
        <v>15484.98</v>
      </c>
      <c r="Y16" s="728">
        <f t="shared" si="5"/>
        <v>17614.3</v>
      </c>
      <c r="Z16" s="741">
        <f>196447.76</f>
        <v>196447.76</v>
      </c>
      <c r="AA16" s="741">
        <v>158527.29999999999</v>
      </c>
      <c r="AB16" s="741">
        <v>12076.72</v>
      </c>
      <c r="AC16" s="741">
        <v>12076.72</v>
      </c>
      <c r="AD16" s="728">
        <f t="shared" si="6"/>
        <v>208524.48</v>
      </c>
      <c r="AE16" s="728">
        <f t="shared" si="7"/>
        <v>170604.02</v>
      </c>
      <c r="AF16" s="741">
        <v>5607.5</v>
      </c>
      <c r="AG16" s="741">
        <v>9356.61</v>
      </c>
      <c r="AH16" s="728">
        <f t="shared" si="8"/>
        <v>251974.52000000002</v>
      </c>
      <c r="AI16" s="728">
        <f t="shared" si="9"/>
        <v>222395.13</v>
      </c>
      <c r="AJ16" s="1902">
        <f t="shared" si="10"/>
        <v>228892.65708129905</v>
      </c>
      <c r="AK16" s="730">
        <v>3172.5</v>
      </c>
      <c r="AL16" s="730">
        <f t="shared" si="11"/>
        <v>1596.380692245066</v>
      </c>
      <c r="AM16" s="731">
        <f t="shared" si="12"/>
        <v>132.97254768195086</v>
      </c>
      <c r="AN16" s="731">
        <v>3715.18</v>
      </c>
      <c r="AO16" s="731"/>
      <c r="AP16" s="731">
        <f t="shared" si="13"/>
        <v>744.51189476021466</v>
      </c>
      <c r="AQ16" s="731">
        <f t="shared" si="14"/>
        <v>93.314068548737453</v>
      </c>
      <c r="AR16" s="732">
        <f t="shared" si="15"/>
        <v>5118.4502240657494</v>
      </c>
      <c r="AS16" s="730">
        <f t="shared" si="16"/>
        <v>52579.57182711894</v>
      </c>
      <c r="AT16" s="730">
        <f t="shared" si="17"/>
        <v>29221.05701631822</v>
      </c>
      <c r="AU16" s="733">
        <f t="shared" si="18"/>
        <v>275.27650221877548</v>
      </c>
      <c r="AV16" s="733"/>
      <c r="AW16" s="733">
        <f t="shared" ref="AW16:AW21" si="27">609509.33/13841.67*G16</f>
        <v>63845.444774149357</v>
      </c>
      <c r="AX16" s="1899">
        <f t="shared" si="19"/>
        <v>160494.659547107</v>
      </c>
      <c r="AY16" s="467">
        <f t="shared" ref="AY16:AY19" si="28">3869.47/8714.01*G16</f>
        <v>643.83040104383622</v>
      </c>
      <c r="AZ16" s="467">
        <v>149.28</v>
      </c>
      <c r="BA16" s="1515">
        <f t="shared" ref="BA16:BA19" si="29">211351.95/8714.01*G16</f>
        <v>35166.265852919612</v>
      </c>
      <c r="BB16" s="1515"/>
      <c r="BC16" s="1901">
        <f t="shared" si="20"/>
        <v>35959.376253963448</v>
      </c>
      <c r="BD16" s="1513">
        <f t="shared" si="21"/>
        <v>2330.6215074801212</v>
      </c>
      <c r="BE16" s="625">
        <f t="shared" si="22"/>
        <v>30107.999772748484</v>
      </c>
      <c r="BF16" s="1513">
        <f t="shared" si="23"/>
        <v>23081.862918700965</v>
      </c>
      <c r="BG16" s="1502">
        <f t="shared" si="24"/>
        <v>88.260959878006702</v>
      </c>
      <c r="BH16" s="1513">
        <f t="shared" si="25"/>
        <v>13.155657693708706</v>
      </c>
      <c r="BI16" s="1521">
        <f t="shared" si="26"/>
        <v>29579.390000000014</v>
      </c>
      <c r="BJ16" s="1521">
        <v>14.53</v>
      </c>
    </row>
    <row r="17" spans="1:62" s="124" customFormat="1" ht="15" x14ac:dyDescent="0.25">
      <c r="A17" s="19">
        <v>13</v>
      </c>
      <c r="B17" s="1514" t="s">
        <v>102</v>
      </c>
      <c r="C17" s="745">
        <v>1979</v>
      </c>
      <c r="D17" s="745">
        <v>3</v>
      </c>
      <c r="E17" s="745">
        <v>24</v>
      </c>
      <c r="F17" s="349">
        <v>79</v>
      </c>
      <c r="G17" s="741">
        <v>1460.41</v>
      </c>
      <c r="H17" s="741">
        <f>20602.3</f>
        <v>20602.3</v>
      </c>
      <c r="I17" s="741">
        <v>24310.03</v>
      </c>
      <c r="J17" s="741">
        <v>513.74</v>
      </c>
      <c r="K17" s="741">
        <v>513.74</v>
      </c>
      <c r="L17" s="728">
        <f t="shared" si="0"/>
        <v>21116.04</v>
      </c>
      <c r="M17" s="728">
        <f t="shared" si="1"/>
        <v>24823.77</v>
      </c>
      <c r="N17" s="741">
        <f>1367.72</f>
        <v>1367.72</v>
      </c>
      <c r="O17" s="741">
        <v>1722.72</v>
      </c>
      <c r="P17" s="741">
        <v>34.119999999999997</v>
      </c>
      <c r="Q17" s="741">
        <v>34.119999999999997</v>
      </c>
      <c r="R17" s="728">
        <f t="shared" si="2"/>
        <v>1401.84</v>
      </c>
      <c r="S17" s="728">
        <f t="shared" si="3"/>
        <v>1756.84</v>
      </c>
      <c r="T17" s="741">
        <f>15257.22</f>
        <v>15257.22</v>
      </c>
      <c r="U17" s="741">
        <v>19129.22</v>
      </c>
      <c r="V17" s="741">
        <v>338.94</v>
      </c>
      <c r="W17" s="741">
        <v>338.94</v>
      </c>
      <c r="X17" s="728">
        <f t="shared" si="4"/>
        <v>15596.16</v>
      </c>
      <c r="Y17" s="728">
        <f t="shared" si="5"/>
        <v>19468.16</v>
      </c>
      <c r="Z17" s="741">
        <f>208009.56</f>
        <v>208009.56</v>
      </c>
      <c r="AA17" s="741">
        <v>204393.76</v>
      </c>
      <c r="AB17" s="741">
        <v>2012.35</v>
      </c>
      <c r="AC17" s="741">
        <v>2012.35</v>
      </c>
      <c r="AD17" s="728">
        <f t="shared" si="6"/>
        <v>210021.91</v>
      </c>
      <c r="AE17" s="728">
        <f t="shared" si="7"/>
        <v>206406.11000000002</v>
      </c>
      <c r="AF17" s="741">
        <v>4508.96</v>
      </c>
      <c r="AG17" s="741">
        <v>4142.5</v>
      </c>
      <c r="AH17" s="728">
        <f t="shared" si="8"/>
        <v>252644.91</v>
      </c>
      <c r="AI17" s="728">
        <f t="shared" si="9"/>
        <v>256597.38</v>
      </c>
      <c r="AJ17" s="1902">
        <f t="shared" si="10"/>
        <v>227371.23928443337</v>
      </c>
      <c r="AK17" s="730">
        <v>1538.31</v>
      </c>
      <c r="AL17" s="730">
        <f t="shared" si="11"/>
        <v>1607.9524979389041</v>
      </c>
      <c r="AM17" s="731">
        <f t="shared" si="12"/>
        <v>133.93643586467883</v>
      </c>
      <c r="AN17" s="731">
        <v>2219.77</v>
      </c>
      <c r="AO17" s="731"/>
      <c r="AP17" s="731">
        <f t="shared" si="13"/>
        <v>749.90869454911729</v>
      </c>
      <c r="AQ17" s="731">
        <f t="shared" si="14"/>
        <v>93.990481308546563</v>
      </c>
      <c r="AR17" s="732">
        <f t="shared" si="15"/>
        <v>5155.5527220690119</v>
      </c>
      <c r="AS17" s="730">
        <f t="shared" si="16"/>
        <v>52960.709353778031</v>
      </c>
      <c r="AT17" s="730">
        <f t="shared" si="17"/>
        <v>29432.873906615143</v>
      </c>
      <c r="AU17" s="733">
        <f t="shared" si="18"/>
        <v>277.27191986021234</v>
      </c>
      <c r="AV17" s="733"/>
      <c r="AW17" s="733">
        <f t="shared" si="27"/>
        <v>64308.246087740852</v>
      </c>
      <c r="AX17" s="1899">
        <f t="shared" si="19"/>
        <v>158478.52209972448</v>
      </c>
      <c r="AY17" s="467">
        <f t="shared" si="28"/>
        <v>648.49738325983094</v>
      </c>
      <c r="AZ17" s="467">
        <v>149.28</v>
      </c>
      <c r="BA17" s="1515">
        <f t="shared" si="29"/>
        <v>35421.178229024299</v>
      </c>
      <c r="BB17" s="1515"/>
      <c r="BC17" s="1901">
        <f t="shared" si="20"/>
        <v>36218.955612284131</v>
      </c>
      <c r="BD17" s="1513">
        <f t="shared" si="21"/>
        <v>2347.5156602103893</v>
      </c>
      <c r="BE17" s="625">
        <f t="shared" si="22"/>
        <v>30326.245912214366</v>
      </c>
      <c r="BF17" s="1513">
        <f t="shared" si="23"/>
        <v>25273.670715566637</v>
      </c>
      <c r="BG17" s="1502">
        <f t="shared" si="24"/>
        <v>101.56443682162445</v>
      </c>
      <c r="BH17" s="1513">
        <f t="shared" si="25"/>
        <v>12.974167030972659</v>
      </c>
      <c r="BI17" s="1521">
        <f t="shared" si="26"/>
        <v>-3952.4700000000012</v>
      </c>
      <c r="BJ17" s="1521">
        <v>14.53</v>
      </c>
    </row>
    <row r="18" spans="1:62" s="124" customFormat="1" ht="15" x14ac:dyDescent="0.25">
      <c r="A18" s="19">
        <v>14</v>
      </c>
      <c r="B18" s="1514" t="s">
        <v>103</v>
      </c>
      <c r="C18" s="745">
        <v>1986</v>
      </c>
      <c r="D18" s="745">
        <v>3</v>
      </c>
      <c r="E18" s="745">
        <v>24</v>
      </c>
      <c r="F18" s="746">
        <v>63</v>
      </c>
      <c r="G18" s="741">
        <v>1454.3</v>
      </c>
      <c r="H18" s="741">
        <f>19707.91</f>
        <v>19707.91</v>
      </c>
      <c r="I18" s="741">
        <v>23702.99</v>
      </c>
      <c r="J18" s="741">
        <v>1234.01</v>
      </c>
      <c r="K18" s="741">
        <v>1234.01</v>
      </c>
      <c r="L18" s="728">
        <f t="shared" si="0"/>
        <v>20941.919999999998</v>
      </c>
      <c r="M18" s="728">
        <f t="shared" si="1"/>
        <v>24937</v>
      </c>
      <c r="N18" s="741">
        <f>1313.84</f>
        <v>1313.84</v>
      </c>
      <c r="O18" s="741">
        <v>1580.15</v>
      </c>
      <c r="P18" s="741">
        <v>82.28</v>
      </c>
      <c r="Q18" s="741">
        <v>82.28</v>
      </c>
      <c r="R18" s="728">
        <f t="shared" si="2"/>
        <v>1396.12</v>
      </c>
      <c r="S18" s="728">
        <f t="shared" si="3"/>
        <v>1662.43</v>
      </c>
      <c r="T18" s="741">
        <f>14742.18</f>
        <v>14742.18</v>
      </c>
      <c r="U18" s="741">
        <v>17541.919999999998</v>
      </c>
      <c r="V18" s="741">
        <v>789.6</v>
      </c>
      <c r="W18" s="741">
        <v>789.6</v>
      </c>
      <c r="X18" s="728">
        <f t="shared" si="4"/>
        <v>15531.78</v>
      </c>
      <c r="Y18" s="728">
        <f t="shared" si="5"/>
        <v>18331.519999999997</v>
      </c>
      <c r="Z18" s="741">
        <f>204216.59</f>
        <v>204216.59</v>
      </c>
      <c r="AA18" s="741">
        <v>184997.41</v>
      </c>
      <c r="AB18" s="741">
        <v>4853.7700000000004</v>
      </c>
      <c r="AC18" s="741">
        <v>4853.7700000000004</v>
      </c>
      <c r="AD18" s="728">
        <f t="shared" si="6"/>
        <v>209070.36</v>
      </c>
      <c r="AE18" s="728">
        <f t="shared" si="7"/>
        <v>189851.18</v>
      </c>
      <c r="AF18" s="741">
        <v>4616.87</v>
      </c>
      <c r="AG18" s="741">
        <v>3960.91</v>
      </c>
      <c r="AH18" s="728">
        <f t="shared" si="8"/>
        <v>251557.05</v>
      </c>
      <c r="AI18" s="728">
        <f t="shared" si="9"/>
        <v>238743.04000000001</v>
      </c>
      <c r="AJ18" s="1902">
        <f t="shared" si="10"/>
        <v>229005.88080097464</v>
      </c>
      <c r="AK18" s="730">
        <v>2596.56</v>
      </c>
      <c r="AL18" s="730">
        <f t="shared" si="11"/>
        <v>1601.2252160369676</v>
      </c>
      <c r="AM18" s="731">
        <f t="shared" si="12"/>
        <v>133.37607841496731</v>
      </c>
      <c r="AN18" s="731">
        <v>2260.65</v>
      </c>
      <c r="AO18" s="731">
        <v>1450</v>
      </c>
      <c r="AP18" s="731">
        <f t="shared" si="13"/>
        <v>746.77125908668188</v>
      </c>
      <c r="AQ18" s="731">
        <f t="shared" si="14"/>
        <v>93.597248010503378</v>
      </c>
      <c r="AR18" s="732">
        <f t="shared" si="15"/>
        <v>5133.9831442574095</v>
      </c>
      <c r="AS18" s="730">
        <f t="shared" si="16"/>
        <v>52739.134635615606</v>
      </c>
      <c r="AT18" s="730">
        <f t="shared" si="17"/>
        <v>29309.73392567183</v>
      </c>
      <c r="AU18" s="733">
        <f t="shared" si="18"/>
        <v>276.11188163098501</v>
      </c>
      <c r="AV18" s="733"/>
      <c r="AW18" s="733">
        <f t="shared" si="27"/>
        <v>64039.196037689086</v>
      </c>
      <c r="AX18" s="1899">
        <f t="shared" si="19"/>
        <v>160380.33942641402</v>
      </c>
      <c r="AY18" s="467">
        <f t="shared" si="28"/>
        <v>645.78422804196907</v>
      </c>
      <c r="AZ18" s="467">
        <v>169.71</v>
      </c>
      <c r="BA18" s="1515">
        <f t="shared" si="29"/>
        <v>35272.984640251729</v>
      </c>
      <c r="BB18" s="1515"/>
      <c r="BC18" s="1901">
        <f t="shared" si="20"/>
        <v>36088.4788682937</v>
      </c>
      <c r="BD18" s="1513">
        <f t="shared" si="21"/>
        <v>2337.6942260351334</v>
      </c>
      <c r="BE18" s="625">
        <f t="shared" si="22"/>
        <v>30199.368280231818</v>
      </c>
      <c r="BF18" s="1513">
        <f t="shared" si="23"/>
        <v>22551.169199025346</v>
      </c>
      <c r="BG18" s="1502">
        <f t="shared" si="24"/>
        <v>94.90612169287246</v>
      </c>
      <c r="BH18" s="1513">
        <f t="shared" si="25"/>
        <v>13.122342982934208</v>
      </c>
      <c r="BI18" s="1521">
        <f t="shared" si="26"/>
        <v>12814.00999999998</v>
      </c>
      <c r="BJ18" s="1521">
        <v>14.52</v>
      </c>
    </row>
    <row r="19" spans="1:62" s="124" customFormat="1" ht="15" x14ac:dyDescent="0.25">
      <c r="A19" s="19">
        <v>15</v>
      </c>
      <c r="B19" s="1514" t="s">
        <v>104</v>
      </c>
      <c r="C19" s="745">
        <v>1985</v>
      </c>
      <c r="D19" s="745">
        <v>3</v>
      </c>
      <c r="E19" s="745">
        <v>24</v>
      </c>
      <c r="F19" s="708">
        <v>88</v>
      </c>
      <c r="G19" s="741">
        <v>1464.7</v>
      </c>
      <c r="H19" s="741">
        <f>18769.83</f>
        <v>18769.830000000002</v>
      </c>
      <c r="I19" s="741">
        <v>25657.95</v>
      </c>
      <c r="J19" s="741">
        <v>2316.09</v>
      </c>
      <c r="K19" s="741">
        <v>2316.09</v>
      </c>
      <c r="L19" s="728">
        <f t="shared" si="0"/>
        <v>21085.920000000002</v>
      </c>
      <c r="M19" s="728">
        <f t="shared" si="1"/>
        <v>27974.04</v>
      </c>
      <c r="N19" s="741">
        <v>1251.27</v>
      </c>
      <c r="O19" s="741">
        <v>1710.45</v>
      </c>
      <c r="P19" s="741">
        <v>154.41</v>
      </c>
      <c r="Q19" s="741">
        <v>154.41</v>
      </c>
      <c r="R19" s="728">
        <f t="shared" si="2"/>
        <v>1405.68</v>
      </c>
      <c r="S19" s="728">
        <f t="shared" si="3"/>
        <v>1864.8600000000001</v>
      </c>
      <c r="T19" s="741">
        <f>14232.56</f>
        <v>14232.56</v>
      </c>
      <c r="U19" s="741">
        <v>18900.88</v>
      </c>
      <c r="V19" s="741">
        <v>1406.26</v>
      </c>
      <c r="W19" s="741">
        <v>1406.26</v>
      </c>
      <c r="X19" s="728">
        <f t="shared" si="4"/>
        <v>15638.82</v>
      </c>
      <c r="Y19" s="728">
        <f t="shared" si="5"/>
        <v>20307.14</v>
      </c>
      <c r="Z19" s="741">
        <f>201397.79</f>
        <v>201397.79</v>
      </c>
      <c r="AA19" s="741">
        <v>197512.68</v>
      </c>
      <c r="AB19" s="741">
        <v>9109.93</v>
      </c>
      <c r="AC19" s="741">
        <v>9109.93</v>
      </c>
      <c r="AD19" s="728">
        <f t="shared" si="6"/>
        <v>210507.72</v>
      </c>
      <c r="AE19" s="728">
        <f t="shared" si="7"/>
        <v>206622.61</v>
      </c>
      <c r="AF19" s="741">
        <v>4766.3599999999997</v>
      </c>
      <c r="AG19" s="741">
        <v>4158.38</v>
      </c>
      <c r="AH19" s="728">
        <f t="shared" si="8"/>
        <v>253404.5</v>
      </c>
      <c r="AI19" s="728">
        <f t="shared" si="9"/>
        <v>260927.03</v>
      </c>
      <c r="AJ19" s="1902">
        <f t="shared" si="10"/>
        <v>228348.47141111709</v>
      </c>
      <c r="AK19" s="730">
        <v>1270.8399999999999</v>
      </c>
      <c r="AL19" s="730">
        <f t="shared" si="11"/>
        <v>1612.6759086360082</v>
      </c>
      <c r="AM19" s="731">
        <f t="shared" si="12"/>
        <v>134.32987832936988</v>
      </c>
      <c r="AN19" s="731">
        <v>2787.61</v>
      </c>
      <c r="AO19" s="731"/>
      <c r="AP19" s="731">
        <f t="shared" si="13"/>
        <v>752.11157476742289</v>
      </c>
      <c r="AQ19" s="731">
        <f t="shared" si="14"/>
        <v>94.266581283768346</v>
      </c>
      <c r="AR19" s="732">
        <f t="shared" si="15"/>
        <v>5170.6973192558817</v>
      </c>
      <c r="AS19" s="730">
        <f t="shared" si="16"/>
        <v>53116.283092062287</v>
      </c>
      <c r="AT19" s="730">
        <f t="shared" si="17"/>
        <v>29519.333893234911</v>
      </c>
      <c r="AU19" s="733">
        <f t="shared" si="18"/>
        <v>278.08641478711667</v>
      </c>
      <c r="AV19" s="733"/>
      <c r="AW19" s="733">
        <f t="shared" si="27"/>
        <v>64497.153569692091</v>
      </c>
      <c r="AX19" s="1899">
        <f t="shared" si="19"/>
        <v>159233.38823204883</v>
      </c>
      <c r="AY19" s="467">
        <f t="shared" si="28"/>
        <v>650.40236458301047</v>
      </c>
      <c r="AZ19" s="467">
        <v>169.71</v>
      </c>
      <c r="BA19" s="1515">
        <f t="shared" si="29"/>
        <v>35525.229046673114</v>
      </c>
      <c r="BB19" s="1515"/>
      <c r="BC19" s="1901">
        <f t="shared" si="20"/>
        <v>36345.341411256122</v>
      </c>
      <c r="BD19" s="1513">
        <f t="shared" si="21"/>
        <v>2354.4115608015268</v>
      </c>
      <c r="BE19" s="625">
        <f t="shared" si="22"/>
        <v>30415.330207010622</v>
      </c>
      <c r="BF19" s="1513">
        <f t="shared" si="23"/>
        <v>25056.028588882909</v>
      </c>
      <c r="BG19" s="1502">
        <f t="shared" si="24"/>
        <v>102.96858579859473</v>
      </c>
      <c r="BH19" s="1513">
        <f t="shared" si="25"/>
        <v>12.991765743332941</v>
      </c>
      <c r="BI19" s="1521">
        <f t="shared" si="26"/>
        <v>-7522.5299999999988</v>
      </c>
      <c r="BJ19" s="1521">
        <v>14.52</v>
      </c>
    </row>
    <row r="20" spans="1:62" s="124" customFormat="1" ht="15" x14ac:dyDescent="0.25">
      <c r="A20" s="19">
        <v>16</v>
      </c>
      <c r="B20" s="507" t="s">
        <v>105</v>
      </c>
      <c r="C20" s="745">
        <v>1976</v>
      </c>
      <c r="D20" s="745">
        <v>2</v>
      </c>
      <c r="E20" s="745">
        <v>18</v>
      </c>
      <c r="F20" s="349">
        <v>35</v>
      </c>
      <c r="G20" s="741">
        <v>766.9</v>
      </c>
      <c r="H20" s="741"/>
      <c r="I20" s="741"/>
      <c r="J20" s="741"/>
      <c r="K20" s="741"/>
      <c r="L20" s="728">
        <f t="shared" si="0"/>
        <v>0</v>
      </c>
      <c r="M20" s="728">
        <f t="shared" si="1"/>
        <v>0</v>
      </c>
      <c r="N20" s="741">
        <f>672.1</f>
        <v>672.1</v>
      </c>
      <c r="O20" s="741">
        <v>890.94</v>
      </c>
      <c r="P20" s="741">
        <v>64.040000000000006</v>
      </c>
      <c r="Q20" s="741">
        <v>64.040000000000006</v>
      </c>
      <c r="R20" s="728">
        <f t="shared" si="2"/>
        <v>736.14</v>
      </c>
      <c r="S20" s="728">
        <f t="shared" si="3"/>
        <v>954.98</v>
      </c>
      <c r="T20" s="741">
        <f>7572.99</f>
        <v>7572.99</v>
      </c>
      <c r="U20" s="741">
        <v>9877.24</v>
      </c>
      <c r="V20" s="741">
        <v>617.37</v>
      </c>
      <c r="W20" s="741">
        <v>617.37</v>
      </c>
      <c r="X20" s="728">
        <f t="shared" si="4"/>
        <v>8190.36</v>
      </c>
      <c r="Y20" s="728">
        <f t="shared" si="5"/>
        <v>10494.61</v>
      </c>
      <c r="Z20" s="741">
        <f>89643.85</f>
        <v>89643.85</v>
      </c>
      <c r="AA20" s="741">
        <v>88760.51</v>
      </c>
      <c r="AB20" s="741">
        <v>3580.61</v>
      </c>
      <c r="AC20" s="741">
        <v>3580.61</v>
      </c>
      <c r="AD20" s="728">
        <f t="shared" si="6"/>
        <v>93224.46</v>
      </c>
      <c r="AE20" s="728">
        <f t="shared" si="7"/>
        <v>92341.119999999995</v>
      </c>
      <c r="AF20" s="741">
        <v>1770.24</v>
      </c>
      <c r="AG20" s="741">
        <v>1641.15</v>
      </c>
      <c r="AH20" s="728">
        <f t="shared" si="8"/>
        <v>103921.20000000001</v>
      </c>
      <c r="AI20" s="728">
        <f t="shared" si="9"/>
        <v>105431.85999999999</v>
      </c>
      <c r="AJ20" s="1902">
        <f t="shared" si="10"/>
        <v>105426.07333849485</v>
      </c>
      <c r="AK20" s="730">
        <v>3313.81</v>
      </c>
      <c r="AL20" s="730">
        <f t="shared" si="11"/>
        <v>844.37847636577771</v>
      </c>
      <c r="AM20" s="731">
        <f t="shared" si="12"/>
        <v>70.333572534166564</v>
      </c>
      <c r="AN20" s="731">
        <v>2406.6</v>
      </c>
      <c r="AO20" s="731">
        <v>1300</v>
      </c>
      <c r="AP20" s="731">
        <f t="shared" si="13"/>
        <v>393.79693226540354</v>
      </c>
      <c r="AQ20" s="731">
        <f t="shared" si="14"/>
        <v>49.356893006432678</v>
      </c>
      <c r="AR20" s="732">
        <f t="shared" si="15"/>
        <v>2707.3173852238242</v>
      </c>
      <c r="AS20" s="730">
        <f t="shared" si="16"/>
        <v>27811.072235476589</v>
      </c>
      <c r="AT20" s="730">
        <f t="shared" si="17"/>
        <v>15455.982223473648</v>
      </c>
      <c r="AU20" s="733">
        <f t="shared" si="18"/>
        <v>145.6028343689764</v>
      </c>
      <c r="AV20" s="733"/>
      <c r="AW20" s="733">
        <f t="shared" si="27"/>
        <v>33769.964547413714</v>
      </c>
      <c r="AX20" s="1899">
        <f t="shared" si="19"/>
        <v>88268.215100128538</v>
      </c>
      <c r="AY20" s="467"/>
      <c r="AZ20" s="467"/>
      <c r="BA20" s="1515"/>
      <c r="BB20" s="1515"/>
      <c r="BC20" s="1901">
        <f t="shared" si="20"/>
        <v>0</v>
      </c>
      <c r="BD20" s="1513">
        <f t="shared" si="21"/>
        <v>1232.7426954179632</v>
      </c>
      <c r="BE20" s="625">
        <f t="shared" si="22"/>
        <v>15925.115542948348</v>
      </c>
      <c r="BF20" s="1513">
        <f t="shared" si="23"/>
        <v>-1504.8733384948428</v>
      </c>
      <c r="BG20" s="1502">
        <f t="shared" si="24"/>
        <v>101.45365911863986</v>
      </c>
      <c r="BH20" s="1513">
        <f t="shared" si="25"/>
        <v>11.455869228766772</v>
      </c>
      <c r="BI20" s="1521">
        <f t="shared" si="26"/>
        <v>-1510.6599999999744</v>
      </c>
      <c r="BJ20" s="1521">
        <v>11.39</v>
      </c>
    </row>
    <row r="21" spans="1:62" s="124" customFormat="1" ht="15" x14ac:dyDescent="0.25">
      <c r="A21" s="19">
        <v>17</v>
      </c>
      <c r="B21" s="564" t="s">
        <v>106</v>
      </c>
      <c r="C21" s="745">
        <v>1975</v>
      </c>
      <c r="D21" s="745">
        <v>2</v>
      </c>
      <c r="E21" s="745">
        <v>18</v>
      </c>
      <c r="F21" s="708">
        <v>49</v>
      </c>
      <c r="G21" s="741">
        <v>778.78</v>
      </c>
      <c r="H21" s="741"/>
      <c r="I21" s="741"/>
      <c r="J21" s="741"/>
      <c r="K21" s="741"/>
      <c r="L21" s="728">
        <f t="shared" si="0"/>
        <v>0</v>
      </c>
      <c r="M21" s="728">
        <f t="shared" si="1"/>
        <v>0</v>
      </c>
      <c r="N21" s="741">
        <f>683.17</f>
        <v>683.17</v>
      </c>
      <c r="O21" s="741">
        <v>900.31</v>
      </c>
      <c r="P21" s="741">
        <v>56.32</v>
      </c>
      <c r="Q21" s="741">
        <v>56.32</v>
      </c>
      <c r="R21" s="728">
        <f t="shared" si="2"/>
        <v>739.49</v>
      </c>
      <c r="S21" s="728">
        <f t="shared" si="3"/>
        <v>956.63</v>
      </c>
      <c r="T21" s="741">
        <f>7684.83</f>
        <v>7684.83</v>
      </c>
      <c r="U21" s="741">
        <v>9978.36</v>
      </c>
      <c r="V21" s="741">
        <v>542.96</v>
      </c>
      <c r="W21" s="741">
        <v>542.96</v>
      </c>
      <c r="X21" s="728">
        <f t="shared" si="4"/>
        <v>8227.7900000000009</v>
      </c>
      <c r="Y21" s="728">
        <f t="shared" si="5"/>
        <v>10521.32</v>
      </c>
      <c r="Z21" s="741">
        <f>90436.74</f>
        <v>90436.74</v>
      </c>
      <c r="AA21" s="741">
        <v>89974.97</v>
      </c>
      <c r="AB21" s="741">
        <v>3118.19</v>
      </c>
      <c r="AC21" s="741">
        <v>3118.19</v>
      </c>
      <c r="AD21" s="728">
        <f t="shared" si="6"/>
        <v>93554.930000000008</v>
      </c>
      <c r="AE21" s="728">
        <f t="shared" si="7"/>
        <v>93093.16</v>
      </c>
      <c r="AF21" s="741">
        <v>1770.09</v>
      </c>
      <c r="AG21" s="741">
        <v>1689.49</v>
      </c>
      <c r="AH21" s="728">
        <f t="shared" si="8"/>
        <v>104292.3</v>
      </c>
      <c r="AI21" s="728">
        <f t="shared" si="9"/>
        <v>106260.6</v>
      </c>
      <c r="AJ21" s="1902">
        <f t="shared" si="10"/>
        <v>103686.34932292742</v>
      </c>
      <c r="AK21" s="730">
        <v>1349.69</v>
      </c>
      <c r="AL21" s="730">
        <f t="shared" si="11"/>
        <v>857.45869060391237</v>
      </c>
      <c r="AM21" s="731">
        <f t="shared" si="12"/>
        <v>71.423105513311029</v>
      </c>
      <c r="AN21" s="731">
        <v>2406.6</v>
      </c>
      <c r="AO21" s="731"/>
      <c r="AP21" s="731">
        <f t="shared" si="13"/>
        <v>399.89721594686523</v>
      </c>
      <c r="AQ21" s="731">
        <f t="shared" si="14"/>
        <v>50.121477553200734</v>
      </c>
      <c r="AR21" s="732">
        <f t="shared" si="15"/>
        <v>2749.2562697413086</v>
      </c>
      <c r="AS21" s="730">
        <f t="shared" si="16"/>
        <v>28241.891818417604</v>
      </c>
      <c r="AT21" s="730">
        <f t="shared" si="17"/>
        <v>15695.409878728397</v>
      </c>
      <c r="AU21" s="733">
        <f t="shared" si="18"/>
        <v>147.85835878194217</v>
      </c>
      <c r="AV21" s="733"/>
      <c r="AW21" s="733">
        <f t="shared" si="27"/>
        <v>34293.092958970985</v>
      </c>
      <c r="AX21" s="1899">
        <f t="shared" si="19"/>
        <v>86262.699774257548</v>
      </c>
      <c r="AY21" s="467"/>
      <c r="AZ21" s="467"/>
      <c r="BA21" s="1515"/>
      <c r="BB21" s="1515"/>
      <c r="BC21" s="1901">
        <f t="shared" si="20"/>
        <v>0</v>
      </c>
      <c r="BD21" s="1513">
        <f t="shared" si="21"/>
        <v>1251.8390355164968</v>
      </c>
      <c r="BE21" s="625">
        <f t="shared" si="22"/>
        <v>16171.810513153363</v>
      </c>
      <c r="BF21" s="1513">
        <f t="shared" si="23"/>
        <v>605.95067707258568</v>
      </c>
      <c r="BG21" s="1502">
        <f t="shared" si="24"/>
        <v>101.88729177513585</v>
      </c>
      <c r="BH21" s="1513">
        <f t="shared" si="25"/>
        <v>11.094955071064938</v>
      </c>
      <c r="BI21" s="1521">
        <f t="shared" si="26"/>
        <v>-1968.3000000000029</v>
      </c>
      <c r="BJ21" s="1521">
        <v>11.38</v>
      </c>
    </row>
    <row r="22" spans="1:62" s="124" customFormat="1" ht="15" x14ac:dyDescent="0.25">
      <c r="A22" s="19">
        <v>18</v>
      </c>
      <c r="B22" s="564" t="s">
        <v>668</v>
      </c>
      <c r="C22" s="745">
        <v>1987</v>
      </c>
      <c r="D22" s="745">
        <v>1</v>
      </c>
      <c r="E22" s="745">
        <v>2</v>
      </c>
      <c r="F22" s="349">
        <v>10</v>
      </c>
      <c r="G22" s="747">
        <v>126.2</v>
      </c>
      <c r="H22" s="747"/>
      <c r="I22" s="747"/>
      <c r="J22" s="747"/>
      <c r="K22" s="747"/>
      <c r="L22" s="728">
        <f t="shared" si="0"/>
        <v>0</v>
      </c>
      <c r="M22" s="728">
        <f t="shared" si="1"/>
        <v>0</v>
      </c>
      <c r="N22" s="747">
        <v>69.349999999999994</v>
      </c>
      <c r="O22" s="747">
        <v>85.65</v>
      </c>
      <c r="P22" s="747"/>
      <c r="Q22" s="747"/>
      <c r="R22" s="728">
        <f t="shared" si="2"/>
        <v>69.349999999999994</v>
      </c>
      <c r="S22" s="728">
        <f t="shared" si="3"/>
        <v>85.65</v>
      </c>
      <c r="T22" s="747">
        <v>771.26</v>
      </c>
      <c r="U22" s="747">
        <v>952.53</v>
      </c>
      <c r="V22" s="747"/>
      <c r="W22" s="747"/>
      <c r="X22" s="728">
        <f t="shared" si="4"/>
        <v>771.26</v>
      </c>
      <c r="Y22" s="728">
        <f t="shared" si="5"/>
        <v>952.53</v>
      </c>
      <c r="Z22" s="747">
        <v>3877.92</v>
      </c>
      <c r="AA22" s="747">
        <v>4789.34</v>
      </c>
      <c r="AB22" s="747"/>
      <c r="AC22" s="747"/>
      <c r="AD22" s="728">
        <f t="shared" si="6"/>
        <v>3877.92</v>
      </c>
      <c r="AE22" s="728">
        <f t="shared" si="7"/>
        <v>4789.34</v>
      </c>
      <c r="AF22" s="747">
        <v>0</v>
      </c>
      <c r="AG22" s="747">
        <v>0</v>
      </c>
      <c r="AH22" s="728">
        <f t="shared" si="8"/>
        <v>4718.53</v>
      </c>
      <c r="AI22" s="728">
        <f t="shared" si="9"/>
        <v>5827.52</v>
      </c>
      <c r="AJ22" s="1902">
        <f t="shared" si="10"/>
        <v>10636.360917244021</v>
      </c>
      <c r="AK22" s="730"/>
      <c r="AL22" s="730">
        <f t="shared" si="11"/>
        <v>138.94975057681725</v>
      </c>
      <c r="AM22" s="731">
        <f t="shared" si="12"/>
        <v>11.573995115154284</v>
      </c>
      <c r="AN22" s="731"/>
      <c r="AO22" s="731"/>
      <c r="AP22" s="731">
        <f t="shared" si="13"/>
        <v>64.802676818221315</v>
      </c>
      <c r="AQ22" s="731">
        <f t="shared" si="14"/>
        <v>8.1221018351959895</v>
      </c>
      <c r="AR22" s="732">
        <f t="shared" si="15"/>
        <v>445.51239276991345</v>
      </c>
      <c r="AS22" s="730">
        <f t="shared" si="16"/>
        <v>4576.5514618817915</v>
      </c>
      <c r="AT22" s="730">
        <f t="shared" si="17"/>
        <v>2543.4149910058345</v>
      </c>
      <c r="AU22" s="733">
        <f t="shared" si="18"/>
        <v>23.960200413828169</v>
      </c>
      <c r="AV22" s="1505"/>
      <c r="AW22" s="1505"/>
      <c r="AX22" s="1899">
        <f t="shared" si="19"/>
        <v>7812.8875704167576</v>
      </c>
      <c r="AY22" s="1516"/>
      <c r="AZ22" s="1516"/>
      <c r="BA22" s="1517"/>
      <c r="BB22" s="1517"/>
      <c r="BC22" s="1901">
        <f t="shared" si="20"/>
        <v>0</v>
      </c>
      <c r="BD22" s="1513">
        <f t="shared" si="21"/>
        <v>202.85842764603854</v>
      </c>
      <c r="BE22" s="625">
        <f t="shared" si="22"/>
        <v>2620.6149191812251</v>
      </c>
      <c r="BF22" s="1513">
        <f t="shared" si="23"/>
        <v>-5917.8309172440213</v>
      </c>
      <c r="BG22" s="1502">
        <f t="shared" si="24"/>
        <v>123.50287059741065</v>
      </c>
      <c r="BH22" s="1513">
        <f t="shared" si="25"/>
        <v>7.0234818523798346</v>
      </c>
      <c r="BI22" s="1521">
        <f t="shared" si="26"/>
        <v>-1108.9900000000007</v>
      </c>
      <c r="BJ22" s="1521"/>
    </row>
    <row r="23" spans="1:62" s="124" customFormat="1" ht="15" x14ac:dyDescent="0.25">
      <c r="A23" s="19">
        <v>19</v>
      </c>
      <c r="B23" s="564" t="s">
        <v>108</v>
      </c>
      <c r="C23" s="745">
        <v>1987</v>
      </c>
      <c r="D23" s="745">
        <v>1</v>
      </c>
      <c r="E23" s="745">
        <v>2</v>
      </c>
      <c r="F23" s="708">
        <v>11</v>
      </c>
      <c r="G23" s="747">
        <v>125.8</v>
      </c>
      <c r="H23" s="747"/>
      <c r="I23" s="747"/>
      <c r="J23" s="747"/>
      <c r="K23" s="747"/>
      <c r="L23" s="728">
        <f t="shared" si="0"/>
        <v>0</v>
      </c>
      <c r="M23" s="728">
        <f t="shared" si="1"/>
        <v>0</v>
      </c>
      <c r="N23" s="747">
        <v>120.78</v>
      </c>
      <c r="O23" s="747">
        <v>140.91</v>
      </c>
      <c r="P23" s="747"/>
      <c r="Q23" s="747"/>
      <c r="R23" s="728">
        <f t="shared" si="2"/>
        <v>120.78</v>
      </c>
      <c r="S23" s="728">
        <f t="shared" si="3"/>
        <v>140.91</v>
      </c>
      <c r="T23" s="747">
        <v>1343.58</v>
      </c>
      <c r="U23" s="747">
        <v>1567.51</v>
      </c>
      <c r="V23" s="747"/>
      <c r="W23" s="747"/>
      <c r="X23" s="728">
        <f t="shared" si="4"/>
        <v>1343.58</v>
      </c>
      <c r="Y23" s="728">
        <f t="shared" si="5"/>
        <v>1567.51</v>
      </c>
      <c r="Z23" s="747">
        <v>15405.48</v>
      </c>
      <c r="AA23" s="747">
        <v>15087.2</v>
      </c>
      <c r="AB23" s="747"/>
      <c r="AC23" s="747"/>
      <c r="AD23" s="728">
        <f t="shared" si="6"/>
        <v>15405.48</v>
      </c>
      <c r="AE23" s="728">
        <f t="shared" si="7"/>
        <v>15087.2</v>
      </c>
      <c r="AF23" s="747">
        <v>0</v>
      </c>
      <c r="AG23" s="747">
        <v>0</v>
      </c>
      <c r="AH23" s="728">
        <f t="shared" si="8"/>
        <v>16869.84</v>
      </c>
      <c r="AI23" s="728">
        <f t="shared" si="9"/>
        <v>16795.620000000003</v>
      </c>
      <c r="AJ23" s="1902">
        <f t="shared" si="10"/>
        <v>10602.648204352598</v>
      </c>
      <c r="AK23" s="730"/>
      <c r="AL23" s="730">
        <f t="shared" si="11"/>
        <v>138.50933932300799</v>
      </c>
      <c r="AM23" s="731">
        <f t="shared" si="12"/>
        <v>11.537310503061876</v>
      </c>
      <c r="AN23" s="731"/>
      <c r="AO23" s="731"/>
      <c r="AP23" s="731">
        <f t="shared" si="13"/>
        <v>64.597280061269743</v>
      </c>
      <c r="AQ23" s="731">
        <f t="shared" si="14"/>
        <v>8.0963582477627209</v>
      </c>
      <c r="AR23" s="732">
        <f t="shared" si="15"/>
        <v>444.10030911612608</v>
      </c>
      <c r="AS23" s="730">
        <f t="shared" si="16"/>
        <v>4562.0457520184573</v>
      </c>
      <c r="AT23" s="730">
        <f t="shared" si="17"/>
        <v>2535.3534537918699</v>
      </c>
      <c r="AU23" s="733">
        <f t="shared" si="18"/>
        <v>23.884256830900028</v>
      </c>
      <c r="AV23" s="733"/>
      <c r="AW23" s="733"/>
      <c r="AX23" s="1899">
        <f t="shared" si="19"/>
        <v>7788.1240598924569</v>
      </c>
      <c r="AY23" s="467"/>
      <c r="AZ23" s="467"/>
      <c r="BA23" s="1515"/>
      <c r="BB23" s="1515"/>
      <c r="BC23" s="1901">
        <f t="shared" si="20"/>
        <v>0</v>
      </c>
      <c r="BD23" s="1513">
        <f t="shared" si="21"/>
        <v>202.2154532319465</v>
      </c>
      <c r="BE23" s="625">
        <f t="shared" si="22"/>
        <v>2612.3086912281942</v>
      </c>
      <c r="BF23" s="1513">
        <f t="shared" si="23"/>
        <v>6267.1917956474026</v>
      </c>
      <c r="BG23" s="1502">
        <f t="shared" si="24"/>
        <v>99.56004324878009</v>
      </c>
      <c r="BH23" s="1513">
        <f t="shared" si="25"/>
        <v>7.0234818523798346</v>
      </c>
      <c r="BI23" s="1521">
        <f t="shared" si="26"/>
        <v>74.219999999997526</v>
      </c>
      <c r="BJ23" s="1521">
        <v>11.47</v>
      </c>
    </row>
    <row r="24" spans="1:62" s="124" customFormat="1" ht="15" customHeight="1" x14ac:dyDescent="0.25">
      <c r="A24" s="3">
        <v>20</v>
      </c>
      <c r="B24" s="1320" t="s">
        <v>669</v>
      </c>
      <c r="C24" s="737">
        <v>1985</v>
      </c>
      <c r="D24" s="737">
        <v>1</v>
      </c>
      <c r="E24" s="737">
        <v>2</v>
      </c>
      <c r="F24" s="708">
        <v>5</v>
      </c>
      <c r="G24" s="738">
        <v>125.6</v>
      </c>
      <c r="H24" s="738"/>
      <c r="I24" s="738"/>
      <c r="J24" s="738"/>
      <c r="K24" s="738"/>
      <c r="L24" s="728">
        <f t="shared" si="0"/>
        <v>0</v>
      </c>
      <c r="M24" s="728">
        <f t="shared" si="1"/>
        <v>0</v>
      </c>
      <c r="N24" s="738">
        <v>68.98</v>
      </c>
      <c r="O24" s="738">
        <v>99.37</v>
      </c>
      <c r="P24" s="738"/>
      <c r="Q24" s="738"/>
      <c r="R24" s="728">
        <f t="shared" si="2"/>
        <v>68.98</v>
      </c>
      <c r="S24" s="728">
        <f t="shared" si="3"/>
        <v>99.37</v>
      </c>
      <c r="T24" s="738">
        <v>767.59</v>
      </c>
      <c r="U24" s="738">
        <v>1105.8399999999999</v>
      </c>
      <c r="V24" s="738"/>
      <c r="W24" s="738"/>
      <c r="X24" s="728">
        <f t="shared" si="4"/>
        <v>767.59</v>
      </c>
      <c r="Y24" s="728">
        <f t="shared" si="5"/>
        <v>1105.8399999999999</v>
      </c>
      <c r="Z24" s="738">
        <v>3855.18</v>
      </c>
      <c r="AA24" s="738">
        <v>5554.01</v>
      </c>
      <c r="AB24" s="738"/>
      <c r="AC24" s="738"/>
      <c r="AD24" s="728">
        <f t="shared" si="6"/>
        <v>3855.18</v>
      </c>
      <c r="AE24" s="728">
        <f t="shared" si="7"/>
        <v>5554.01</v>
      </c>
      <c r="AF24" s="738">
        <v>0</v>
      </c>
      <c r="AG24" s="738">
        <v>0</v>
      </c>
      <c r="AH24" s="728">
        <f t="shared" si="8"/>
        <v>4691.75</v>
      </c>
      <c r="AI24" s="728">
        <f t="shared" si="9"/>
        <v>6759.22</v>
      </c>
      <c r="AJ24" s="1902">
        <f t="shared" si="10"/>
        <v>10585.791847906885</v>
      </c>
      <c r="AK24" s="730"/>
      <c r="AL24" s="730">
        <f t="shared" si="11"/>
        <v>138.28913369610336</v>
      </c>
      <c r="AM24" s="731">
        <f t="shared" si="12"/>
        <v>11.518968197015674</v>
      </c>
      <c r="AN24" s="731"/>
      <c r="AO24" s="731"/>
      <c r="AP24" s="731">
        <f t="shared" si="13"/>
        <v>64.49458168279395</v>
      </c>
      <c r="AQ24" s="731">
        <f t="shared" si="14"/>
        <v>8.0834864540460867</v>
      </c>
      <c r="AR24" s="732">
        <f t="shared" si="15"/>
        <v>443.39426728923235</v>
      </c>
      <c r="AS24" s="730">
        <f t="shared" si="16"/>
        <v>4554.7928970867906</v>
      </c>
      <c r="AT24" s="730">
        <f t="shared" si="17"/>
        <v>2531.3226851848872</v>
      </c>
      <c r="AU24" s="733">
        <f t="shared" si="18"/>
        <v>23.846285039435958</v>
      </c>
      <c r="AV24" s="1505"/>
      <c r="AW24" s="1505"/>
      <c r="AX24" s="1899">
        <f t="shared" si="19"/>
        <v>7775.7423046303047</v>
      </c>
      <c r="AY24" s="1516"/>
      <c r="AZ24" s="1516"/>
      <c r="BA24" s="1517"/>
      <c r="BB24" s="1517"/>
      <c r="BC24" s="1901">
        <f t="shared" si="20"/>
        <v>0</v>
      </c>
      <c r="BD24" s="1513">
        <f t="shared" si="21"/>
        <v>201.89396602490046</v>
      </c>
      <c r="BE24" s="625">
        <f t="shared" si="22"/>
        <v>2608.155577251679</v>
      </c>
      <c r="BF24" s="1513">
        <f t="shared" si="23"/>
        <v>-5894.0418479068849</v>
      </c>
      <c r="BG24" s="1502">
        <f t="shared" si="24"/>
        <v>144.06607342675974</v>
      </c>
      <c r="BH24" s="1513">
        <f t="shared" si="25"/>
        <v>7.0234818523798337</v>
      </c>
      <c r="BI24" s="1521">
        <f t="shared" si="26"/>
        <v>-2067.4700000000003</v>
      </c>
      <c r="BJ24" s="1521"/>
    </row>
    <row r="25" spans="1:62" s="124" customFormat="1" ht="15" x14ac:dyDescent="0.25">
      <c r="A25" s="6">
        <v>21</v>
      </c>
      <c r="B25" s="1320" t="s">
        <v>670</v>
      </c>
      <c r="C25" s="737">
        <v>1990</v>
      </c>
      <c r="D25" s="737">
        <v>1</v>
      </c>
      <c r="E25" s="737">
        <v>1</v>
      </c>
      <c r="F25" s="661">
        <v>8</v>
      </c>
      <c r="G25" s="738">
        <v>127.7</v>
      </c>
      <c r="H25" s="738"/>
      <c r="I25" s="738"/>
      <c r="J25" s="738"/>
      <c r="K25" s="738"/>
      <c r="L25" s="728">
        <f t="shared" si="0"/>
        <v>0</v>
      </c>
      <c r="M25" s="728">
        <f t="shared" si="1"/>
        <v>0</v>
      </c>
      <c r="N25" s="738">
        <v>140.69999999999999</v>
      </c>
      <c r="O25" s="738">
        <v>156</v>
      </c>
      <c r="P25" s="738"/>
      <c r="Q25" s="738"/>
      <c r="R25" s="728">
        <f t="shared" si="2"/>
        <v>140.69999999999999</v>
      </c>
      <c r="S25" s="728">
        <f t="shared" si="3"/>
        <v>156</v>
      </c>
      <c r="T25" s="738">
        <v>1565.34</v>
      </c>
      <c r="U25" s="738">
        <v>1735.65</v>
      </c>
      <c r="V25" s="738"/>
      <c r="W25" s="738"/>
      <c r="X25" s="728">
        <f t="shared" si="4"/>
        <v>1565.34</v>
      </c>
      <c r="Y25" s="728">
        <f t="shared" si="5"/>
        <v>1735.65</v>
      </c>
      <c r="Z25" s="738">
        <v>4840.16</v>
      </c>
      <c r="AA25" s="738">
        <v>4453.09</v>
      </c>
      <c r="AB25" s="738"/>
      <c r="AC25" s="738"/>
      <c r="AD25" s="728">
        <f t="shared" si="6"/>
        <v>4840.16</v>
      </c>
      <c r="AE25" s="728">
        <f t="shared" si="7"/>
        <v>4453.09</v>
      </c>
      <c r="AF25" s="738">
        <v>0</v>
      </c>
      <c r="AG25" s="738">
        <v>0</v>
      </c>
      <c r="AH25" s="728">
        <f t="shared" si="8"/>
        <v>6546.2</v>
      </c>
      <c r="AI25" s="728">
        <f t="shared" si="9"/>
        <v>6344.74</v>
      </c>
      <c r="AJ25" s="1902">
        <f t="shared" si="10"/>
        <v>10762.783590586858</v>
      </c>
      <c r="AK25" s="730"/>
      <c r="AL25" s="730">
        <f t="shared" si="11"/>
        <v>140.60129277860193</v>
      </c>
      <c r="AM25" s="731">
        <f t="shared" si="12"/>
        <v>11.711562410500809</v>
      </c>
      <c r="AN25" s="731"/>
      <c r="AO25" s="731"/>
      <c r="AP25" s="731">
        <f t="shared" si="13"/>
        <v>65.57291465678972</v>
      </c>
      <c r="AQ25" s="731">
        <f t="shared" si="14"/>
        <v>8.218640288070743</v>
      </c>
      <c r="AR25" s="732">
        <f t="shared" si="15"/>
        <v>450.80770647161609</v>
      </c>
      <c r="AS25" s="730">
        <f t="shared" si="16"/>
        <v>4630.9478738692933</v>
      </c>
      <c r="AT25" s="730">
        <f t="shared" si="17"/>
        <v>2573.6457555582019</v>
      </c>
      <c r="AU25" s="733">
        <f t="shared" si="18"/>
        <v>24.244988849808696</v>
      </c>
      <c r="AV25" s="1505"/>
      <c r="AW25" s="1505"/>
      <c r="AX25" s="1899">
        <f t="shared" si="19"/>
        <v>7905.750734882884</v>
      </c>
      <c r="AY25" s="1516"/>
      <c r="AZ25" s="1516"/>
      <c r="BA25" s="1517"/>
      <c r="BB25" s="1517"/>
      <c r="BC25" s="1901">
        <f t="shared" si="20"/>
        <v>0</v>
      </c>
      <c r="BD25" s="1513">
        <f t="shared" si="21"/>
        <v>205.26958169888368</v>
      </c>
      <c r="BE25" s="625">
        <f t="shared" si="22"/>
        <v>2651.7632740050908</v>
      </c>
      <c r="BF25" s="1513">
        <f t="shared" si="23"/>
        <v>-4216.583590586858</v>
      </c>
      <c r="BG25" s="1502">
        <f t="shared" si="24"/>
        <v>96.922489383153589</v>
      </c>
      <c r="BH25" s="1513">
        <f t="shared" si="25"/>
        <v>7.0234818523798337</v>
      </c>
      <c r="BI25" s="1521">
        <f t="shared" si="26"/>
        <v>201.46000000000004</v>
      </c>
      <c r="BJ25" s="1521">
        <v>6.87</v>
      </c>
    </row>
    <row r="26" spans="1:62" s="124" customFormat="1" ht="15" x14ac:dyDescent="0.25">
      <c r="A26" s="6">
        <v>22</v>
      </c>
      <c r="B26" s="1320" t="s">
        <v>111</v>
      </c>
      <c r="C26" s="737">
        <v>1981</v>
      </c>
      <c r="D26" s="737">
        <v>1</v>
      </c>
      <c r="E26" s="737">
        <v>1</v>
      </c>
      <c r="F26" s="708">
        <v>6</v>
      </c>
      <c r="G26" s="738">
        <v>83.6</v>
      </c>
      <c r="H26" s="738"/>
      <c r="I26" s="738"/>
      <c r="J26" s="738"/>
      <c r="K26" s="738"/>
      <c r="L26" s="728">
        <f t="shared" si="0"/>
        <v>0</v>
      </c>
      <c r="M26" s="728">
        <f t="shared" si="1"/>
        <v>0</v>
      </c>
      <c r="N26" s="738">
        <v>80.28</v>
      </c>
      <c r="O26" s="738">
        <v>53.52</v>
      </c>
      <c r="P26" s="738"/>
      <c r="Q26" s="738"/>
      <c r="R26" s="728">
        <f t="shared" si="2"/>
        <v>80.28</v>
      </c>
      <c r="S26" s="728">
        <f t="shared" si="3"/>
        <v>53.52</v>
      </c>
      <c r="T26" s="738">
        <v>892.86</v>
      </c>
      <c r="U26" s="738">
        <v>595.24</v>
      </c>
      <c r="V26" s="738"/>
      <c r="W26" s="738"/>
      <c r="X26" s="728">
        <f t="shared" si="4"/>
        <v>892.86</v>
      </c>
      <c r="Y26" s="728">
        <f t="shared" si="5"/>
        <v>595.24</v>
      </c>
      <c r="Z26" s="738">
        <v>5743.32</v>
      </c>
      <c r="AA26" s="738">
        <v>1966.1</v>
      </c>
      <c r="AB26" s="738"/>
      <c r="AC26" s="738"/>
      <c r="AD26" s="728">
        <f t="shared" si="6"/>
        <v>5743.32</v>
      </c>
      <c r="AE26" s="728">
        <f t="shared" si="7"/>
        <v>1966.1</v>
      </c>
      <c r="AF26" s="738">
        <v>0</v>
      </c>
      <c r="AG26" s="738">
        <v>0</v>
      </c>
      <c r="AH26" s="728">
        <f t="shared" si="8"/>
        <v>6716.46</v>
      </c>
      <c r="AI26" s="728">
        <f t="shared" si="9"/>
        <v>2614.8599999999997</v>
      </c>
      <c r="AJ26" s="1902">
        <f t="shared" si="10"/>
        <v>7045.9569943074493</v>
      </c>
      <c r="AK26" s="730"/>
      <c r="AL26" s="730">
        <f t="shared" si="11"/>
        <v>92.045952046132498</v>
      </c>
      <c r="AM26" s="731">
        <f t="shared" si="12"/>
        <v>7.6670839273129801</v>
      </c>
      <c r="AN26" s="731"/>
      <c r="AO26" s="731"/>
      <c r="AP26" s="731">
        <f t="shared" si="13"/>
        <v>42.927922202878776</v>
      </c>
      <c r="AQ26" s="731">
        <f t="shared" si="14"/>
        <v>5.3804097735529686</v>
      </c>
      <c r="AR26" s="732">
        <f t="shared" si="15"/>
        <v>295.12548364155913</v>
      </c>
      <c r="AS26" s="730">
        <f t="shared" si="16"/>
        <v>3031.693361436749</v>
      </c>
      <c r="AT26" s="730">
        <f t="shared" si="17"/>
        <v>1684.8612777186033</v>
      </c>
      <c r="AU26" s="733">
        <f t="shared" si="18"/>
        <v>15.872208831981258</v>
      </c>
      <c r="AV26" s="733"/>
      <c r="AW26" s="733"/>
      <c r="AX26" s="1899">
        <f t="shared" si="19"/>
        <v>5175.5736995787702</v>
      </c>
      <c r="AY26" s="467"/>
      <c r="AZ26" s="467"/>
      <c r="BA26" s="1515"/>
      <c r="BB26" s="1515"/>
      <c r="BC26" s="1901">
        <f t="shared" si="20"/>
        <v>0</v>
      </c>
      <c r="BD26" s="1513">
        <f t="shared" si="21"/>
        <v>134.38165254523631</v>
      </c>
      <c r="BE26" s="625">
        <f t="shared" si="22"/>
        <v>1736.0016421834423</v>
      </c>
      <c r="BF26" s="1513">
        <f t="shared" si="23"/>
        <v>-329.49699430744931</v>
      </c>
      <c r="BG26" s="1502">
        <f t="shared" si="24"/>
        <v>38.932116025406238</v>
      </c>
      <c r="BH26" s="1513">
        <f t="shared" si="25"/>
        <v>7.0234818523798346</v>
      </c>
      <c r="BI26" s="1521">
        <f t="shared" si="26"/>
        <v>4101.6000000000004</v>
      </c>
      <c r="BJ26" s="1521">
        <v>6.87</v>
      </c>
    </row>
    <row r="27" spans="1:62" s="124" customFormat="1" ht="15" x14ac:dyDescent="0.25">
      <c r="A27" s="20">
        <v>23</v>
      </c>
      <c r="B27" s="1320" t="s">
        <v>112</v>
      </c>
      <c r="C27" s="737">
        <v>1970</v>
      </c>
      <c r="D27" s="737">
        <v>1</v>
      </c>
      <c r="E27" s="737">
        <v>5</v>
      </c>
      <c r="F27" s="708">
        <v>15</v>
      </c>
      <c r="G27" s="738">
        <v>259.72000000000003</v>
      </c>
      <c r="H27" s="738"/>
      <c r="I27" s="738"/>
      <c r="J27" s="738"/>
      <c r="K27" s="738"/>
      <c r="L27" s="728">
        <f t="shared" si="0"/>
        <v>0</v>
      </c>
      <c r="M27" s="728">
        <f t="shared" si="1"/>
        <v>0</v>
      </c>
      <c r="N27" s="738">
        <f>213.06</f>
        <v>213.06</v>
      </c>
      <c r="O27" s="738">
        <v>283.37</v>
      </c>
      <c r="P27" s="738">
        <v>32.159999999999997</v>
      </c>
      <c r="Q27" s="738">
        <v>32.159999999999997</v>
      </c>
      <c r="R27" s="728">
        <f t="shared" si="2"/>
        <v>245.22</v>
      </c>
      <c r="S27" s="728">
        <f t="shared" si="3"/>
        <v>315.52999999999997</v>
      </c>
      <c r="T27" s="738">
        <f>2401.76</f>
        <v>2401.7600000000002</v>
      </c>
      <c r="U27" s="738">
        <v>3141.5</v>
      </c>
      <c r="V27" s="738">
        <v>326.98</v>
      </c>
      <c r="W27" s="738">
        <v>326.98</v>
      </c>
      <c r="X27" s="728">
        <f t="shared" si="4"/>
        <v>2728.7400000000002</v>
      </c>
      <c r="Y27" s="728">
        <f t="shared" si="5"/>
        <v>3468.48</v>
      </c>
      <c r="Z27" s="738">
        <f>29189.44</f>
        <v>29189.439999999999</v>
      </c>
      <c r="AA27" s="738">
        <v>29210.71</v>
      </c>
      <c r="AB27" s="738">
        <v>1777.16</v>
      </c>
      <c r="AC27" s="738">
        <v>1777.16</v>
      </c>
      <c r="AD27" s="728">
        <f t="shared" si="6"/>
        <v>30966.6</v>
      </c>
      <c r="AE27" s="728">
        <f t="shared" si="7"/>
        <v>30987.87</v>
      </c>
      <c r="AF27" s="738">
        <v>0</v>
      </c>
      <c r="AG27" s="738">
        <v>0</v>
      </c>
      <c r="AH27" s="728">
        <f t="shared" si="8"/>
        <v>33940.559999999998</v>
      </c>
      <c r="AI27" s="728">
        <f t="shared" si="9"/>
        <v>34771.879999999997</v>
      </c>
      <c r="AJ27" s="1902">
        <f t="shared" si="10"/>
        <v>21889.66448040109</v>
      </c>
      <c r="AK27" s="730"/>
      <c r="AL27" s="730">
        <f t="shared" si="11"/>
        <v>285.95902709834377</v>
      </c>
      <c r="AM27" s="731">
        <f t="shared" si="12"/>
        <v>23.819318631599611</v>
      </c>
      <c r="AN27" s="731"/>
      <c r="AO27" s="731"/>
      <c r="AP27" s="731">
        <f t="shared" si="13"/>
        <v>133.36411428865642</v>
      </c>
      <c r="AQ27" s="731">
        <f t="shared" si="14"/>
        <v>16.715311320420781</v>
      </c>
      <c r="AR27" s="732">
        <f t="shared" si="15"/>
        <v>916.86591640413576</v>
      </c>
      <c r="AS27" s="730">
        <f t="shared" si="16"/>
        <v>9418.5574142625919</v>
      </c>
      <c r="AT27" s="730">
        <f t="shared" si="17"/>
        <v>5234.3561130272219</v>
      </c>
      <c r="AU27" s="733">
        <f t="shared" si="18"/>
        <v>49.310168395241305</v>
      </c>
      <c r="AV27" s="733"/>
      <c r="AW27" s="733"/>
      <c r="AX27" s="1899">
        <f t="shared" si="19"/>
        <v>16078.947383428213</v>
      </c>
      <c r="AY27" s="467"/>
      <c r="AZ27" s="467"/>
      <c r="BA27" s="1515"/>
      <c r="BB27" s="1515"/>
      <c r="BC27" s="1901">
        <f t="shared" si="20"/>
        <v>0</v>
      </c>
      <c r="BD27" s="1513">
        <f t="shared" si="21"/>
        <v>417.48328706996148</v>
      </c>
      <c r="BE27" s="625">
        <f t="shared" si="22"/>
        <v>5393.2338099029148</v>
      </c>
      <c r="BF27" s="1513">
        <f t="shared" si="23"/>
        <v>12050.895519598907</v>
      </c>
      <c r="BG27" s="1502">
        <f t="shared" si="24"/>
        <v>102.44934084764658</v>
      </c>
      <c r="BH27" s="1513">
        <f t="shared" si="25"/>
        <v>7.0234818523798346</v>
      </c>
      <c r="BI27" s="1521">
        <f t="shared" si="26"/>
        <v>-831.31999999999971</v>
      </c>
      <c r="BJ27" s="1521">
        <v>11.36</v>
      </c>
    </row>
    <row r="28" spans="1:62" s="124" customFormat="1" ht="15" x14ac:dyDescent="0.25">
      <c r="A28" s="21">
        <v>24</v>
      </c>
      <c r="B28" s="564" t="s">
        <v>113</v>
      </c>
      <c r="C28" s="745">
        <v>1973</v>
      </c>
      <c r="D28" s="745">
        <v>2</v>
      </c>
      <c r="E28" s="745">
        <v>16</v>
      </c>
      <c r="F28" s="349">
        <v>32</v>
      </c>
      <c r="G28" s="741">
        <v>722.8</v>
      </c>
      <c r="H28" s="741"/>
      <c r="I28" s="741"/>
      <c r="J28" s="741"/>
      <c r="K28" s="741"/>
      <c r="L28" s="728">
        <f t="shared" si="0"/>
        <v>0</v>
      </c>
      <c r="M28" s="728">
        <f t="shared" si="1"/>
        <v>0</v>
      </c>
      <c r="N28" s="741">
        <f>608.83</f>
        <v>608.83000000000004</v>
      </c>
      <c r="O28" s="741">
        <v>805.43</v>
      </c>
      <c r="P28" s="741">
        <v>85.01</v>
      </c>
      <c r="Q28" s="741">
        <v>85.01</v>
      </c>
      <c r="R28" s="728">
        <f t="shared" si="2"/>
        <v>693.84</v>
      </c>
      <c r="S28" s="728">
        <f t="shared" si="3"/>
        <v>890.43999999999994</v>
      </c>
      <c r="T28" s="741">
        <f>6913.59</f>
        <v>6913.59</v>
      </c>
      <c r="U28" s="741">
        <v>8994.33</v>
      </c>
      <c r="V28" s="741">
        <v>806.19</v>
      </c>
      <c r="W28" s="741">
        <v>806.19</v>
      </c>
      <c r="X28" s="728">
        <f t="shared" si="4"/>
        <v>7719.7800000000007</v>
      </c>
      <c r="Y28" s="728">
        <f t="shared" si="5"/>
        <v>9800.52</v>
      </c>
      <c r="Z28" s="741">
        <f>91108.12</f>
        <v>91108.12</v>
      </c>
      <c r="AA28" s="741">
        <v>84122.46</v>
      </c>
      <c r="AB28" s="741">
        <v>2226.08</v>
      </c>
      <c r="AC28" s="741">
        <v>2226.08</v>
      </c>
      <c r="AD28" s="728">
        <f t="shared" si="6"/>
        <v>93334.2</v>
      </c>
      <c r="AE28" s="728">
        <f t="shared" si="7"/>
        <v>86348.540000000008</v>
      </c>
      <c r="AF28" s="741">
        <v>1175.68</v>
      </c>
      <c r="AG28" s="741">
        <v>1040.3699999999999</v>
      </c>
      <c r="AH28" s="728">
        <f t="shared" si="8"/>
        <v>102923.49999999999</v>
      </c>
      <c r="AI28" s="728">
        <f t="shared" si="9"/>
        <v>98079.87000000001</v>
      </c>
      <c r="AJ28" s="1902">
        <f t="shared" si="10"/>
        <v>95198.990669010396</v>
      </c>
      <c r="AK28" s="730">
        <v>846.83</v>
      </c>
      <c r="AL28" s="730">
        <f t="shared" si="11"/>
        <v>795.82313563330831</v>
      </c>
      <c r="AM28" s="731">
        <f t="shared" si="12"/>
        <v>66.289094050978733</v>
      </c>
      <c r="AN28" s="731">
        <v>1605.24</v>
      </c>
      <c r="AO28" s="731"/>
      <c r="AP28" s="731">
        <f t="shared" si="13"/>
        <v>371.15193981149258</v>
      </c>
      <c r="AQ28" s="731">
        <f t="shared" si="14"/>
        <v>46.518662491914903</v>
      </c>
      <c r="AR28" s="732">
        <f t="shared" si="15"/>
        <v>2551.6351623937671</v>
      </c>
      <c r="AS28" s="730">
        <f t="shared" si="16"/>
        <v>26211.817723044045</v>
      </c>
      <c r="AT28" s="730">
        <f t="shared" si="17"/>
        <v>14567.197745634048</v>
      </c>
      <c r="AU28" s="733">
        <f t="shared" si="18"/>
        <v>137.23005435114896</v>
      </c>
      <c r="AV28" s="733"/>
      <c r="AW28" s="733">
        <f t="shared" ref="AW28:AW29" si="30">609509.33/13841.67*G28</f>
        <v>31828.04847420867</v>
      </c>
      <c r="AX28" s="1899">
        <f t="shared" si="19"/>
        <v>79027.781991619384</v>
      </c>
      <c r="AY28" s="467"/>
      <c r="AZ28" s="467"/>
      <c r="BA28" s="1515"/>
      <c r="BB28" s="1515"/>
      <c r="BC28" s="1901">
        <f t="shared" si="20"/>
        <v>0</v>
      </c>
      <c r="BD28" s="1513">
        <f t="shared" si="21"/>
        <v>1161.8547662643157</v>
      </c>
      <c r="BE28" s="625">
        <f t="shared" si="22"/>
        <v>15009.353911126698</v>
      </c>
      <c r="BF28" s="1513">
        <f t="shared" si="23"/>
        <v>7724.5093309895892</v>
      </c>
      <c r="BG28" s="1502">
        <f t="shared" si="24"/>
        <v>95.293951332786023</v>
      </c>
      <c r="BH28" s="1513">
        <f t="shared" si="25"/>
        <v>10.975718348668421</v>
      </c>
      <c r="BI28" s="1521">
        <f t="shared" si="26"/>
        <v>4843.6299999999756</v>
      </c>
      <c r="BJ28" s="1521">
        <v>12.04</v>
      </c>
    </row>
    <row r="29" spans="1:62" s="124" customFormat="1" ht="15" x14ac:dyDescent="0.25">
      <c r="A29" s="21">
        <v>25</v>
      </c>
      <c r="B29" s="564" t="s">
        <v>114</v>
      </c>
      <c r="C29" s="745">
        <v>1973</v>
      </c>
      <c r="D29" s="745">
        <v>2</v>
      </c>
      <c r="E29" s="745">
        <v>16</v>
      </c>
      <c r="F29" s="708">
        <v>46</v>
      </c>
      <c r="G29" s="741">
        <v>714.4</v>
      </c>
      <c r="H29" s="741"/>
      <c r="I29" s="741"/>
      <c r="J29" s="741"/>
      <c r="K29" s="741"/>
      <c r="L29" s="728">
        <f t="shared" si="0"/>
        <v>0</v>
      </c>
      <c r="M29" s="728">
        <f t="shared" si="1"/>
        <v>0</v>
      </c>
      <c r="N29" s="741">
        <f>599.39</f>
        <v>599.39</v>
      </c>
      <c r="O29" s="741">
        <v>874.34</v>
      </c>
      <c r="P29" s="741">
        <v>86.35</v>
      </c>
      <c r="Q29" s="741">
        <v>86.35</v>
      </c>
      <c r="R29" s="728">
        <f t="shared" si="2"/>
        <v>685.74</v>
      </c>
      <c r="S29" s="728">
        <f t="shared" si="3"/>
        <v>960.69</v>
      </c>
      <c r="T29" s="741">
        <f>6799.73</f>
        <v>6799.73</v>
      </c>
      <c r="U29" s="741">
        <v>9666.44</v>
      </c>
      <c r="V29" s="741">
        <v>829.03</v>
      </c>
      <c r="W29" s="741">
        <v>829.03</v>
      </c>
      <c r="X29" s="728">
        <f t="shared" si="4"/>
        <v>7628.7599999999993</v>
      </c>
      <c r="Y29" s="728">
        <f t="shared" si="5"/>
        <v>10495.470000000001</v>
      </c>
      <c r="Z29" s="741">
        <f>87115.52</f>
        <v>87115.520000000004</v>
      </c>
      <c r="AA29" s="741">
        <v>93339.87</v>
      </c>
      <c r="AB29" s="741">
        <v>5114.92</v>
      </c>
      <c r="AC29" s="741">
        <v>5114.92</v>
      </c>
      <c r="AD29" s="728">
        <f t="shared" si="6"/>
        <v>92230.44</v>
      </c>
      <c r="AE29" s="728">
        <f t="shared" si="7"/>
        <v>98454.79</v>
      </c>
      <c r="AF29" s="741">
        <v>1175.77</v>
      </c>
      <c r="AG29" s="741">
        <v>1124.6500000000001</v>
      </c>
      <c r="AH29" s="728">
        <f t="shared" si="8"/>
        <v>101720.71</v>
      </c>
      <c r="AI29" s="728">
        <f t="shared" si="9"/>
        <v>111035.59999999999</v>
      </c>
      <c r="AJ29" s="1902">
        <f t="shared" si="10"/>
        <v>96005.714922441941</v>
      </c>
      <c r="AK29" s="730">
        <v>1356.41</v>
      </c>
      <c r="AL29" s="730">
        <f t="shared" si="11"/>
        <v>786.57449930331416</v>
      </c>
      <c r="AM29" s="731">
        <f t="shared" si="12"/>
        <v>65.5187171970382</v>
      </c>
      <c r="AN29" s="731">
        <v>1605.24</v>
      </c>
      <c r="AO29" s="731">
        <v>1375</v>
      </c>
      <c r="AP29" s="731">
        <f t="shared" si="13"/>
        <v>366.83860791550956</v>
      </c>
      <c r="AQ29" s="731">
        <f t="shared" si="14"/>
        <v>45.978047155816277</v>
      </c>
      <c r="AR29" s="732">
        <f t="shared" si="15"/>
        <v>2521.9814056642326</v>
      </c>
      <c r="AS29" s="730">
        <f t="shared" si="16"/>
        <v>25907.197815914038</v>
      </c>
      <c r="AT29" s="730">
        <f t="shared" si="17"/>
        <v>14397.905464140793</v>
      </c>
      <c r="AU29" s="733">
        <f t="shared" si="18"/>
        <v>135.63523910965802</v>
      </c>
      <c r="AV29" s="733"/>
      <c r="AW29" s="733">
        <f t="shared" si="30"/>
        <v>31458.159698360094</v>
      </c>
      <c r="AX29" s="1899">
        <f t="shared" si="19"/>
        <v>80022.439494760503</v>
      </c>
      <c r="AY29" s="467"/>
      <c r="AZ29" s="467"/>
      <c r="BA29" s="1515"/>
      <c r="BB29" s="1515"/>
      <c r="BC29" s="1901">
        <f t="shared" si="20"/>
        <v>0</v>
      </c>
      <c r="BD29" s="1513">
        <f t="shared" si="21"/>
        <v>1148.3523035683829</v>
      </c>
      <c r="BE29" s="625">
        <f t="shared" si="22"/>
        <v>14834.923124113053</v>
      </c>
      <c r="BF29" s="1513">
        <f t="shared" si="23"/>
        <v>5714.9950775580655</v>
      </c>
      <c r="BG29" s="1502">
        <f t="shared" si="24"/>
        <v>109.15731909460717</v>
      </c>
      <c r="BH29" s="1513">
        <f t="shared" si="25"/>
        <v>11.198874920964206</v>
      </c>
      <c r="BI29" s="1521">
        <f t="shared" si="26"/>
        <v>-9314.8899999999849</v>
      </c>
      <c r="BJ29" s="1521">
        <v>12.04</v>
      </c>
    </row>
    <row r="30" spans="1:62" s="124" customFormat="1" ht="15" x14ac:dyDescent="0.25">
      <c r="A30" s="21">
        <v>26</v>
      </c>
      <c r="B30" s="564" t="s">
        <v>115</v>
      </c>
      <c r="C30" s="745">
        <v>1961</v>
      </c>
      <c r="D30" s="745">
        <v>1</v>
      </c>
      <c r="E30" s="745">
        <v>4</v>
      </c>
      <c r="F30" s="349">
        <v>10</v>
      </c>
      <c r="G30" s="741">
        <v>61.68</v>
      </c>
      <c r="H30" s="741"/>
      <c r="I30" s="741"/>
      <c r="J30" s="741"/>
      <c r="K30" s="741"/>
      <c r="L30" s="728">
        <f t="shared" si="0"/>
        <v>0</v>
      </c>
      <c r="M30" s="728">
        <f t="shared" si="1"/>
        <v>0</v>
      </c>
      <c r="N30" s="741">
        <v>59.16</v>
      </c>
      <c r="O30" s="741">
        <v>61.42</v>
      </c>
      <c r="P30" s="741"/>
      <c r="Q30" s="741"/>
      <c r="R30" s="728">
        <f t="shared" si="2"/>
        <v>59.16</v>
      </c>
      <c r="S30" s="728">
        <f t="shared" si="3"/>
        <v>61.42</v>
      </c>
      <c r="T30" s="741">
        <v>210.84</v>
      </c>
      <c r="U30" s="741">
        <v>218.89</v>
      </c>
      <c r="V30" s="741"/>
      <c r="W30" s="741"/>
      <c r="X30" s="728">
        <f t="shared" si="4"/>
        <v>210.84</v>
      </c>
      <c r="Y30" s="728">
        <f t="shared" si="5"/>
        <v>218.89</v>
      </c>
      <c r="Z30" s="741">
        <v>1957.08</v>
      </c>
      <c r="AA30" s="741">
        <v>1644.53</v>
      </c>
      <c r="AB30" s="741"/>
      <c r="AC30" s="741"/>
      <c r="AD30" s="728">
        <f t="shared" si="6"/>
        <v>1957.08</v>
      </c>
      <c r="AE30" s="728">
        <f t="shared" si="7"/>
        <v>1644.53</v>
      </c>
      <c r="AF30" s="741">
        <v>0</v>
      </c>
      <c r="AG30" s="741">
        <v>0</v>
      </c>
      <c r="AH30" s="728">
        <f t="shared" si="8"/>
        <v>2227.08</v>
      </c>
      <c r="AI30" s="728">
        <f t="shared" si="9"/>
        <v>1924.84</v>
      </c>
      <c r="AJ30" s="1902">
        <f t="shared" si="10"/>
        <v>5198.5003278574586</v>
      </c>
      <c r="AK30" s="730"/>
      <c r="AL30" s="730">
        <f t="shared" si="11"/>
        <v>67.911415337385804</v>
      </c>
      <c r="AM30" s="731">
        <f t="shared" si="12"/>
        <v>5.6567671846490981</v>
      </c>
      <c r="AN30" s="731"/>
      <c r="AO30" s="731"/>
      <c r="AP30" s="731">
        <f t="shared" si="13"/>
        <v>31.672179921932575</v>
      </c>
      <c r="AQ30" s="731">
        <f t="shared" si="14"/>
        <v>3.9696611822098942</v>
      </c>
      <c r="AR30" s="732">
        <f t="shared" si="15"/>
        <v>217.74329941401157</v>
      </c>
      <c r="AS30" s="730">
        <f t="shared" si="16"/>
        <v>2236.7804609260611</v>
      </c>
      <c r="AT30" s="730">
        <f t="shared" si="17"/>
        <v>1243.0890383933429</v>
      </c>
      <c r="AU30" s="733">
        <f t="shared" si="18"/>
        <v>11.710500487519187</v>
      </c>
      <c r="AV30" s="733"/>
      <c r="AW30" s="733"/>
      <c r="AX30" s="1899">
        <f t="shared" si="19"/>
        <v>3818.5333228471127</v>
      </c>
      <c r="AY30" s="467"/>
      <c r="AZ30" s="467"/>
      <c r="BA30" s="1515"/>
      <c r="BB30" s="1515"/>
      <c r="BC30" s="1901">
        <f t="shared" si="20"/>
        <v>0</v>
      </c>
      <c r="BD30" s="1513">
        <f t="shared" si="21"/>
        <v>99.146654652992524</v>
      </c>
      <c r="BE30" s="625">
        <f t="shared" si="22"/>
        <v>1280.8203503573532</v>
      </c>
      <c r="BF30" s="1513">
        <f t="shared" si="23"/>
        <v>-2971.4203278574587</v>
      </c>
      <c r="BG30" s="1502">
        <f t="shared" si="24"/>
        <v>86.428866497835728</v>
      </c>
      <c r="BH30" s="1513">
        <f t="shared" si="25"/>
        <v>7.0234818523798346</v>
      </c>
      <c r="BI30" s="1521">
        <f t="shared" si="26"/>
        <v>302.24</v>
      </c>
      <c r="BJ30" s="1521">
        <v>3.09</v>
      </c>
    </row>
    <row r="31" spans="1:62" s="124" customFormat="1" ht="15" x14ac:dyDescent="0.25">
      <c r="A31" s="21">
        <v>27</v>
      </c>
      <c r="B31" s="564" t="s">
        <v>116</v>
      </c>
      <c r="C31" s="745">
        <v>1961</v>
      </c>
      <c r="D31" s="745">
        <v>1</v>
      </c>
      <c r="E31" s="745">
        <v>2</v>
      </c>
      <c r="F31" s="708">
        <v>3</v>
      </c>
      <c r="G31" s="741">
        <v>40</v>
      </c>
      <c r="H31" s="741"/>
      <c r="I31" s="741"/>
      <c r="J31" s="741"/>
      <c r="K31" s="741"/>
      <c r="L31" s="728">
        <f t="shared" si="0"/>
        <v>0</v>
      </c>
      <c r="M31" s="728">
        <f t="shared" si="1"/>
        <v>0</v>
      </c>
      <c r="N31" s="741">
        <v>38.4</v>
      </c>
      <c r="O31" s="741">
        <v>44.8</v>
      </c>
      <c r="P31" s="741"/>
      <c r="Q31" s="741"/>
      <c r="R31" s="728">
        <f t="shared" si="2"/>
        <v>38.4</v>
      </c>
      <c r="S31" s="728">
        <f t="shared" si="3"/>
        <v>44.8</v>
      </c>
      <c r="T31" s="741">
        <v>427.2</v>
      </c>
      <c r="U31" s="741">
        <v>498.4</v>
      </c>
      <c r="V31" s="741"/>
      <c r="W31" s="741"/>
      <c r="X31" s="728">
        <f t="shared" si="4"/>
        <v>427.2</v>
      </c>
      <c r="Y31" s="728">
        <f t="shared" si="5"/>
        <v>498.4</v>
      </c>
      <c r="Z31" s="741">
        <v>4656</v>
      </c>
      <c r="AA31" s="741">
        <v>4556</v>
      </c>
      <c r="AB31" s="741"/>
      <c r="AC31" s="741"/>
      <c r="AD31" s="728">
        <f t="shared" si="6"/>
        <v>4656</v>
      </c>
      <c r="AE31" s="728">
        <f t="shared" si="7"/>
        <v>4556</v>
      </c>
      <c r="AF31" s="741">
        <v>0</v>
      </c>
      <c r="AG31" s="741">
        <v>0</v>
      </c>
      <c r="AH31" s="728">
        <f t="shared" si="8"/>
        <v>5121.6000000000004</v>
      </c>
      <c r="AI31" s="728">
        <f t="shared" si="9"/>
        <v>5099.2</v>
      </c>
      <c r="AJ31" s="1902">
        <f t="shared" si="10"/>
        <v>3371.2712891423203</v>
      </c>
      <c r="AK31" s="730"/>
      <c r="AL31" s="730">
        <f t="shared" si="11"/>
        <v>44.04112538092464</v>
      </c>
      <c r="AM31" s="731">
        <f t="shared" si="12"/>
        <v>3.6684612092406605</v>
      </c>
      <c r="AN31" s="731"/>
      <c r="AO31" s="731"/>
      <c r="AP31" s="731">
        <f t="shared" si="13"/>
        <v>20.53967569515731</v>
      </c>
      <c r="AQ31" s="731">
        <f t="shared" si="14"/>
        <v>2.5743587433267794</v>
      </c>
      <c r="AR31" s="732">
        <f t="shared" si="15"/>
        <v>141.20836537873643</v>
      </c>
      <c r="AS31" s="730">
        <f t="shared" si="16"/>
        <v>1450.570986333373</v>
      </c>
      <c r="AT31" s="730">
        <f t="shared" si="17"/>
        <v>806.15372139646092</v>
      </c>
      <c r="AU31" s="733">
        <f t="shared" si="18"/>
        <v>7.5943582928139994</v>
      </c>
      <c r="AV31" s="733"/>
      <c r="AW31" s="733"/>
      <c r="AX31" s="1899">
        <f t="shared" si="19"/>
        <v>2476.3510524300336</v>
      </c>
      <c r="AY31" s="467"/>
      <c r="AZ31" s="467"/>
      <c r="BA31" s="1515"/>
      <c r="BB31" s="1515"/>
      <c r="BC31" s="1901">
        <f t="shared" si="20"/>
        <v>0</v>
      </c>
      <c r="BD31" s="1513">
        <f t="shared" si="21"/>
        <v>64.297441409203969</v>
      </c>
      <c r="BE31" s="625">
        <f t="shared" si="22"/>
        <v>830.62279530308251</v>
      </c>
      <c r="BF31" s="1513">
        <f t="shared" si="23"/>
        <v>1750.3287108576801</v>
      </c>
      <c r="BG31" s="1502">
        <f t="shared" si="24"/>
        <v>99.562636676038736</v>
      </c>
      <c r="BH31" s="1513">
        <f t="shared" si="25"/>
        <v>7.0234818523798337</v>
      </c>
      <c r="BI31" s="1521">
        <f t="shared" si="26"/>
        <v>22.400000000000546</v>
      </c>
      <c r="BJ31" s="1521">
        <v>10.95</v>
      </c>
    </row>
    <row r="32" spans="1:62" s="124" customFormat="1" ht="15" x14ac:dyDescent="0.25">
      <c r="A32" s="21">
        <v>28</v>
      </c>
      <c r="B32" s="564" t="s">
        <v>117</v>
      </c>
      <c r="C32" s="745">
        <v>1969</v>
      </c>
      <c r="D32" s="745">
        <v>2</v>
      </c>
      <c r="E32" s="745">
        <v>16</v>
      </c>
      <c r="F32" s="349">
        <v>37</v>
      </c>
      <c r="G32" s="741">
        <v>716.27</v>
      </c>
      <c r="H32" s="741"/>
      <c r="I32" s="741"/>
      <c r="J32" s="741"/>
      <c r="K32" s="741"/>
      <c r="L32" s="728">
        <f t="shared" si="0"/>
        <v>0</v>
      </c>
      <c r="M32" s="728">
        <f t="shared" si="1"/>
        <v>0</v>
      </c>
      <c r="N32" s="741">
        <f>663.82</f>
        <v>663.82</v>
      </c>
      <c r="O32" s="741">
        <v>749.81</v>
      </c>
      <c r="P32" s="741">
        <v>23.9</v>
      </c>
      <c r="Q32" s="741">
        <v>23.9</v>
      </c>
      <c r="R32" s="728">
        <f t="shared" si="2"/>
        <v>687.72</v>
      </c>
      <c r="S32" s="728">
        <f t="shared" si="3"/>
        <v>773.70999999999992</v>
      </c>
      <c r="T32" s="741">
        <f>7440.46</f>
        <v>7440.46</v>
      </c>
      <c r="U32" s="741">
        <v>8339.4500000000007</v>
      </c>
      <c r="V32" s="741">
        <v>209.3</v>
      </c>
      <c r="W32" s="741">
        <v>209.3</v>
      </c>
      <c r="X32" s="728">
        <f t="shared" si="4"/>
        <v>7649.76</v>
      </c>
      <c r="Y32" s="728">
        <f t="shared" si="5"/>
        <v>8548.75</v>
      </c>
      <c r="Z32" s="741">
        <f>91067.53</f>
        <v>91067.53</v>
      </c>
      <c r="AA32" s="741">
        <v>83696.820000000007</v>
      </c>
      <c r="AB32" s="741">
        <v>1417.25</v>
      </c>
      <c r="AC32" s="741">
        <v>1417.25</v>
      </c>
      <c r="AD32" s="728">
        <f t="shared" si="6"/>
        <v>92484.78</v>
      </c>
      <c r="AE32" s="728">
        <f t="shared" si="7"/>
        <v>85114.07</v>
      </c>
      <c r="AF32" s="741">
        <v>1175.82</v>
      </c>
      <c r="AG32" s="741">
        <v>1048.51</v>
      </c>
      <c r="AH32" s="728">
        <f t="shared" si="8"/>
        <v>101998.08</v>
      </c>
      <c r="AI32" s="728">
        <f t="shared" si="9"/>
        <v>95485.04</v>
      </c>
      <c r="AJ32" s="1902">
        <f t="shared" si="10"/>
        <v>101233.65614221373</v>
      </c>
      <c r="AK32" s="730">
        <v>3040.31</v>
      </c>
      <c r="AL32" s="730">
        <f t="shared" si="11"/>
        <v>788.63342191487232</v>
      </c>
      <c r="AM32" s="731">
        <f t="shared" si="12"/>
        <v>65.690217758570199</v>
      </c>
      <c r="AN32" s="731">
        <v>1605.24</v>
      </c>
      <c r="AO32" s="731">
        <v>1179.0899999999999</v>
      </c>
      <c r="AP32" s="731">
        <f t="shared" si="13"/>
        <v>367.79883775425816</v>
      </c>
      <c r="AQ32" s="731">
        <f t="shared" si="14"/>
        <v>46.098398427066805</v>
      </c>
      <c r="AR32" s="732">
        <f t="shared" si="15"/>
        <v>2528.5828967456887</v>
      </c>
      <c r="AS32" s="730">
        <f t="shared" si="16"/>
        <v>25975.012009525126</v>
      </c>
      <c r="AT32" s="730">
        <f t="shared" si="17"/>
        <v>14435.593150616078</v>
      </c>
      <c r="AU32" s="733">
        <f t="shared" si="18"/>
        <v>135.99027535984709</v>
      </c>
      <c r="AV32" s="733">
        <v>3500</v>
      </c>
      <c r="AW32" s="733">
        <f t="shared" ref="AW32" si="31">609509.33/13841.67*G32</f>
        <v>31540.503985364478</v>
      </c>
      <c r="AX32" s="1899">
        <f t="shared" si="19"/>
        <v>85208.543193466001</v>
      </c>
      <c r="AY32" s="467"/>
      <c r="AZ32" s="467"/>
      <c r="BA32" s="1515"/>
      <c r="BB32" s="1515"/>
      <c r="BC32" s="1901">
        <f t="shared" si="20"/>
        <v>0</v>
      </c>
      <c r="BD32" s="1513">
        <f t="shared" si="21"/>
        <v>1151.3582089542633</v>
      </c>
      <c r="BE32" s="625">
        <f t="shared" si="22"/>
        <v>14873.754739793472</v>
      </c>
      <c r="BF32" s="1513">
        <f t="shared" si="23"/>
        <v>764.42385778627067</v>
      </c>
      <c r="BG32" s="1502">
        <f t="shared" si="24"/>
        <v>93.614546469894321</v>
      </c>
      <c r="BH32" s="1513">
        <f t="shared" si="25"/>
        <v>11.77787428183666</v>
      </c>
      <c r="BI32" s="1521">
        <f t="shared" si="26"/>
        <v>6513.0400000000081</v>
      </c>
      <c r="BJ32" s="1521">
        <v>12.04</v>
      </c>
    </row>
    <row r="33" spans="1:62" s="124" customFormat="1" ht="15" x14ac:dyDescent="0.25">
      <c r="A33" s="21">
        <v>29</v>
      </c>
      <c r="B33" s="564" t="s">
        <v>118</v>
      </c>
      <c r="C33" s="745">
        <v>1964</v>
      </c>
      <c r="D33" s="745">
        <v>1</v>
      </c>
      <c r="E33" s="745">
        <v>2</v>
      </c>
      <c r="F33" s="708">
        <v>11</v>
      </c>
      <c r="G33" s="741">
        <v>84.5</v>
      </c>
      <c r="H33" s="741"/>
      <c r="I33" s="741"/>
      <c r="J33" s="741"/>
      <c r="K33" s="741"/>
      <c r="L33" s="728">
        <f t="shared" si="0"/>
        <v>0</v>
      </c>
      <c r="M33" s="728">
        <f t="shared" si="1"/>
        <v>0</v>
      </c>
      <c r="N33" s="741">
        <v>81.12</v>
      </c>
      <c r="O33" s="741">
        <v>141.46</v>
      </c>
      <c r="P33" s="741"/>
      <c r="Q33" s="741"/>
      <c r="R33" s="728">
        <f t="shared" si="2"/>
        <v>81.12</v>
      </c>
      <c r="S33" s="728">
        <f t="shared" si="3"/>
        <v>141.46</v>
      </c>
      <c r="T33" s="741">
        <v>902.46</v>
      </c>
      <c r="U33" s="741">
        <v>1541.81</v>
      </c>
      <c r="V33" s="741"/>
      <c r="W33" s="741"/>
      <c r="X33" s="728">
        <f t="shared" si="4"/>
        <v>902.46</v>
      </c>
      <c r="Y33" s="728">
        <f t="shared" si="5"/>
        <v>1541.81</v>
      </c>
      <c r="Z33" s="741">
        <v>9825.66</v>
      </c>
      <c r="AA33" s="741">
        <v>13258.68</v>
      </c>
      <c r="AB33" s="741"/>
      <c r="AC33" s="741"/>
      <c r="AD33" s="728">
        <f t="shared" si="6"/>
        <v>9825.66</v>
      </c>
      <c r="AE33" s="728">
        <f t="shared" si="7"/>
        <v>13258.68</v>
      </c>
      <c r="AF33" s="741">
        <v>0</v>
      </c>
      <c r="AG33" s="741">
        <v>0</v>
      </c>
      <c r="AH33" s="728">
        <f t="shared" si="8"/>
        <v>10809.24</v>
      </c>
      <c r="AI33" s="728">
        <f t="shared" si="9"/>
        <v>14941.95</v>
      </c>
      <c r="AJ33" s="1902">
        <f t="shared" si="10"/>
        <v>7121.8105983131518</v>
      </c>
      <c r="AK33" s="730"/>
      <c r="AL33" s="730">
        <f t="shared" si="11"/>
        <v>93.036877367203317</v>
      </c>
      <c r="AM33" s="731">
        <f t="shared" si="12"/>
        <v>7.7496243045208955</v>
      </c>
      <c r="AN33" s="731"/>
      <c r="AO33" s="731"/>
      <c r="AP33" s="731">
        <f t="shared" si="13"/>
        <v>43.390064906019823</v>
      </c>
      <c r="AQ33" s="731">
        <f t="shared" si="14"/>
        <v>5.4383328452778219</v>
      </c>
      <c r="AR33" s="732">
        <f t="shared" si="15"/>
        <v>298.30267186258072</v>
      </c>
      <c r="AS33" s="730">
        <f t="shared" si="16"/>
        <v>3064.3312086292503</v>
      </c>
      <c r="AT33" s="730">
        <f t="shared" si="17"/>
        <v>1702.9997364500239</v>
      </c>
      <c r="AU33" s="733">
        <f t="shared" si="18"/>
        <v>16.043081893569575</v>
      </c>
      <c r="AV33" s="733"/>
      <c r="AW33" s="733"/>
      <c r="AX33" s="1899">
        <f t="shared" si="19"/>
        <v>5231.2915982584464</v>
      </c>
      <c r="AY33" s="467"/>
      <c r="AZ33" s="467"/>
      <c r="BA33" s="1515"/>
      <c r="BB33" s="1515"/>
      <c r="BC33" s="1901">
        <f t="shared" si="20"/>
        <v>0</v>
      </c>
      <c r="BD33" s="1513">
        <f t="shared" si="21"/>
        <v>135.82834497694338</v>
      </c>
      <c r="BE33" s="625">
        <f t="shared" si="22"/>
        <v>1754.6906550777617</v>
      </c>
      <c r="BF33" s="1513">
        <f t="shared" si="23"/>
        <v>3687.429401686848</v>
      </c>
      <c r="BG33" s="1502">
        <f t="shared" si="24"/>
        <v>138.23312277273888</v>
      </c>
      <c r="BH33" s="1513">
        <f t="shared" si="25"/>
        <v>7.0234818523798346</v>
      </c>
      <c r="BI33" s="1521">
        <f t="shared" si="26"/>
        <v>-4132.7100000000009</v>
      </c>
      <c r="BJ33" s="1521">
        <v>10.94</v>
      </c>
    </row>
    <row r="34" spans="1:62" s="124" customFormat="1" ht="15" x14ac:dyDescent="0.25">
      <c r="A34" s="21">
        <v>30</v>
      </c>
      <c r="B34" s="564" t="s">
        <v>119</v>
      </c>
      <c r="C34" s="745">
        <v>1968</v>
      </c>
      <c r="D34" s="745">
        <v>2</v>
      </c>
      <c r="E34" s="745">
        <v>16</v>
      </c>
      <c r="F34" s="349">
        <v>54</v>
      </c>
      <c r="G34" s="741">
        <v>714.5</v>
      </c>
      <c r="H34" s="741"/>
      <c r="I34" s="741"/>
      <c r="J34" s="741"/>
      <c r="K34" s="741"/>
      <c r="L34" s="728">
        <f t="shared" si="0"/>
        <v>0</v>
      </c>
      <c r="M34" s="728">
        <f t="shared" si="1"/>
        <v>0</v>
      </c>
      <c r="N34" s="741">
        <f>551.64</f>
        <v>551.64</v>
      </c>
      <c r="O34" s="741">
        <v>656.61</v>
      </c>
      <c r="P34" s="741">
        <v>134.34</v>
      </c>
      <c r="Q34" s="741">
        <v>134.34</v>
      </c>
      <c r="R34" s="728">
        <f t="shared" si="2"/>
        <v>685.98</v>
      </c>
      <c r="S34" s="728">
        <f t="shared" si="3"/>
        <v>790.95</v>
      </c>
      <c r="T34" s="741">
        <f>6308.51</f>
        <v>6308.51</v>
      </c>
      <c r="U34" s="741">
        <v>7352.84</v>
      </c>
      <c r="V34" s="741">
        <v>1322.41</v>
      </c>
      <c r="W34" s="741">
        <v>1322.41</v>
      </c>
      <c r="X34" s="728">
        <f t="shared" si="4"/>
        <v>7630.92</v>
      </c>
      <c r="Y34" s="728">
        <f t="shared" si="5"/>
        <v>8675.25</v>
      </c>
      <c r="Z34" s="741">
        <f>84300.59</f>
        <v>84300.59</v>
      </c>
      <c r="AA34" s="741">
        <v>75297.78</v>
      </c>
      <c r="AB34" s="741">
        <v>7955.65</v>
      </c>
      <c r="AC34" s="741">
        <v>7955.65</v>
      </c>
      <c r="AD34" s="728">
        <f t="shared" si="6"/>
        <v>92256.239999999991</v>
      </c>
      <c r="AE34" s="728">
        <f t="shared" si="7"/>
        <v>83253.429999999993</v>
      </c>
      <c r="AF34" s="741">
        <v>1175.72</v>
      </c>
      <c r="AG34" s="741">
        <v>931.21</v>
      </c>
      <c r="AH34" s="728">
        <f t="shared" si="8"/>
        <v>101748.85999999999</v>
      </c>
      <c r="AI34" s="728">
        <f t="shared" si="9"/>
        <v>93650.84</v>
      </c>
      <c r="AJ34" s="1902">
        <f t="shared" si="10"/>
        <v>94112.046538472525</v>
      </c>
      <c r="AK34" s="730">
        <v>824.91</v>
      </c>
      <c r="AL34" s="730">
        <f t="shared" si="11"/>
        <v>786.68460211676643</v>
      </c>
      <c r="AM34" s="731">
        <f t="shared" si="12"/>
        <v>65.527888350061303</v>
      </c>
      <c r="AN34" s="731">
        <v>1605.24</v>
      </c>
      <c r="AO34" s="731"/>
      <c r="AP34" s="731">
        <f t="shared" si="13"/>
        <v>366.88995710474745</v>
      </c>
      <c r="AQ34" s="731">
        <f t="shared" si="14"/>
        <v>45.984483052674598</v>
      </c>
      <c r="AR34" s="732">
        <f t="shared" si="15"/>
        <v>2522.3344265776796</v>
      </c>
      <c r="AS34" s="730">
        <f t="shared" si="16"/>
        <v>25910.824243379873</v>
      </c>
      <c r="AT34" s="730">
        <f t="shared" si="17"/>
        <v>14399.920848444284</v>
      </c>
      <c r="AU34" s="733">
        <f t="shared" si="18"/>
        <v>135.65422500539006</v>
      </c>
      <c r="AV34" s="733"/>
      <c r="AW34" s="733">
        <f t="shared" ref="AW34" si="32">609509.33/13841.67*G34</f>
        <v>31462.563136167813</v>
      </c>
      <c r="AX34" s="1899">
        <f t="shared" si="19"/>
        <v>78126.533810199311</v>
      </c>
      <c r="AY34" s="467"/>
      <c r="AZ34" s="467"/>
      <c r="BA34" s="1515"/>
      <c r="BB34" s="1515"/>
      <c r="BC34" s="1901">
        <f t="shared" si="20"/>
        <v>0</v>
      </c>
      <c r="BD34" s="1513">
        <f t="shared" si="21"/>
        <v>1148.513047171906</v>
      </c>
      <c r="BE34" s="625">
        <f t="shared" si="22"/>
        <v>14836.99968110131</v>
      </c>
      <c r="BF34" s="1513">
        <f t="shared" si="23"/>
        <v>7636.8134615274612</v>
      </c>
      <c r="BG34" s="1502">
        <f t="shared" si="24"/>
        <v>92.041168815060942</v>
      </c>
      <c r="BH34" s="1513">
        <f t="shared" si="25"/>
        <v>10.976445829073072</v>
      </c>
      <c r="BI34" s="1521">
        <f t="shared" si="26"/>
        <v>8098.0199999999895</v>
      </c>
      <c r="BJ34" s="1521">
        <v>12.04</v>
      </c>
    </row>
    <row r="35" spans="1:62" s="124" customFormat="1" ht="15" x14ac:dyDescent="0.25">
      <c r="A35" s="21">
        <v>31</v>
      </c>
      <c r="B35" s="564" t="s">
        <v>120</v>
      </c>
      <c r="C35" s="745">
        <v>1981</v>
      </c>
      <c r="D35" s="745">
        <v>1</v>
      </c>
      <c r="E35" s="745">
        <v>2</v>
      </c>
      <c r="F35" s="708">
        <v>3</v>
      </c>
      <c r="G35" s="741">
        <v>45.37</v>
      </c>
      <c r="H35" s="741"/>
      <c r="I35" s="741"/>
      <c r="J35" s="741"/>
      <c r="K35" s="741"/>
      <c r="L35" s="728">
        <f t="shared" si="0"/>
        <v>0</v>
      </c>
      <c r="M35" s="728">
        <f t="shared" si="1"/>
        <v>0</v>
      </c>
      <c r="N35" s="741">
        <v>43.56</v>
      </c>
      <c r="O35" s="741">
        <v>21.78</v>
      </c>
      <c r="P35" s="741"/>
      <c r="Q35" s="741"/>
      <c r="R35" s="728">
        <f t="shared" si="2"/>
        <v>43.56</v>
      </c>
      <c r="S35" s="728">
        <f t="shared" si="3"/>
        <v>21.78</v>
      </c>
      <c r="T35" s="741">
        <v>484.56</v>
      </c>
      <c r="U35" s="741">
        <v>242.28</v>
      </c>
      <c r="V35" s="741"/>
      <c r="W35" s="741"/>
      <c r="X35" s="728">
        <f t="shared" si="4"/>
        <v>484.56</v>
      </c>
      <c r="Y35" s="728">
        <f t="shared" si="5"/>
        <v>242.28</v>
      </c>
      <c r="Z35" s="741">
        <v>5313.72</v>
      </c>
      <c r="AA35" s="741">
        <v>1158.3</v>
      </c>
      <c r="AB35" s="741"/>
      <c r="AC35" s="741"/>
      <c r="AD35" s="728">
        <f t="shared" si="6"/>
        <v>5313.72</v>
      </c>
      <c r="AE35" s="728">
        <f t="shared" si="7"/>
        <v>1158.3</v>
      </c>
      <c r="AF35" s="741">
        <v>0</v>
      </c>
      <c r="AG35" s="741">
        <v>0</v>
      </c>
      <c r="AH35" s="728">
        <f t="shared" si="8"/>
        <v>5841.84</v>
      </c>
      <c r="AI35" s="728">
        <f t="shared" si="9"/>
        <v>1422.36</v>
      </c>
      <c r="AJ35" s="1902">
        <f t="shared" si="10"/>
        <v>3823.8644597096763</v>
      </c>
      <c r="AK35" s="730"/>
      <c r="AL35" s="730">
        <f t="shared" si="11"/>
        <v>49.953646463313774</v>
      </c>
      <c r="AM35" s="731">
        <f t="shared" si="12"/>
        <v>4.1609521265812193</v>
      </c>
      <c r="AN35" s="731"/>
      <c r="AO35" s="731"/>
      <c r="AP35" s="731">
        <f t="shared" si="13"/>
        <v>23.297127157232179</v>
      </c>
      <c r="AQ35" s="731">
        <f t="shared" si="14"/>
        <v>2.9199664046183993</v>
      </c>
      <c r="AR35" s="732">
        <f t="shared" si="15"/>
        <v>160.16558843083178</v>
      </c>
      <c r="AS35" s="730">
        <f t="shared" si="16"/>
        <v>1645.310141248628</v>
      </c>
      <c r="AT35" s="730">
        <f t="shared" si="17"/>
        <v>914.37985849393579</v>
      </c>
      <c r="AU35" s="733">
        <f t="shared" si="18"/>
        <v>8.6139008936242778</v>
      </c>
      <c r="AV35" s="733"/>
      <c r="AW35" s="733"/>
      <c r="AX35" s="1899">
        <f t="shared" si="19"/>
        <v>2808.8011812187656</v>
      </c>
      <c r="AY35" s="467"/>
      <c r="AZ35" s="467"/>
      <c r="BA35" s="1515"/>
      <c r="BB35" s="1515"/>
      <c r="BC35" s="1901">
        <f t="shared" si="20"/>
        <v>0</v>
      </c>
      <c r="BD35" s="1513">
        <f t="shared" si="21"/>
        <v>72.929372918389603</v>
      </c>
      <c r="BE35" s="625">
        <f t="shared" si="22"/>
        <v>942.13390557252126</v>
      </c>
      <c r="BF35" s="1513">
        <f t="shared" si="23"/>
        <v>2017.9755402903238</v>
      </c>
      <c r="BG35" s="1502">
        <f t="shared" si="24"/>
        <v>24.347808224805881</v>
      </c>
      <c r="BH35" s="1513">
        <f t="shared" si="25"/>
        <v>7.0234818523798337</v>
      </c>
      <c r="BI35" s="1521">
        <f t="shared" si="26"/>
        <v>4419.4800000000005</v>
      </c>
      <c r="BJ35" s="1521">
        <v>11.01</v>
      </c>
    </row>
    <row r="36" spans="1:62" s="124" customFormat="1" ht="15" x14ac:dyDescent="0.25">
      <c r="A36" s="21">
        <v>32</v>
      </c>
      <c r="B36" s="564" t="s">
        <v>121</v>
      </c>
      <c r="C36" s="745">
        <v>1970</v>
      </c>
      <c r="D36" s="745">
        <v>2</v>
      </c>
      <c r="E36" s="745">
        <v>16</v>
      </c>
      <c r="F36" s="349">
        <v>35</v>
      </c>
      <c r="G36" s="741">
        <v>714.01</v>
      </c>
      <c r="H36" s="741"/>
      <c r="I36" s="741"/>
      <c r="J36" s="741"/>
      <c r="K36" s="741"/>
      <c r="L36" s="728">
        <f t="shared" si="0"/>
        <v>0</v>
      </c>
      <c r="M36" s="728">
        <f t="shared" si="1"/>
        <v>0</v>
      </c>
      <c r="N36" s="741">
        <f>640.34</f>
        <v>640.34</v>
      </c>
      <c r="O36" s="741">
        <v>787.07</v>
      </c>
      <c r="P36" s="741">
        <v>46</v>
      </c>
      <c r="Q36" s="741">
        <v>46</v>
      </c>
      <c r="R36" s="728">
        <f t="shared" si="2"/>
        <v>686.34</v>
      </c>
      <c r="S36" s="728">
        <f t="shared" si="3"/>
        <v>833.07</v>
      </c>
      <c r="T36" s="741">
        <f>7232.74</f>
        <v>7232.74</v>
      </c>
      <c r="U36" s="741">
        <v>8798.11</v>
      </c>
      <c r="V36" s="741">
        <v>402.5</v>
      </c>
      <c r="W36" s="741">
        <v>402.5</v>
      </c>
      <c r="X36" s="728">
        <f t="shared" si="4"/>
        <v>7635.24</v>
      </c>
      <c r="Y36" s="728">
        <f t="shared" si="5"/>
        <v>9200.61</v>
      </c>
      <c r="Z36" s="741">
        <f>89583.66</f>
        <v>89583.66</v>
      </c>
      <c r="AA36" s="741">
        <v>85846.96</v>
      </c>
      <c r="AB36" s="741">
        <v>2725.5</v>
      </c>
      <c r="AC36" s="741">
        <v>2725.5</v>
      </c>
      <c r="AD36" s="728">
        <f t="shared" si="6"/>
        <v>92309.16</v>
      </c>
      <c r="AE36" s="728">
        <f t="shared" si="7"/>
        <v>88572.46</v>
      </c>
      <c r="AF36" s="741">
        <v>1162.1600000000001</v>
      </c>
      <c r="AG36" s="741">
        <v>1028.22</v>
      </c>
      <c r="AH36" s="728">
        <f t="shared" si="8"/>
        <v>101792.90000000001</v>
      </c>
      <c r="AI36" s="728">
        <f t="shared" si="9"/>
        <v>99634.360000000015</v>
      </c>
      <c r="AJ36" s="1902">
        <f t="shared" si="10"/>
        <v>94857.0216199227</v>
      </c>
      <c r="AK36" s="730">
        <v>1632.76</v>
      </c>
      <c r="AL36" s="730">
        <f t="shared" si="11"/>
        <v>786.14509833085015</v>
      </c>
      <c r="AM36" s="731">
        <f t="shared" si="12"/>
        <v>65.482949700248099</v>
      </c>
      <c r="AN36" s="731">
        <v>1605.24</v>
      </c>
      <c r="AO36" s="731"/>
      <c r="AP36" s="731">
        <f t="shared" si="13"/>
        <v>366.6383460774818</v>
      </c>
      <c r="AQ36" s="731">
        <f t="shared" si="14"/>
        <v>45.952947158068845</v>
      </c>
      <c r="AR36" s="732">
        <f t="shared" si="15"/>
        <v>2520.6046241017898</v>
      </c>
      <c r="AS36" s="730">
        <f t="shared" si="16"/>
        <v>25893.054748797291</v>
      </c>
      <c r="AT36" s="730">
        <f t="shared" si="17"/>
        <v>14390.045465357178</v>
      </c>
      <c r="AU36" s="733">
        <f t="shared" si="18"/>
        <v>135.56119411630308</v>
      </c>
      <c r="AV36" s="733"/>
      <c r="AW36" s="733">
        <f t="shared" ref="AW36" si="33">609509.33/13841.67*G36</f>
        <v>31440.986290909979</v>
      </c>
      <c r="AX36" s="1899">
        <f t="shared" si="19"/>
        <v>78882.471664549201</v>
      </c>
      <c r="AY36" s="467"/>
      <c r="AZ36" s="467"/>
      <c r="BA36" s="1515"/>
      <c r="BB36" s="1515"/>
      <c r="BC36" s="1901">
        <f t="shared" si="20"/>
        <v>0</v>
      </c>
      <c r="BD36" s="1513">
        <f t="shared" si="21"/>
        <v>1147.7254035146432</v>
      </c>
      <c r="BE36" s="625">
        <f t="shared" si="22"/>
        <v>14826.824551858848</v>
      </c>
      <c r="BF36" s="1513">
        <f t="shared" si="23"/>
        <v>6935.878380077309</v>
      </c>
      <c r="BG36" s="1502">
        <f t="shared" si="24"/>
        <v>97.879478824161609</v>
      </c>
      <c r="BH36" s="1513">
        <f t="shared" si="25"/>
        <v>11.070925899721608</v>
      </c>
      <c r="BI36" s="1521">
        <f t="shared" si="26"/>
        <v>2158.5399999999936</v>
      </c>
      <c r="BJ36" s="1521">
        <v>12.04</v>
      </c>
    </row>
    <row r="37" spans="1:62" s="124" customFormat="1" ht="15" x14ac:dyDescent="0.25">
      <c r="A37" s="21">
        <v>33</v>
      </c>
      <c r="B37" s="564" t="s">
        <v>122</v>
      </c>
      <c r="C37" s="745">
        <v>1962</v>
      </c>
      <c r="D37" s="745">
        <v>1</v>
      </c>
      <c r="E37" s="745">
        <v>2</v>
      </c>
      <c r="F37" s="708">
        <v>5</v>
      </c>
      <c r="G37" s="741">
        <v>77.209999999999994</v>
      </c>
      <c r="H37" s="741"/>
      <c r="I37" s="741"/>
      <c r="J37" s="741"/>
      <c r="K37" s="741"/>
      <c r="L37" s="728">
        <f t="shared" si="0"/>
        <v>0</v>
      </c>
      <c r="M37" s="728">
        <f t="shared" si="1"/>
        <v>0</v>
      </c>
      <c r="N37" s="741">
        <v>74.099999999999994</v>
      </c>
      <c r="O37" s="741">
        <v>86.45</v>
      </c>
      <c r="P37" s="741"/>
      <c r="Q37" s="741"/>
      <c r="R37" s="728">
        <f t="shared" si="2"/>
        <v>74.099999999999994</v>
      </c>
      <c r="S37" s="728">
        <f t="shared" si="3"/>
        <v>86.45</v>
      </c>
      <c r="T37" s="741">
        <v>824.64</v>
      </c>
      <c r="U37" s="741">
        <v>962.08</v>
      </c>
      <c r="V37" s="741"/>
      <c r="W37" s="741"/>
      <c r="X37" s="728">
        <f t="shared" si="4"/>
        <v>824.64</v>
      </c>
      <c r="Y37" s="728">
        <f t="shared" si="5"/>
        <v>962.08</v>
      </c>
      <c r="Z37" s="741">
        <v>8977.98</v>
      </c>
      <c r="AA37" s="741">
        <v>8784.9500000000007</v>
      </c>
      <c r="AB37" s="741"/>
      <c r="AC37" s="741"/>
      <c r="AD37" s="728">
        <f t="shared" si="6"/>
        <v>8977.98</v>
      </c>
      <c r="AE37" s="728">
        <f t="shared" si="7"/>
        <v>8784.9500000000007</v>
      </c>
      <c r="AF37" s="741">
        <v>0</v>
      </c>
      <c r="AG37" s="741">
        <v>0</v>
      </c>
      <c r="AH37" s="728">
        <f t="shared" si="8"/>
        <v>9876.7199999999993</v>
      </c>
      <c r="AI37" s="728">
        <f t="shared" si="9"/>
        <v>9833.4800000000014</v>
      </c>
      <c r="AJ37" s="1902">
        <f t="shared" si="10"/>
        <v>6507.3964058669626</v>
      </c>
      <c r="AK37" s="730"/>
      <c r="AL37" s="730">
        <f t="shared" si="11"/>
        <v>85.010382266529788</v>
      </c>
      <c r="AM37" s="731">
        <f t="shared" si="12"/>
        <v>7.081047249136784</v>
      </c>
      <c r="AN37" s="731"/>
      <c r="AO37" s="731"/>
      <c r="AP37" s="731">
        <f t="shared" si="13"/>
        <v>39.646709010577396</v>
      </c>
      <c r="AQ37" s="731">
        <f t="shared" si="14"/>
        <v>4.9691559643065153</v>
      </c>
      <c r="AR37" s="732">
        <f t="shared" si="15"/>
        <v>272.56744727230597</v>
      </c>
      <c r="AS37" s="730">
        <f t="shared" si="16"/>
        <v>2799.9646463699928</v>
      </c>
      <c r="AT37" s="730">
        <f t="shared" si="17"/>
        <v>1556.0782207255186</v>
      </c>
      <c r="AU37" s="733">
        <f t="shared" si="18"/>
        <v>14.659010094704222</v>
      </c>
      <c r="AV37" s="733"/>
      <c r="AW37" s="733"/>
      <c r="AX37" s="1899">
        <f t="shared" si="19"/>
        <v>4779.976618953071</v>
      </c>
      <c r="AY37" s="467"/>
      <c r="AZ37" s="467"/>
      <c r="BA37" s="1515"/>
      <c r="BB37" s="1515"/>
      <c r="BC37" s="1901">
        <f t="shared" si="20"/>
        <v>0</v>
      </c>
      <c r="BD37" s="1513">
        <f t="shared" si="21"/>
        <v>124.11013628011597</v>
      </c>
      <c r="BE37" s="625">
        <f t="shared" si="22"/>
        <v>1603.3096506337747</v>
      </c>
      <c r="BF37" s="1513">
        <f t="shared" si="23"/>
        <v>3369.3235941330367</v>
      </c>
      <c r="BG37" s="1502">
        <f t="shared" si="24"/>
        <v>99.562202836569242</v>
      </c>
      <c r="BH37" s="1513">
        <f t="shared" si="25"/>
        <v>7.0234818523798337</v>
      </c>
      <c r="BI37" s="1521">
        <f t="shared" si="26"/>
        <v>43.239999999997963</v>
      </c>
      <c r="BJ37" s="1521">
        <v>10.94</v>
      </c>
    </row>
    <row r="38" spans="1:62" s="124" customFormat="1" ht="15" x14ac:dyDescent="0.25">
      <c r="A38" s="19">
        <v>34</v>
      </c>
      <c r="B38" s="1514" t="s">
        <v>123</v>
      </c>
      <c r="C38" s="745">
        <v>1990</v>
      </c>
      <c r="D38" s="745">
        <v>3</v>
      </c>
      <c r="E38" s="745">
        <v>24</v>
      </c>
      <c r="F38" s="349">
        <v>61</v>
      </c>
      <c r="G38" s="741">
        <v>1444.1</v>
      </c>
      <c r="H38" s="741">
        <f>19310.88</f>
        <v>19310.88</v>
      </c>
      <c r="I38" s="741">
        <v>23642.35</v>
      </c>
      <c r="J38" s="741">
        <v>1476.96</v>
      </c>
      <c r="K38" s="741">
        <v>1476.96</v>
      </c>
      <c r="L38" s="728">
        <f t="shared" si="0"/>
        <v>20787.84</v>
      </c>
      <c r="M38" s="728">
        <f t="shared" si="1"/>
        <v>25119.309999999998</v>
      </c>
      <c r="N38" s="741">
        <f>1287.25</f>
        <v>1287.25</v>
      </c>
      <c r="O38" s="741">
        <v>1575.98</v>
      </c>
      <c r="P38" s="741">
        <v>98.45</v>
      </c>
      <c r="Q38" s="741">
        <v>98.45</v>
      </c>
      <c r="R38" s="728">
        <f t="shared" si="2"/>
        <v>1385.7</v>
      </c>
      <c r="S38" s="728">
        <f t="shared" si="3"/>
        <v>1674.43</v>
      </c>
      <c r="T38" s="741">
        <f>14506.34</f>
        <v>14506.34</v>
      </c>
      <c r="U38" s="741">
        <v>17527.3</v>
      </c>
      <c r="V38" s="741">
        <v>911.5</v>
      </c>
      <c r="W38" s="741">
        <v>911.5</v>
      </c>
      <c r="X38" s="728">
        <f t="shared" si="4"/>
        <v>15417.84</v>
      </c>
      <c r="Y38" s="728">
        <f t="shared" si="5"/>
        <v>18438.8</v>
      </c>
      <c r="Z38" s="741">
        <f>201681.87</f>
        <v>201681.87</v>
      </c>
      <c r="AA38" s="741">
        <v>188324.06</v>
      </c>
      <c r="AB38" s="741">
        <v>5809.39</v>
      </c>
      <c r="AC38" s="741">
        <v>5809.39</v>
      </c>
      <c r="AD38" s="728">
        <f t="shared" si="6"/>
        <v>207491.26</v>
      </c>
      <c r="AE38" s="728">
        <f t="shared" si="7"/>
        <v>194133.45</v>
      </c>
      <c r="AF38" s="741">
        <v>8151.43</v>
      </c>
      <c r="AG38" s="741">
        <v>6766.85</v>
      </c>
      <c r="AH38" s="728">
        <f t="shared" si="8"/>
        <v>253234.07</v>
      </c>
      <c r="AI38" s="728">
        <f t="shared" si="9"/>
        <v>246132.84</v>
      </c>
      <c r="AJ38" s="1902">
        <f t="shared" si="10"/>
        <v>240097.58308718118</v>
      </c>
      <c r="AK38" s="730">
        <v>4565.96</v>
      </c>
      <c r="AL38" s="730">
        <f t="shared" si="11"/>
        <v>1589.9947290648317</v>
      </c>
      <c r="AM38" s="731">
        <f t="shared" si="12"/>
        <v>132.44062080661092</v>
      </c>
      <c r="AN38" s="731">
        <v>14392.7</v>
      </c>
      <c r="AO38" s="731"/>
      <c r="AP38" s="731">
        <f t="shared" si="13"/>
        <v>741.53364178441677</v>
      </c>
      <c r="AQ38" s="731">
        <f t="shared" si="14"/>
        <v>92.940786530955052</v>
      </c>
      <c r="AR38" s="732">
        <f t="shared" si="15"/>
        <v>5097.9750110858313</v>
      </c>
      <c r="AS38" s="730">
        <f t="shared" si="16"/>
        <v>52369.239034100588</v>
      </c>
      <c r="AT38" s="730">
        <f t="shared" si="17"/>
        <v>29104.164726715731</v>
      </c>
      <c r="AU38" s="733">
        <f t="shared" si="18"/>
        <v>274.17532026631739</v>
      </c>
      <c r="AV38" s="733"/>
      <c r="AW38" s="733">
        <f t="shared" ref="AW38" si="34">609509.33/13841.67*G38</f>
        <v>63590.045381301519</v>
      </c>
      <c r="AX38" s="1899">
        <f t="shared" si="19"/>
        <v>171951.16925165683</v>
      </c>
      <c r="AY38" s="467">
        <f t="shared" ref="AY38" si="35">3869.47/8714.01*G38</f>
        <v>641.25490181902467</v>
      </c>
      <c r="AZ38" s="467">
        <v>170.71</v>
      </c>
      <c r="BA38" s="1515">
        <f t="shared" ref="BA38" si="36">211351.95/8714.01*G38</f>
        <v>35025.591087799985</v>
      </c>
      <c r="BB38" s="1515"/>
      <c r="BC38" s="1901">
        <f t="shared" si="20"/>
        <v>35837.55598961901</v>
      </c>
      <c r="BD38" s="1513">
        <f t="shared" si="21"/>
        <v>2321.2983784757862</v>
      </c>
      <c r="BE38" s="625">
        <f t="shared" si="22"/>
        <v>29987.559467429532</v>
      </c>
      <c r="BF38" s="1513">
        <f t="shared" si="23"/>
        <v>13136.486912818829</v>
      </c>
      <c r="BG38" s="1502">
        <f t="shared" si="24"/>
        <v>97.195784121781088</v>
      </c>
      <c r="BH38" s="1513">
        <f t="shared" si="25"/>
        <v>13.8550875451366</v>
      </c>
      <c r="BI38" s="1521">
        <f t="shared" si="26"/>
        <v>7101.2300000000105</v>
      </c>
      <c r="BJ38" s="1521">
        <v>14.52</v>
      </c>
    </row>
    <row r="39" spans="1:62" s="124" customFormat="1" ht="15" x14ac:dyDescent="0.25">
      <c r="A39" s="251">
        <v>35</v>
      </c>
      <c r="B39" s="1351" t="s">
        <v>124</v>
      </c>
      <c r="C39" s="748">
        <v>1980</v>
      </c>
      <c r="D39" s="748">
        <v>1</v>
      </c>
      <c r="E39" s="748">
        <v>1</v>
      </c>
      <c r="F39" s="749">
        <v>3</v>
      </c>
      <c r="G39" s="750">
        <v>36</v>
      </c>
      <c r="H39" s="750"/>
      <c r="I39" s="750"/>
      <c r="J39" s="750"/>
      <c r="K39" s="750"/>
      <c r="L39" s="728">
        <f t="shared" si="0"/>
        <v>0</v>
      </c>
      <c r="M39" s="728">
        <f t="shared" si="1"/>
        <v>0</v>
      </c>
      <c r="N39" s="750">
        <v>34.56</v>
      </c>
      <c r="O39" s="750">
        <v>40.32</v>
      </c>
      <c r="P39" s="750"/>
      <c r="Q39" s="750"/>
      <c r="R39" s="728">
        <f t="shared" si="2"/>
        <v>34.56</v>
      </c>
      <c r="S39" s="728">
        <f t="shared" si="3"/>
        <v>40.32</v>
      </c>
      <c r="T39" s="750">
        <v>246.24</v>
      </c>
      <c r="U39" s="750">
        <v>287.27999999999997</v>
      </c>
      <c r="V39" s="750"/>
      <c r="W39" s="750"/>
      <c r="X39" s="728">
        <f t="shared" si="4"/>
        <v>246.24</v>
      </c>
      <c r="Y39" s="728">
        <f t="shared" si="5"/>
        <v>287.27999999999997</v>
      </c>
      <c r="Z39" s="750">
        <v>2441.3200000000002</v>
      </c>
      <c r="AA39" s="750">
        <v>1823.76</v>
      </c>
      <c r="AB39" s="750"/>
      <c r="AC39" s="750"/>
      <c r="AD39" s="728">
        <f t="shared" si="6"/>
        <v>2441.3200000000002</v>
      </c>
      <c r="AE39" s="728">
        <f t="shared" si="7"/>
        <v>1823.76</v>
      </c>
      <c r="AF39" s="750">
        <v>0</v>
      </c>
      <c r="AG39" s="750">
        <v>0</v>
      </c>
      <c r="AH39" s="728">
        <f t="shared" si="8"/>
        <v>2722.1200000000003</v>
      </c>
      <c r="AI39" s="728">
        <f t="shared" si="9"/>
        <v>2151.36</v>
      </c>
      <c r="AJ39" s="1902">
        <f t="shared" si="10"/>
        <v>3034.1441602280879</v>
      </c>
      <c r="AK39" s="752"/>
      <c r="AL39" s="730">
        <f t="shared" si="11"/>
        <v>39.637012842832178</v>
      </c>
      <c r="AM39" s="731">
        <f t="shared" si="12"/>
        <v>3.3016150883165944</v>
      </c>
      <c r="AN39" s="731"/>
      <c r="AO39" s="731"/>
      <c r="AP39" s="731">
        <f t="shared" si="13"/>
        <v>18.48570812564158</v>
      </c>
      <c r="AQ39" s="731">
        <f t="shared" si="14"/>
        <v>2.3169228689941015</v>
      </c>
      <c r="AR39" s="732">
        <f t="shared" si="15"/>
        <v>127.08752884086279</v>
      </c>
      <c r="AS39" s="730">
        <f t="shared" si="16"/>
        <v>1305.5138877000356</v>
      </c>
      <c r="AT39" s="730">
        <f t="shared" si="17"/>
        <v>725.53834925681485</v>
      </c>
      <c r="AU39" s="733">
        <f t="shared" si="18"/>
        <v>6.8349224635325996</v>
      </c>
      <c r="AV39" s="733"/>
      <c r="AW39" s="733"/>
      <c r="AX39" s="1899">
        <f t="shared" si="19"/>
        <v>2228.71594718703</v>
      </c>
      <c r="AY39" s="467"/>
      <c r="AZ39" s="467"/>
      <c r="BA39" s="1515"/>
      <c r="BB39" s="1515"/>
      <c r="BC39" s="1901">
        <f t="shared" si="20"/>
        <v>0</v>
      </c>
      <c r="BD39" s="1513">
        <f t="shared" si="21"/>
        <v>57.867697268283578</v>
      </c>
      <c r="BE39" s="625">
        <f t="shared" si="22"/>
        <v>747.56051577277424</v>
      </c>
      <c r="BF39" s="1513">
        <f t="shared" si="23"/>
        <v>-312.02416022808757</v>
      </c>
      <c r="BG39" s="1502">
        <f t="shared" si="24"/>
        <v>79.032518772133471</v>
      </c>
      <c r="BH39" s="1513">
        <f t="shared" si="25"/>
        <v>7.0234818523798337</v>
      </c>
      <c r="BI39" s="1521">
        <f t="shared" si="26"/>
        <v>570.76000000000022</v>
      </c>
      <c r="BJ39" s="1521">
        <v>6.2</v>
      </c>
    </row>
    <row r="40" spans="1:62" s="124" customFormat="1" ht="15" x14ac:dyDescent="0.25">
      <c r="A40" s="19"/>
      <c r="B40" s="392" t="s">
        <v>23</v>
      </c>
      <c r="C40" s="745"/>
      <c r="D40" s="745"/>
      <c r="E40" s="1735">
        <f>SUM(E5:E39)</f>
        <v>299</v>
      </c>
      <c r="F40" s="1735">
        <f>SUM(F5:F39)</f>
        <v>832</v>
      </c>
      <c r="G40" s="1674">
        <f>SUM(G6:G39)</f>
        <v>15537.850000000002</v>
      </c>
      <c r="H40" s="1674">
        <f t="shared" ref="H40:N40" si="37">SUM(H6:H39)</f>
        <v>117104.57</v>
      </c>
      <c r="I40" s="1674">
        <f t="shared" si="37"/>
        <v>140449.85</v>
      </c>
      <c r="J40" s="1674">
        <f t="shared" si="37"/>
        <v>8623.9900000000016</v>
      </c>
      <c r="K40" s="1674">
        <f t="shared" si="37"/>
        <v>8623.9900000000016</v>
      </c>
      <c r="L40" s="1674">
        <f t="shared" si="37"/>
        <v>125728.55999999998</v>
      </c>
      <c r="M40" s="1674">
        <f t="shared" si="37"/>
        <v>149073.84</v>
      </c>
      <c r="N40" s="1674">
        <f t="shared" si="37"/>
        <v>13548.75</v>
      </c>
      <c r="O40" s="1674">
        <f t="shared" ref="O40:AE40" si="38">SUM(O5:O39)</f>
        <v>16996.330000000002</v>
      </c>
      <c r="P40" s="1674">
        <f t="shared" si="38"/>
        <v>1201.8899999999999</v>
      </c>
      <c r="Q40" s="1674">
        <f t="shared" si="38"/>
        <v>1201.8899999999999</v>
      </c>
      <c r="R40" s="1674">
        <f t="shared" si="38"/>
        <v>14750.640000000001</v>
      </c>
      <c r="S40" s="1674">
        <f t="shared" si="38"/>
        <v>18198.22</v>
      </c>
      <c r="T40" s="1674">
        <f t="shared" si="38"/>
        <v>151494.66999999998</v>
      </c>
      <c r="U40" s="1674">
        <f t="shared" si="38"/>
        <v>187303.82999999996</v>
      </c>
      <c r="V40" s="1674">
        <f t="shared" si="38"/>
        <v>11449.18</v>
      </c>
      <c r="W40" s="1674">
        <f t="shared" si="38"/>
        <v>11449.18</v>
      </c>
      <c r="X40" s="1674">
        <f t="shared" si="38"/>
        <v>162943.84999999998</v>
      </c>
      <c r="Y40" s="1674">
        <f t="shared" si="38"/>
        <v>198753.00999999995</v>
      </c>
      <c r="Z40" s="1674">
        <f t="shared" si="38"/>
        <v>1975929.3699999999</v>
      </c>
      <c r="AA40" s="1674">
        <f t="shared" si="38"/>
        <v>1857912.6000000003</v>
      </c>
      <c r="AB40" s="1674">
        <f t="shared" si="38"/>
        <v>65486.610000000008</v>
      </c>
      <c r="AC40" s="1674">
        <f t="shared" si="38"/>
        <v>65486.610000000008</v>
      </c>
      <c r="AD40" s="1674">
        <f t="shared" si="38"/>
        <v>2041415.9799999997</v>
      </c>
      <c r="AE40" s="1674">
        <f t="shared" si="38"/>
        <v>1923399.2100000002</v>
      </c>
      <c r="AF40" s="1674">
        <f t="shared" ref="AF40:AW40" si="39">SUM(AF6:AF39)</f>
        <v>43553.020000000011</v>
      </c>
      <c r="AG40" s="1674">
        <f t="shared" si="39"/>
        <v>42478.420000000006</v>
      </c>
      <c r="AH40" s="1675">
        <f t="shared" si="39"/>
        <v>2388392.0500000007</v>
      </c>
      <c r="AI40" s="1675">
        <f t="shared" si="39"/>
        <v>2331902.7000000007</v>
      </c>
      <c r="AJ40" s="1903">
        <f t="shared" si="39"/>
        <v>2214514.8300000005</v>
      </c>
      <c r="AK40" s="1676">
        <f t="shared" si="39"/>
        <v>27073.449999999997</v>
      </c>
      <c r="AL40" s="1807">
        <f t="shared" si="39"/>
        <v>17107.61</v>
      </c>
      <c r="AM40" s="1807">
        <f t="shared" si="39"/>
        <v>1425.0000000000002</v>
      </c>
      <c r="AN40" s="1807">
        <f t="shared" si="39"/>
        <v>43337.140000000007</v>
      </c>
      <c r="AO40" s="1807">
        <f t="shared" si="39"/>
        <v>5304.09</v>
      </c>
      <c r="AP40" s="1807">
        <f t="shared" si="39"/>
        <v>7978.56</v>
      </c>
      <c r="AQ40" s="1808">
        <f t="shared" si="39"/>
        <v>1000.0000000000002</v>
      </c>
      <c r="AR40" s="1676">
        <f t="shared" si="39"/>
        <v>54851.86</v>
      </c>
      <c r="AS40" s="1676">
        <f t="shared" si="39"/>
        <v>563468.85999999987</v>
      </c>
      <c r="AT40" s="1676">
        <f t="shared" si="39"/>
        <v>313147.39</v>
      </c>
      <c r="AU40" s="1676">
        <f t="shared" si="39"/>
        <v>2950.0000000000005</v>
      </c>
      <c r="AV40" s="1809">
        <f t="shared" si="39"/>
        <v>3500</v>
      </c>
      <c r="AW40" s="1809">
        <f t="shared" si="39"/>
        <v>609509.32999999984</v>
      </c>
      <c r="AX40" s="1900">
        <f t="shared" ref="AX40:BE40" si="40">SUM(AX6:AX39)</f>
        <v>1650653.2900000003</v>
      </c>
      <c r="AY40" s="1809">
        <f t="shared" si="40"/>
        <v>3869.4699999999993</v>
      </c>
      <c r="AZ40" s="1809">
        <f t="shared" si="40"/>
        <v>1011.7100000000002</v>
      </c>
      <c r="BA40" s="1809">
        <f t="shared" si="40"/>
        <v>211351.94999999998</v>
      </c>
      <c r="BB40" s="1809">
        <f t="shared" si="40"/>
        <v>0</v>
      </c>
      <c r="BC40" s="1900">
        <f t="shared" si="40"/>
        <v>216233.13</v>
      </c>
      <c r="BD40" s="1809">
        <f t="shared" si="40"/>
        <v>24976.1</v>
      </c>
      <c r="BE40" s="1809">
        <f t="shared" si="40"/>
        <v>322652.30999999994</v>
      </c>
      <c r="BF40" s="1811">
        <f t="shared" si="23"/>
        <v>173877.2200000002</v>
      </c>
      <c r="BG40" s="1812">
        <f t="shared" si="24"/>
        <v>97.634837630614285</v>
      </c>
      <c r="BH40" s="1811">
        <f t="shared" si="25"/>
        <v>11.87699086424441</v>
      </c>
      <c r="BI40" s="1071">
        <f t="shared" si="26"/>
        <v>56489.350000000093</v>
      </c>
      <c r="BJ40" s="1521"/>
    </row>
    <row r="41" spans="1:62" x14ac:dyDescent="0.25">
      <c r="C41" s="375"/>
      <c r="D41" s="375"/>
      <c r="E41" s="375"/>
      <c r="F41" s="375"/>
      <c r="G41" s="375"/>
      <c r="H41" s="375"/>
      <c r="I41" s="375"/>
      <c r="J41" s="375"/>
      <c r="K41" s="375"/>
      <c r="L41" s="375" t="s">
        <v>882</v>
      </c>
      <c r="M41" s="375"/>
      <c r="N41" s="375" t="s">
        <v>180</v>
      </c>
      <c r="O41" s="375"/>
      <c r="P41" s="375"/>
      <c r="Q41" s="375"/>
      <c r="R41" s="375"/>
      <c r="S41" s="375"/>
      <c r="T41" s="375" t="s">
        <v>180</v>
      </c>
      <c r="U41" s="375"/>
      <c r="V41" s="375"/>
      <c r="W41" s="375"/>
      <c r="X41" s="375"/>
      <c r="Y41" s="375"/>
      <c r="Z41" s="375" t="s">
        <v>180</v>
      </c>
      <c r="AA41" s="375"/>
      <c r="AB41" s="375" t="s">
        <v>882</v>
      </c>
      <c r="AC41" s="375"/>
      <c r="AD41" s="375"/>
      <c r="AE41" s="375"/>
      <c r="AF41" s="375" t="s">
        <v>180</v>
      </c>
      <c r="AG41" s="375"/>
      <c r="AH41" s="375"/>
      <c r="AI41" s="375"/>
      <c r="AJ41" s="375" t="s">
        <v>180</v>
      </c>
      <c r="AK41" s="763">
        <f>AK40+AL40+AM40</f>
        <v>45606.06</v>
      </c>
      <c r="AL41" s="375"/>
      <c r="AM41" s="375"/>
      <c r="AN41" s="375" t="s">
        <v>180</v>
      </c>
      <c r="AO41" s="375" t="s">
        <v>180</v>
      </c>
      <c r="AP41" s="375" t="s">
        <v>180</v>
      </c>
      <c r="AQ41" s="375" t="s">
        <v>180</v>
      </c>
      <c r="AR41" s="375" t="s">
        <v>180</v>
      </c>
      <c r="AS41" s="375" t="s">
        <v>180</v>
      </c>
      <c r="AT41" s="375" t="s">
        <v>180</v>
      </c>
      <c r="AU41" s="763" t="s">
        <v>180</v>
      </c>
      <c r="AV41" s="375" t="s">
        <v>180</v>
      </c>
      <c r="AW41" s="375" t="s">
        <v>180</v>
      </c>
      <c r="AX41" s="375" t="s">
        <v>180</v>
      </c>
      <c r="AY41" s="1518">
        <f>AY40+AZ40</f>
        <v>4881.1799999999994</v>
      </c>
      <c r="AZ41" s="250"/>
      <c r="BA41" s="352"/>
      <c r="BC41" t="s">
        <v>180</v>
      </c>
      <c r="BD41" s="375" t="s">
        <v>180</v>
      </c>
      <c r="BE41" t="s">
        <v>180</v>
      </c>
    </row>
    <row r="42" spans="1:62" x14ac:dyDescent="0.25">
      <c r="B42" s="295" t="s">
        <v>853</v>
      </c>
      <c r="C42" s="375"/>
      <c r="D42" s="764"/>
      <c r="E42" s="375"/>
      <c r="F42" s="375"/>
      <c r="G42" s="1806">
        <f>G15+G16+G17+G18+G19+G20+G21+G28+G29+G32+G34+G36+G38</f>
        <v>13841.67</v>
      </c>
      <c r="H42" s="787"/>
      <c r="I42" s="787"/>
      <c r="J42" s="787"/>
      <c r="K42" s="787"/>
      <c r="L42" s="787"/>
      <c r="M42" s="787"/>
      <c r="N42" s="375"/>
      <c r="O42" s="375"/>
      <c r="P42" s="375"/>
      <c r="Q42" s="375"/>
      <c r="R42" s="375"/>
      <c r="S42" s="375"/>
      <c r="T42" s="375"/>
      <c r="U42" s="375"/>
      <c r="V42" s="375"/>
      <c r="W42" s="375"/>
      <c r="X42" s="375"/>
      <c r="Y42" s="375"/>
      <c r="Z42" s="375"/>
      <c r="AA42" s="375"/>
      <c r="AB42" s="375"/>
      <c r="AC42" s="250"/>
      <c r="AD42" s="250"/>
      <c r="AE42" s="250"/>
      <c r="AF42" s="250"/>
      <c r="AG42" s="375"/>
      <c r="AH42" s="764"/>
      <c r="AI42" s="375"/>
      <c r="AJ42" s="375"/>
      <c r="AK42" s="786"/>
      <c r="AL42" s="375"/>
      <c r="AM42" s="375"/>
      <c r="AN42" s="375"/>
      <c r="AO42" s="375"/>
      <c r="AP42" s="375"/>
      <c r="AQ42" s="375"/>
      <c r="AR42" s="375"/>
      <c r="AS42" s="375"/>
      <c r="AT42" s="764"/>
      <c r="AU42" s="375"/>
      <c r="AV42" s="763"/>
      <c r="AW42" s="375"/>
      <c r="AX42" s="375"/>
      <c r="AY42" s="250"/>
      <c r="AZ42" s="1810">
        <f>G15+G16+G17+G18+G19+G38</f>
        <v>8714.01</v>
      </c>
    </row>
    <row r="43" spans="1:62" x14ac:dyDescent="0.25">
      <c r="B43" s="353" t="s">
        <v>749</v>
      </c>
      <c r="C43" s="375"/>
      <c r="D43" s="375"/>
      <c r="E43" s="375"/>
      <c r="F43" s="375"/>
      <c r="G43" s="763">
        <f>G40-G22-G24-G25</f>
        <v>15158.35</v>
      </c>
      <c r="H43" s="763"/>
      <c r="I43" s="763"/>
      <c r="J43" s="763"/>
      <c r="K43" s="763"/>
      <c r="L43" s="763"/>
      <c r="M43" s="763"/>
      <c r="N43" s="375"/>
      <c r="O43" s="375"/>
      <c r="P43" s="375"/>
      <c r="Q43" s="375"/>
      <c r="R43" s="375"/>
      <c r="S43" s="375"/>
      <c r="T43" s="375"/>
      <c r="U43" s="375"/>
      <c r="V43" s="375"/>
      <c r="W43" s="375"/>
      <c r="X43" s="375"/>
      <c r="Y43" s="375"/>
      <c r="Z43" s="375"/>
      <c r="AA43" s="375"/>
      <c r="AB43" s="375"/>
      <c r="AC43" s="250"/>
      <c r="AD43" s="250"/>
      <c r="AE43" s="250"/>
      <c r="AF43" s="250"/>
      <c r="AG43" s="375"/>
      <c r="AH43" s="375"/>
      <c r="AI43" s="375"/>
      <c r="AJ43" s="375"/>
      <c r="AK43" s="375"/>
      <c r="AL43" s="375"/>
      <c r="AM43" s="375"/>
      <c r="AN43" s="375"/>
      <c r="AO43" s="375"/>
      <c r="AP43" s="375"/>
      <c r="AQ43" s="375"/>
      <c r="AR43" s="375"/>
      <c r="AS43" s="375"/>
      <c r="AT43" s="375"/>
      <c r="AU43" s="375"/>
      <c r="AV43" s="375"/>
      <c r="AW43" s="375"/>
      <c r="AX43" s="375"/>
      <c r="AY43" s="250"/>
      <c r="AZ43" s="250"/>
    </row>
    <row r="44" spans="1:62" x14ac:dyDescent="0.25">
      <c r="B44" s="353" t="s">
        <v>851</v>
      </c>
      <c r="C44" s="375"/>
      <c r="D44" s="375"/>
      <c r="E44" s="375"/>
      <c r="F44" s="375"/>
      <c r="G44" s="763">
        <f>G22+G24+G25</f>
        <v>379.5</v>
      </c>
      <c r="H44" s="763"/>
      <c r="I44" s="763"/>
      <c r="J44" s="763"/>
      <c r="K44" s="763"/>
      <c r="L44" s="763"/>
      <c r="M44" s="763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250"/>
      <c r="AD44" s="250"/>
      <c r="AE44" s="250"/>
      <c r="AF44" s="250"/>
      <c r="AG44" s="375"/>
      <c r="AH44" s="375"/>
      <c r="AI44" s="375"/>
      <c r="AJ44" s="375"/>
      <c r="AK44" s="37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375"/>
      <c r="AW44" s="375"/>
      <c r="AX44" s="375"/>
      <c r="AY44" s="250"/>
      <c r="AZ44" s="250"/>
    </row>
    <row r="45" spans="1:62" x14ac:dyDescent="0.25">
      <c r="B45" s="353" t="s">
        <v>852</v>
      </c>
      <c r="C45" s="375"/>
      <c r="D45" s="375"/>
      <c r="E45" s="375"/>
      <c r="F45" s="375"/>
      <c r="G45" s="763">
        <f>G8</f>
        <v>80</v>
      </c>
      <c r="H45" s="763"/>
      <c r="I45" s="763"/>
      <c r="J45" s="763"/>
      <c r="K45" s="763"/>
      <c r="L45" s="763"/>
      <c r="M45" s="763"/>
      <c r="N45" s="375"/>
      <c r="O45" s="375"/>
      <c r="P45" s="375"/>
      <c r="Q45" s="375"/>
      <c r="R45" s="375"/>
      <c r="S45" s="375"/>
      <c r="T45" s="375"/>
      <c r="U45" s="375"/>
      <c r="V45" s="375"/>
      <c r="W45" s="375"/>
      <c r="X45" s="375"/>
      <c r="Y45" s="375"/>
      <c r="Z45" s="375"/>
      <c r="AA45" s="375"/>
      <c r="AB45" s="375"/>
      <c r="AC45" s="250"/>
      <c r="AD45" s="250"/>
      <c r="AE45" s="250"/>
      <c r="AF45" s="250"/>
      <c r="AG45" s="375"/>
      <c r="AH45" s="375"/>
      <c r="AI45" s="375"/>
      <c r="AJ45" s="375"/>
      <c r="AK45" s="375"/>
      <c r="AL45" s="375"/>
      <c r="AM45" s="375"/>
      <c r="AN45" s="375"/>
      <c r="AO45" s="375"/>
      <c r="AP45" s="375"/>
      <c r="AQ45" s="375"/>
      <c r="AR45" s="375"/>
      <c r="AS45" s="375"/>
      <c r="AT45" s="375"/>
      <c r="AU45" s="375"/>
      <c r="AV45" s="375"/>
      <c r="AW45" s="375"/>
      <c r="AX45" s="375"/>
      <c r="AY45" s="250"/>
      <c r="AZ45" s="250"/>
    </row>
    <row r="46" spans="1:62" x14ac:dyDescent="0.25">
      <c r="B46" s="353" t="s">
        <v>752</v>
      </c>
      <c r="C46" s="375"/>
      <c r="D46" s="375"/>
      <c r="E46" s="375"/>
      <c r="F46" s="375"/>
      <c r="G46" s="763">
        <v>8714.01</v>
      </c>
      <c r="H46" s="763"/>
      <c r="I46" s="763"/>
      <c r="J46" s="763"/>
      <c r="K46" s="763"/>
      <c r="L46" s="763"/>
      <c r="M46" s="763"/>
      <c r="N46" s="375"/>
      <c r="O46" s="375"/>
      <c r="P46" s="375"/>
      <c r="Q46" s="375"/>
      <c r="R46" s="375"/>
      <c r="S46" s="375"/>
      <c r="T46" s="375"/>
      <c r="U46" s="375"/>
      <c r="V46" s="375"/>
      <c r="W46" s="375"/>
      <c r="X46" s="375"/>
      <c r="Y46" s="375"/>
      <c r="Z46" s="375"/>
      <c r="AA46" s="375"/>
      <c r="AB46" s="375"/>
      <c r="AC46" s="250"/>
      <c r="AD46" s="250"/>
      <c r="AE46" s="250"/>
      <c r="AF46" s="250"/>
      <c r="AG46" s="375"/>
      <c r="AH46" s="375"/>
      <c r="AI46" s="375"/>
      <c r="AJ46" s="375"/>
      <c r="AK46" s="375"/>
      <c r="AL46" s="375"/>
      <c r="AM46" s="375"/>
      <c r="AN46" s="375"/>
      <c r="AO46" s="375"/>
      <c r="AP46" s="375"/>
      <c r="AQ46" s="375"/>
      <c r="AR46" s="375"/>
      <c r="AS46" s="375"/>
      <c r="AT46" s="375"/>
      <c r="AU46" s="375"/>
      <c r="AV46" s="375"/>
      <c r="AW46" s="375"/>
      <c r="AX46" s="375"/>
      <c r="AY46" s="250"/>
      <c r="AZ46" s="250"/>
    </row>
    <row r="47" spans="1:62" x14ac:dyDescent="0.25">
      <c r="A47" s="9"/>
      <c r="B47" s="9"/>
      <c r="C47" s="349"/>
      <c r="D47" s="349"/>
      <c r="E47" s="349"/>
      <c r="F47" s="349"/>
      <c r="G47" s="349"/>
      <c r="H47" s="349"/>
      <c r="I47" s="349"/>
      <c r="J47" s="349"/>
      <c r="K47" s="349"/>
      <c r="L47" s="349"/>
      <c r="M47" s="349"/>
      <c r="N47" s="349"/>
      <c r="O47" s="349"/>
      <c r="P47" s="349"/>
      <c r="Q47" s="349"/>
      <c r="R47" s="349"/>
      <c r="S47" s="349"/>
      <c r="T47" s="349"/>
      <c r="U47" s="349"/>
      <c r="V47" s="349"/>
      <c r="W47" s="349"/>
      <c r="X47" s="349"/>
      <c r="Y47" s="349"/>
      <c r="Z47" s="349"/>
      <c r="AA47" s="349"/>
      <c r="AB47" s="349"/>
      <c r="AC47" s="250"/>
      <c r="AD47" s="250"/>
      <c r="AE47" s="250"/>
      <c r="AF47" s="250"/>
      <c r="AG47" s="349"/>
      <c r="AH47" s="349"/>
      <c r="AI47" s="349"/>
      <c r="AJ47" s="349"/>
      <c r="AK47" s="349"/>
      <c r="AL47" s="349"/>
      <c r="AM47" s="349"/>
      <c r="AN47" s="349"/>
      <c r="AO47" s="349"/>
      <c r="AP47" s="349"/>
      <c r="AQ47" s="349"/>
      <c r="AR47" s="349"/>
      <c r="AS47" s="349"/>
      <c r="AT47" s="349"/>
      <c r="AU47" s="349"/>
      <c r="AV47" s="349"/>
      <c r="AW47" s="349"/>
      <c r="AX47" s="349"/>
      <c r="AY47" s="250"/>
      <c r="AZ47" s="250"/>
      <c r="BA47" s="9"/>
      <c r="BB47" s="9"/>
      <c r="BC47" s="9"/>
      <c r="BD47" s="9"/>
      <c r="BE47" s="9"/>
      <c r="BF47" s="9"/>
      <c r="BG47" s="9"/>
      <c r="BH47" s="9"/>
      <c r="BI47" s="77"/>
      <c r="BJ47" s="9"/>
    </row>
    <row r="48" spans="1:62" ht="18.75" x14ac:dyDescent="0.3">
      <c r="B48" s="74" t="s">
        <v>800</v>
      </c>
      <c r="C48" s="765"/>
      <c r="D48" s="765"/>
      <c r="E48" s="765"/>
      <c r="F48" s="765"/>
      <c r="G48" s="765"/>
      <c r="H48" s="765"/>
      <c r="I48" s="765"/>
      <c r="J48" s="765"/>
      <c r="K48" s="765"/>
      <c r="L48" s="765"/>
      <c r="M48" s="765"/>
      <c r="N48" s="765"/>
      <c r="O48" s="765"/>
      <c r="P48" s="765"/>
      <c r="Q48" s="765"/>
      <c r="R48" s="765"/>
      <c r="S48" s="765"/>
      <c r="T48" s="765"/>
      <c r="U48" s="765"/>
      <c r="V48" s="765"/>
      <c r="W48" s="765"/>
      <c r="X48" s="765"/>
      <c r="Y48" s="765"/>
      <c r="Z48" s="765"/>
      <c r="AA48" s="765"/>
      <c r="AB48" s="765"/>
      <c r="AC48" s="250"/>
      <c r="AD48" s="250"/>
      <c r="AE48" s="250"/>
      <c r="AF48" s="250"/>
      <c r="AG48" s="765"/>
      <c r="AH48" s="765"/>
      <c r="AI48" s="765"/>
      <c r="AJ48" s="766"/>
      <c r="AK48" s="766"/>
      <c r="AL48" s="375"/>
      <c r="AM48" s="375"/>
      <c r="AN48" s="375"/>
      <c r="AO48" s="375"/>
      <c r="AP48" s="375"/>
      <c r="AQ48" s="375"/>
      <c r="AR48" s="375"/>
      <c r="AS48" s="375"/>
      <c r="AT48" s="375"/>
      <c r="AU48" s="375"/>
      <c r="AV48" s="375"/>
      <c r="AW48" s="375"/>
      <c r="AX48" s="375"/>
      <c r="AY48" s="250"/>
      <c r="AZ48" s="250"/>
      <c r="BA48" s="9"/>
      <c r="BB48" s="9"/>
      <c r="BC48" s="9"/>
      <c r="BD48" s="9"/>
      <c r="BE48" s="9"/>
      <c r="BF48" s="9"/>
      <c r="BG48" s="9"/>
      <c r="BH48" s="9"/>
      <c r="BI48" s="77"/>
      <c r="BJ48" s="9"/>
    </row>
    <row r="49" spans="1:63" ht="14.25" customHeight="1" x14ac:dyDescent="0.25">
      <c r="A49" s="17"/>
      <c r="B49" s="1"/>
      <c r="C49" s="766"/>
      <c r="D49" s="766"/>
      <c r="E49" s="766"/>
      <c r="F49" s="766"/>
      <c r="G49" s="766"/>
      <c r="H49" s="766"/>
      <c r="I49" s="766"/>
      <c r="J49" s="766"/>
      <c r="K49" s="766"/>
      <c r="L49" s="766"/>
      <c r="M49" s="766"/>
      <c r="N49" s="766"/>
      <c r="O49" s="766"/>
      <c r="P49" s="766"/>
      <c r="Q49" s="766"/>
      <c r="R49" s="766"/>
      <c r="S49" s="766"/>
      <c r="T49" s="766"/>
      <c r="U49" s="766"/>
      <c r="V49" s="766"/>
      <c r="W49" s="766"/>
      <c r="X49" s="766"/>
      <c r="Y49" s="766"/>
      <c r="Z49" s="766"/>
      <c r="AA49" s="766"/>
      <c r="AB49" s="766"/>
      <c r="AC49" s="250"/>
      <c r="AD49" s="250"/>
      <c r="AE49" s="250"/>
      <c r="AF49" s="250"/>
      <c r="AG49" s="766"/>
      <c r="AH49" s="766"/>
      <c r="AI49" s="1574"/>
      <c r="AJ49" s="1574"/>
      <c r="AK49" s="1574"/>
      <c r="AL49" s="1574"/>
      <c r="AM49" s="1574"/>
      <c r="AN49" s="1574"/>
      <c r="AO49" s="1574"/>
      <c r="AP49" s="1574"/>
      <c r="AQ49" s="1574"/>
      <c r="AR49" s="1574"/>
      <c r="AS49" s="1574"/>
      <c r="AT49" s="1574"/>
      <c r="AU49" s="1574"/>
      <c r="AV49" s="1574"/>
      <c r="AW49" s="1574"/>
      <c r="AX49" s="1574"/>
      <c r="AY49" s="1574"/>
      <c r="AZ49" s="1574"/>
      <c r="BA49" s="1574"/>
      <c r="BB49" s="1574"/>
      <c r="BC49" s="1574"/>
      <c r="BD49" s="1574"/>
      <c r="BE49" s="1574"/>
      <c r="BF49" s="1574"/>
      <c r="BG49" s="1574"/>
      <c r="BH49" s="1574"/>
      <c r="BI49" s="1574"/>
      <c r="BJ49" s="1574"/>
      <c r="BK49" s="1574"/>
    </row>
    <row r="50" spans="1:63" ht="18" customHeight="1" x14ac:dyDescent="0.25">
      <c r="A50" s="17"/>
      <c r="B50" s="1"/>
      <c r="C50" s="766"/>
      <c r="D50" s="766"/>
      <c r="E50" s="766"/>
      <c r="F50" s="766"/>
      <c r="G50" s="766"/>
      <c r="H50" s="766"/>
      <c r="I50" s="766"/>
      <c r="J50" s="766"/>
      <c r="K50" s="766"/>
      <c r="L50" s="766"/>
      <c r="M50" s="766"/>
      <c r="N50" s="766"/>
      <c r="O50" s="1574"/>
      <c r="P50" s="1574"/>
      <c r="Q50" s="1574"/>
      <c r="R50" s="1574"/>
      <c r="S50" s="1574"/>
      <c r="T50" s="1574"/>
      <c r="U50" s="1574"/>
      <c r="V50" s="1574"/>
      <c r="W50" s="1574"/>
      <c r="X50" s="1574"/>
      <c r="Y50" s="1574"/>
      <c r="Z50" s="1574"/>
      <c r="AA50" s="1574"/>
      <c r="AB50" s="1574"/>
      <c r="AC50" s="167"/>
      <c r="AD50" s="167"/>
      <c r="AE50" s="167"/>
      <c r="AF50" s="167"/>
      <c r="AG50" s="1574"/>
      <c r="AH50" s="1574"/>
      <c r="AI50" s="1574"/>
      <c r="AJ50" s="1574"/>
      <c r="AK50" s="1574"/>
      <c r="AL50" s="1574"/>
      <c r="AM50" s="1574"/>
      <c r="AN50" s="1574"/>
      <c r="AO50" s="1574"/>
      <c r="AP50" s="1574"/>
      <c r="AQ50" s="1574"/>
      <c r="AR50" s="1574"/>
      <c r="AS50" s="1574"/>
      <c r="AT50" s="1574"/>
      <c r="AU50" s="1574"/>
      <c r="AV50" s="1574"/>
      <c r="AW50" s="1574"/>
      <c r="AX50" s="1574"/>
      <c r="AY50" s="1574"/>
      <c r="AZ50" s="1574"/>
      <c r="BA50" s="1574"/>
      <c r="BB50" s="1574"/>
      <c r="BC50" s="1574"/>
      <c r="BD50" s="1574"/>
      <c r="BE50" s="1574"/>
      <c r="BF50" s="1574"/>
      <c r="BG50" s="1574"/>
      <c r="BH50" s="1574"/>
      <c r="BI50" s="1574"/>
      <c r="BJ50" s="1574"/>
      <c r="BK50" s="1574"/>
    </row>
    <row r="51" spans="1:63" ht="36" customHeight="1" x14ac:dyDescent="0.25">
      <c r="A51" s="2020" t="s">
        <v>0</v>
      </c>
      <c r="B51" s="2020" t="s">
        <v>184</v>
      </c>
      <c r="C51" s="2228" t="s">
        <v>54</v>
      </c>
      <c r="D51" s="2228" t="s">
        <v>55</v>
      </c>
      <c r="E51" s="2228" t="s">
        <v>56</v>
      </c>
      <c r="F51" s="2228" t="s">
        <v>57</v>
      </c>
      <c r="G51" s="2232" t="s">
        <v>6</v>
      </c>
      <c r="H51" s="1813"/>
      <c r="I51" s="1813"/>
      <c r="J51" s="2218" t="s">
        <v>881</v>
      </c>
      <c r="K51" s="2219"/>
      <c r="L51" s="1989" t="s">
        <v>284</v>
      </c>
      <c r="M51" s="1990"/>
      <c r="N51" s="2097" t="s">
        <v>873</v>
      </c>
      <c r="O51" s="2060"/>
      <c r="P51" s="2138" t="s">
        <v>747</v>
      </c>
      <c r="Q51" s="2245" t="s">
        <v>314</v>
      </c>
      <c r="R51" s="2245" t="s">
        <v>372</v>
      </c>
      <c r="S51" s="2245" t="s">
        <v>913</v>
      </c>
      <c r="T51" s="2138" t="s">
        <v>640</v>
      </c>
      <c r="U51" s="2138" t="s">
        <v>423</v>
      </c>
      <c r="V51" s="2138" t="s">
        <v>914</v>
      </c>
      <c r="W51" s="2138" t="s">
        <v>895</v>
      </c>
      <c r="X51" s="2138" t="s">
        <v>893</v>
      </c>
      <c r="Y51" s="2138" t="s">
        <v>915</v>
      </c>
      <c r="Z51" s="2142" t="s">
        <v>916</v>
      </c>
      <c r="AA51" s="2245" t="s">
        <v>917</v>
      </c>
      <c r="AB51" s="2245" t="s">
        <v>918</v>
      </c>
      <c r="AC51" s="2245" t="s">
        <v>919</v>
      </c>
      <c r="AD51" s="2142" t="s">
        <v>735</v>
      </c>
      <c r="AE51" s="2154" t="s">
        <v>724</v>
      </c>
      <c r="AF51" s="2149" t="s">
        <v>846</v>
      </c>
      <c r="AG51" s="2151" t="s">
        <v>855</v>
      </c>
      <c r="AH51" s="1999"/>
      <c r="AI51" s="1574"/>
      <c r="AJ51" s="1574"/>
      <c r="AK51" s="1574"/>
      <c r="AL51" s="1574"/>
      <c r="AM51" s="1574"/>
      <c r="AN51" s="1574"/>
      <c r="AO51" s="1574"/>
      <c r="AP51" s="1574"/>
      <c r="AQ51" s="1574"/>
      <c r="AR51" s="1574"/>
      <c r="AS51" s="1574"/>
      <c r="AT51" s="1574"/>
      <c r="AU51" s="1574"/>
      <c r="AV51" s="1574"/>
      <c r="AW51" s="1574"/>
      <c r="AX51" s="1574"/>
      <c r="AY51" s="1574"/>
      <c r="AZ51" s="1574"/>
      <c r="BA51" s="1574"/>
      <c r="BB51" s="1574"/>
      <c r="BC51" s="1574"/>
      <c r="BD51" s="1574"/>
      <c r="BE51" s="1574"/>
      <c r="BF51" s="1574"/>
      <c r="BG51" s="1574"/>
      <c r="BH51" s="1574"/>
      <c r="BI51" s="1574"/>
      <c r="BJ51" s="1574"/>
      <c r="BK51" s="1574"/>
    </row>
    <row r="52" spans="1:63" ht="67.5" customHeight="1" x14ac:dyDescent="0.25">
      <c r="A52" s="2021"/>
      <c r="B52" s="2021"/>
      <c r="C52" s="2229"/>
      <c r="D52" s="2229"/>
      <c r="E52" s="2229"/>
      <c r="F52" s="2229"/>
      <c r="G52" s="2233"/>
      <c r="H52" s="1814"/>
      <c r="I52" s="1814"/>
      <c r="J52" s="150" t="s">
        <v>15</v>
      </c>
      <c r="K52" s="1886" t="s">
        <v>16</v>
      </c>
      <c r="L52" s="150" t="s">
        <v>15</v>
      </c>
      <c r="M52" s="1886" t="s">
        <v>16</v>
      </c>
      <c r="N52" s="150" t="s">
        <v>15</v>
      </c>
      <c r="O52" s="1886" t="s">
        <v>16</v>
      </c>
      <c r="P52" s="2139"/>
      <c r="Q52" s="2246"/>
      <c r="R52" s="2246"/>
      <c r="S52" s="2246"/>
      <c r="T52" s="2139"/>
      <c r="U52" s="2139"/>
      <c r="V52" s="2139"/>
      <c r="W52" s="2139"/>
      <c r="X52" s="2139"/>
      <c r="Y52" s="2139"/>
      <c r="Z52" s="2143"/>
      <c r="AA52" s="2246"/>
      <c r="AB52" s="2246"/>
      <c r="AC52" s="2246"/>
      <c r="AD52" s="2143"/>
      <c r="AE52" s="2155"/>
      <c r="AF52" s="2150"/>
      <c r="AG52" s="2152"/>
      <c r="AH52" s="2000"/>
      <c r="AI52" s="1574"/>
      <c r="AJ52" s="1574"/>
      <c r="AK52" s="1574"/>
      <c r="AL52" s="1574"/>
      <c r="AM52" s="1574"/>
      <c r="AN52" s="1574"/>
      <c r="AO52" s="1574"/>
      <c r="AP52" s="1574"/>
      <c r="AQ52" s="1574"/>
      <c r="AR52" s="1574"/>
      <c r="AS52" s="1574"/>
      <c r="AT52" s="1574"/>
      <c r="AU52" s="1574"/>
      <c r="AV52" s="1574"/>
      <c r="AW52" s="1574"/>
      <c r="AX52" s="1574"/>
      <c r="AY52" s="1574"/>
      <c r="AZ52" s="1574"/>
      <c r="BA52" s="1574"/>
      <c r="BB52" s="1574"/>
      <c r="BC52" s="1574"/>
      <c r="BD52" s="1574"/>
      <c r="BE52" s="1574"/>
      <c r="BF52" s="1574"/>
      <c r="BG52" s="1574"/>
      <c r="BH52" s="1574"/>
      <c r="BI52" s="1574"/>
      <c r="BJ52" s="1574"/>
      <c r="BK52" s="1574"/>
    </row>
    <row r="53" spans="1:63" s="124" customFormat="1" ht="15.75" customHeight="1" x14ac:dyDescent="0.25">
      <c r="A53" s="19">
        <v>1</v>
      </c>
      <c r="B53" s="564" t="s">
        <v>100</v>
      </c>
      <c r="C53" s="675">
        <v>1980</v>
      </c>
      <c r="D53" s="675">
        <v>3</v>
      </c>
      <c r="E53" s="675">
        <v>24</v>
      </c>
      <c r="F53" s="769">
        <v>59</v>
      </c>
      <c r="G53" s="770">
        <v>1440.6</v>
      </c>
      <c r="H53" s="1732"/>
      <c r="I53" s="1732"/>
      <c r="J53" s="676"/>
      <c r="K53" s="676"/>
      <c r="L53" s="524">
        <v>103825.8</v>
      </c>
      <c r="M53" s="1441">
        <v>102324.2</v>
      </c>
      <c r="N53" s="524">
        <f>J53+L53</f>
        <v>103825.8</v>
      </c>
      <c r="O53" s="1441">
        <f>K53+M53</f>
        <v>102324.2</v>
      </c>
      <c r="P53" s="1816">
        <f>Q53+R53+S53+T53+U53+V53+W53+X53+Y53+Z53+AA53+AB53+AC53</f>
        <v>16711.05</v>
      </c>
      <c r="Q53" s="1816">
        <v>12126.31</v>
      </c>
      <c r="R53" s="1816"/>
      <c r="S53" s="1816"/>
      <c r="T53" s="1816"/>
      <c r="U53" s="1816"/>
      <c r="V53" s="1816"/>
      <c r="W53" s="1816"/>
      <c r="X53" s="1816"/>
      <c r="Y53" s="1816"/>
      <c r="Z53" s="1816"/>
      <c r="AA53" s="1816">
        <v>3128.2</v>
      </c>
      <c r="AB53" s="1816"/>
      <c r="AC53" s="1816">
        <v>1456.54</v>
      </c>
      <c r="AD53" s="1816">
        <f>N53-P53</f>
        <v>87114.75</v>
      </c>
      <c r="AE53" s="1816">
        <f>O53/N53*100</f>
        <v>98.553731346158656</v>
      </c>
      <c r="AF53" s="1816">
        <f>N53-O53</f>
        <v>1501.6000000000058</v>
      </c>
      <c r="AG53" s="1816">
        <v>6</v>
      </c>
      <c r="AH53" s="1816"/>
      <c r="AI53" s="1574"/>
      <c r="AJ53" s="1574"/>
      <c r="AK53" s="1574"/>
      <c r="AL53" s="1574"/>
      <c r="AM53" s="1574"/>
      <c r="AN53" s="1574"/>
      <c r="AO53" s="1574"/>
      <c r="AP53" s="1574"/>
      <c r="AQ53" s="1574"/>
      <c r="AR53" s="1574"/>
      <c r="AS53" s="1574"/>
      <c r="AT53" s="1574"/>
      <c r="AU53" s="1574"/>
      <c r="AV53" s="1574"/>
      <c r="AW53" s="1574"/>
      <c r="AX53" s="1574"/>
      <c r="AY53" s="1574"/>
      <c r="AZ53" s="1574"/>
      <c r="BA53" s="1574"/>
      <c r="BB53" s="1574"/>
      <c r="BC53" s="1574"/>
      <c r="BD53" s="1574"/>
      <c r="BE53" s="1574"/>
      <c r="BF53" s="1574"/>
      <c r="BG53" s="1574"/>
      <c r="BH53" s="1574"/>
      <c r="BI53" s="1574"/>
      <c r="BJ53" s="1574"/>
      <c r="BK53" s="1574"/>
    </row>
    <row r="54" spans="1:63" s="124" customFormat="1" ht="15.75" customHeight="1" x14ac:dyDescent="0.25">
      <c r="A54" s="19">
        <v>2</v>
      </c>
      <c r="B54" s="564" t="s">
        <v>101</v>
      </c>
      <c r="C54" s="775">
        <v>1978</v>
      </c>
      <c r="D54" s="775">
        <v>3</v>
      </c>
      <c r="E54" s="775">
        <v>24</v>
      </c>
      <c r="F54" s="672">
        <v>71</v>
      </c>
      <c r="G54" s="676">
        <v>1449.9</v>
      </c>
      <c r="H54" s="1732"/>
      <c r="I54" s="1732"/>
      <c r="J54" s="676">
        <v>6012.11</v>
      </c>
      <c r="K54" s="676">
        <v>6012.11</v>
      </c>
      <c r="L54" s="591">
        <f>98380.69</f>
        <v>98380.69</v>
      </c>
      <c r="M54" s="1441">
        <v>83284.210000000006</v>
      </c>
      <c r="N54" s="524">
        <f t="shared" ref="N54:N65" si="41">J54+L54</f>
        <v>104392.8</v>
      </c>
      <c r="O54" s="1441">
        <f t="shared" ref="O54:O65" si="42">K54+M54</f>
        <v>89296.320000000007</v>
      </c>
      <c r="P54" s="1816">
        <f t="shared" ref="P54:P65" si="43">Q54+R54+S54+T54+U54+V54+W54+X54+Y54+Z54+AA54+AB54+AC54</f>
        <v>20114.560000000001</v>
      </c>
      <c r="Q54" s="1816">
        <v>16535.88</v>
      </c>
      <c r="R54" s="1816"/>
      <c r="S54" s="1816"/>
      <c r="T54" s="1816"/>
      <c r="U54" s="1816"/>
      <c r="V54" s="1816">
        <v>3578.68</v>
      </c>
      <c r="W54" s="1816"/>
      <c r="X54" s="1816"/>
      <c r="Y54" s="1816"/>
      <c r="Z54" s="1816"/>
      <c r="AA54" s="1816"/>
      <c r="AB54" s="1816"/>
      <c r="AC54" s="1816"/>
      <c r="AD54" s="1816">
        <f t="shared" ref="AD54:AD65" si="44">N54-P54</f>
        <v>84278.24</v>
      </c>
      <c r="AE54" s="1816">
        <f t="shared" ref="AE54:AE66" si="45">O54/N54*100</f>
        <v>85.538772788927972</v>
      </c>
      <c r="AF54" s="1816">
        <f t="shared" ref="AF54:AF65" si="46">N54-O54</f>
        <v>15096.479999999996</v>
      </c>
      <c r="AG54" s="1816">
        <v>6</v>
      </c>
      <c r="AH54" s="1816"/>
      <c r="AI54" s="1574"/>
      <c r="AJ54" s="1574"/>
      <c r="AK54" s="1574"/>
      <c r="AL54" s="1574"/>
      <c r="AM54" s="1574"/>
      <c r="AN54" s="1574"/>
      <c r="AO54" s="1574"/>
      <c r="AP54" s="1574"/>
      <c r="AQ54" s="1574"/>
      <c r="AR54" s="1574"/>
      <c r="AS54" s="1574"/>
      <c r="AT54" s="1574"/>
      <c r="AU54" s="1574"/>
      <c r="AV54" s="1574"/>
      <c r="AW54" s="1574"/>
      <c r="AX54" s="1574"/>
      <c r="AY54" s="1574"/>
      <c r="AZ54" s="1574"/>
      <c r="BA54" s="1574"/>
      <c r="BB54" s="1574"/>
      <c r="BC54" s="1574"/>
      <c r="BD54" s="1574"/>
      <c r="BE54" s="1574"/>
      <c r="BF54" s="1574"/>
      <c r="BG54" s="1574"/>
      <c r="BH54" s="1574"/>
      <c r="BI54" s="1574"/>
      <c r="BJ54" s="1574"/>
      <c r="BK54" s="1574"/>
    </row>
    <row r="55" spans="1:63" s="124" customFormat="1" ht="15.75" customHeight="1" x14ac:dyDescent="0.25">
      <c r="A55" s="19">
        <v>3</v>
      </c>
      <c r="B55" s="564" t="s">
        <v>102</v>
      </c>
      <c r="C55" s="775">
        <v>1979</v>
      </c>
      <c r="D55" s="775">
        <v>3</v>
      </c>
      <c r="E55" s="775">
        <v>24</v>
      </c>
      <c r="F55" s="672">
        <v>79</v>
      </c>
      <c r="G55" s="676">
        <v>1460.41</v>
      </c>
      <c r="H55" s="1732"/>
      <c r="I55" s="1732"/>
      <c r="J55" s="676">
        <v>1065.9000000000001</v>
      </c>
      <c r="K55" s="676">
        <v>1065.9000000000001</v>
      </c>
      <c r="L55" s="591">
        <f>104076.42</f>
        <v>104076.42</v>
      </c>
      <c r="M55" s="1441">
        <v>106841.24</v>
      </c>
      <c r="N55" s="524">
        <f t="shared" si="41"/>
        <v>105142.31999999999</v>
      </c>
      <c r="O55" s="1441">
        <f t="shared" si="42"/>
        <v>107907.14</v>
      </c>
      <c r="P55" s="1816">
        <f t="shared" si="43"/>
        <v>16853.47</v>
      </c>
      <c r="Q55" s="1816">
        <v>16853.47</v>
      </c>
      <c r="R55" s="1816"/>
      <c r="S55" s="1816"/>
      <c r="T55" s="1816"/>
      <c r="U55" s="1816"/>
      <c r="V55" s="1816"/>
      <c r="W55" s="1816"/>
      <c r="X55" s="1816"/>
      <c r="Y55" s="1816"/>
      <c r="Z55" s="1816"/>
      <c r="AA55" s="1816"/>
      <c r="AB55" s="1816"/>
      <c r="AC55" s="1816"/>
      <c r="AD55" s="1816">
        <f t="shared" si="44"/>
        <v>88288.849999999991</v>
      </c>
      <c r="AE55" s="1816">
        <f t="shared" si="45"/>
        <v>102.62959767294464</v>
      </c>
      <c r="AF55" s="1816">
        <f t="shared" si="46"/>
        <v>-2764.820000000007</v>
      </c>
      <c r="AG55" s="1816">
        <v>6</v>
      </c>
      <c r="AH55" s="1816"/>
      <c r="AI55" s="1574"/>
      <c r="AJ55" s="1574"/>
      <c r="AK55" s="1574"/>
      <c r="AL55" s="1574"/>
      <c r="AM55" s="1574"/>
      <c r="AN55" s="1574"/>
      <c r="AO55" s="1574"/>
      <c r="AP55" s="1574"/>
      <c r="AQ55" s="1574"/>
      <c r="AR55" s="1574"/>
      <c r="AS55" s="1574"/>
      <c r="AT55" s="1574"/>
      <c r="AU55" s="1574"/>
      <c r="AV55" s="1574"/>
      <c r="AW55" s="1574"/>
      <c r="AX55" s="1574"/>
      <c r="AY55" s="1574"/>
      <c r="AZ55" s="1574"/>
      <c r="BA55" s="1574"/>
      <c r="BB55" s="1574"/>
      <c r="BC55" s="1574"/>
      <c r="BD55" s="1574"/>
      <c r="BE55" s="1574"/>
      <c r="BF55" s="1574"/>
      <c r="BG55" s="1574"/>
      <c r="BH55" s="1574"/>
      <c r="BI55" s="1574"/>
      <c r="BJ55" s="1574"/>
      <c r="BK55" s="1574"/>
    </row>
    <row r="56" spans="1:63" s="124" customFormat="1" ht="15.75" customHeight="1" x14ac:dyDescent="0.25">
      <c r="A56" s="19">
        <v>4</v>
      </c>
      <c r="B56" s="564" t="s">
        <v>103</v>
      </c>
      <c r="C56" s="775">
        <v>1986</v>
      </c>
      <c r="D56" s="775">
        <v>3</v>
      </c>
      <c r="E56" s="775">
        <v>24</v>
      </c>
      <c r="F56" s="672">
        <v>63</v>
      </c>
      <c r="G56" s="676">
        <v>1454.3</v>
      </c>
      <c r="H56" s="1732"/>
      <c r="I56" s="1732"/>
      <c r="J56" s="676">
        <v>2423.89</v>
      </c>
      <c r="K56" s="676">
        <v>2423.89</v>
      </c>
      <c r="L56" s="591">
        <f>102285.71</f>
        <v>102285.71</v>
      </c>
      <c r="M56" s="1441">
        <v>96978.98</v>
      </c>
      <c r="N56" s="524">
        <f t="shared" si="41"/>
        <v>104709.6</v>
      </c>
      <c r="O56" s="1441">
        <f t="shared" si="42"/>
        <v>99402.87</v>
      </c>
      <c r="P56" s="1816">
        <f t="shared" si="43"/>
        <v>87723.51</v>
      </c>
      <c r="Q56" s="1816">
        <v>10748.32</v>
      </c>
      <c r="R56" s="1816">
        <v>64898.33</v>
      </c>
      <c r="S56" s="1816"/>
      <c r="T56" s="1816"/>
      <c r="U56" s="1816"/>
      <c r="V56" s="1816"/>
      <c r="W56" s="1816">
        <v>3583.45</v>
      </c>
      <c r="X56" s="1816">
        <v>2094.1</v>
      </c>
      <c r="Y56" s="1816"/>
      <c r="Z56" s="1816"/>
      <c r="AA56" s="1816"/>
      <c r="AB56" s="1816"/>
      <c r="AC56" s="1816">
        <v>6399.31</v>
      </c>
      <c r="AD56" s="1816">
        <f t="shared" si="44"/>
        <v>16986.090000000011</v>
      </c>
      <c r="AE56" s="1816">
        <f t="shared" si="45"/>
        <v>94.931954663182736</v>
      </c>
      <c r="AF56" s="1816">
        <f t="shared" si="46"/>
        <v>5306.7300000000105</v>
      </c>
      <c r="AG56" s="1816">
        <v>6</v>
      </c>
      <c r="AH56" s="1816"/>
      <c r="AI56" s="1574"/>
      <c r="AJ56" s="1574"/>
      <c r="AK56" s="1574"/>
      <c r="AL56" s="1574"/>
      <c r="AM56" s="1574"/>
      <c r="AN56" s="1574"/>
      <c r="AO56" s="1574"/>
      <c r="AP56" s="1574"/>
      <c r="AQ56" s="1574"/>
      <c r="AR56" s="1574"/>
      <c r="AS56" s="1574"/>
      <c r="AT56" s="1574"/>
      <c r="AU56" s="1574"/>
      <c r="AV56" s="1574"/>
      <c r="AW56" s="1574"/>
      <c r="AX56" s="1574"/>
      <c r="AY56" s="1574"/>
      <c r="AZ56" s="1574"/>
      <c r="BA56" s="1574"/>
      <c r="BB56" s="1574"/>
      <c r="BC56" s="1574"/>
      <c r="BD56" s="1574"/>
      <c r="BE56" s="1574"/>
      <c r="BF56" s="1574"/>
      <c r="BG56" s="1574"/>
      <c r="BH56" s="1574"/>
      <c r="BI56" s="1574"/>
      <c r="BJ56" s="1574"/>
      <c r="BK56" s="1574"/>
    </row>
    <row r="57" spans="1:63" s="124" customFormat="1" ht="15.75" customHeight="1" x14ac:dyDescent="0.25">
      <c r="A57" s="19">
        <v>5</v>
      </c>
      <c r="B57" s="564" t="s">
        <v>104</v>
      </c>
      <c r="C57" s="775">
        <v>1985</v>
      </c>
      <c r="D57" s="775">
        <v>3</v>
      </c>
      <c r="E57" s="775">
        <v>24</v>
      </c>
      <c r="F57" s="672">
        <v>88</v>
      </c>
      <c r="G57" s="676">
        <v>1464.7</v>
      </c>
      <c r="H57" s="1732"/>
      <c r="I57" s="1732"/>
      <c r="J57" s="676">
        <v>4150.74</v>
      </c>
      <c r="K57" s="676">
        <v>4150.74</v>
      </c>
      <c r="L57" s="591">
        <f>101278.86</f>
        <v>101278.86</v>
      </c>
      <c r="M57" s="1441">
        <v>103729.53</v>
      </c>
      <c r="N57" s="524">
        <f t="shared" si="41"/>
        <v>105429.6</v>
      </c>
      <c r="O57" s="1441">
        <f t="shared" si="42"/>
        <v>107880.27</v>
      </c>
      <c r="P57" s="1816">
        <f t="shared" si="43"/>
        <v>22556.97</v>
      </c>
      <c r="Q57" s="1816">
        <v>18189.47</v>
      </c>
      <c r="R57" s="1816"/>
      <c r="S57" s="1816"/>
      <c r="T57" s="1816"/>
      <c r="U57" s="1816"/>
      <c r="V57" s="1816"/>
      <c r="W57" s="1816">
        <v>3583.46</v>
      </c>
      <c r="X57" s="1816">
        <v>784.04</v>
      </c>
      <c r="Y57" s="1816"/>
      <c r="Z57" s="1816"/>
      <c r="AA57" s="1816"/>
      <c r="AB57" s="1816"/>
      <c r="AC57" s="1816"/>
      <c r="AD57" s="1816">
        <f t="shared" si="44"/>
        <v>82872.63</v>
      </c>
      <c r="AE57" s="1816">
        <f t="shared" si="45"/>
        <v>102.32446106216851</v>
      </c>
      <c r="AF57" s="1816">
        <f t="shared" si="46"/>
        <v>-2450.6699999999983</v>
      </c>
      <c r="AG57" s="1816">
        <v>6</v>
      </c>
      <c r="AH57" s="1816"/>
      <c r="AI57" s="1574"/>
      <c r="AJ57" s="1574"/>
      <c r="AK57" s="1574"/>
      <c r="AL57" s="1574"/>
      <c r="AM57" s="1574"/>
      <c r="AN57" s="1574"/>
      <c r="AO57" s="1574"/>
      <c r="AP57" s="1574"/>
      <c r="AQ57" s="1574"/>
      <c r="AR57" s="1574"/>
      <c r="AS57" s="1574"/>
      <c r="AT57" s="1574"/>
      <c r="AU57" s="1574"/>
      <c r="AV57" s="1574"/>
      <c r="AW57" s="1574"/>
      <c r="AX57" s="1574"/>
      <c r="AY57" s="1574"/>
      <c r="AZ57" s="1574"/>
      <c r="BA57" s="1574"/>
      <c r="BB57" s="1574"/>
      <c r="BC57" s="1574"/>
      <c r="BD57" s="1574"/>
      <c r="BE57" s="1574"/>
      <c r="BF57" s="1574"/>
      <c r="BG57" s="1574"/>
      <c r="BH57" s="1574"/>
      <c r="BI57" s="1574"/>
      <c r="BJ57" s="1574"/>
      <c r="BK57" s="1574"/>
    </row>
    <row r="58" spans="1:63" s="124" customFormat="1" ht="15.75" customHeight="1" x14ac:dyDescent="0.25">
      <c r="A58" s="19">
        <v>6</v>
      </c>
      <c r="B58" s="564" t="s">
        <v>105</v>
      </c>
      <c r="C58" s="775">
        <v>12976</v>
      </c>
      <c r="D58" s="775">
        <v>23</v>
      </c>
      <c r="E58" s="775">
        <v>18</v>
      </c>
      <c r="F58" s="672">
        <v>35</v>
      </c>
      <c r="G58" s="676">
        <v>766.9</v>
      </c>
      <c r="H58" s="1732"/>
      <c r="I58" s="1732"/>
      <c r="J58" s="676">
        <v>1884.93</v>
      </c>
      <c r="K58" s="676">
        <v>1884.93</v>
      </c>
      <c r="L58" s="591">
        <f>53331.87</f>
        <v>53331.87</v>
      </c>
      <c r="M58" s="1441">
        <v>53962.54</v>
      </c>
      <c r="N58" s="524">
        <f t="shared" si="41"/>
        <v>55216.800000000003</v>
      </c>
      <c r="O58" s="1441">
        <f t="shared" si="42"/>
        <v>55847.47</v>
      </c>
      <c r="P58" s="1816">
        <f t="shared" si="43"/>
        <v>114787.29</v>
      </c>
      <c r="Q58" s="1816"/>
      <c r="R58" s="1816"/>
      <c r="S58" s="1816"/>
      <c r="T58" s="1816"/>
      <c r="U58" s="1816">
        <v>109216.75</v>
      </c>
      <c r="V58" s="1816"/>
      <c r="W58" s="1816"/>
      <c r="X58" s="1816"/>
      <c r="Y58" s="1816">
        <v>630.79</v>
      </c>
      <c r="Z58" s="1816">
        <v>4939.75</v>
      </c>
      <c r="AA58" s="1816"/>
      <c r="AB58" s="1816"/>
      <c r="AC58" s="1816"/>
      <c r="AD58" s="1816">
        <f t="shared" si="44"/>
        <v>-59570.489999999991</v>
      </c>
      <c r="AE58" s="1816">
        <f t="shared" si="45"/>
        <v>101.14217049883369</v>
      </c>
      <c r="AF58" s="1816">
        <f t="shared" si="46"/>
        <v>-630.66999999999825</v>
      </c>
      <c r="AG58" s="1816">
        <v>6</v>
      </c>
      <c r="AH58" s="1816"/>
      <c r="AI58" s="1574"/>
      <c r="AJ58" s="1574"/>
      <c r="AK58" s="1574"/>
      <c r="AL58" s="1574"/>
      <c r="AM58" s="1574"/>
      <c r="AN58" s="1574"/>
      <c r="AO58" s="1574"/>
      <c r="AP58" s="1574"/>
      <c r="AQ58" s="1574"/>
      <c r="AR58" s="1574"/>
      <c r="AS58" s="1574"/>
      <c r="AT58" s="1574"/>
      <c r="AU58" s="1574"/>
      <c r="AV58" s="1574"/>
      <c r="AW58" s="1574"/>
      <c r="AX58" s="1574"/>
      <c r="AY58" s="1574"/>
      <c r="AZ58" s="1574"/>
      <c r="BA58" s="1574"/>
      <c r="BB58" s="1574"/>
      <c r="BC58" s="1574"/>
      <c r="BD58" s="1574"/>
      <c r="BE58" s="1574"/>
      <c r="BF58" s="1574"/>
      <c r="BG58" s="1574"/>
      <c r="BH58" s="1574"/>
      <c r="BI58" s="1574"/>
      <c r="BJ58" s="1574"/>
      <c r="BK58" s="1574"/>
    </row>
    <row r="59" spans="1:63" s="124" customFormat="1" ht="15.75" customHeight="1" x14ac:dyDescent="0.25">
      <c r="A59" s="19">
        <v>7</v>
      </c>
      <c r="B59" s="564" t="s">
        <v>106</v>
      </c>
      <c r="C59" s="775">
        <v>1975</v>
      </c>
      <c r="D59" s="775">
        <v>2</v>
      </c>
      <c r="E59" s="775">
        <v>18</v>
      </c>
      <c r="F59" s="672">
        <v>49</v>
      </c>
      <c r="G59" s="676">
        <v>778.78</v>
      </c>
      <c r="H59" s="1732"/>
      <c r="I59" s="1732"/>
      <c r="J59" s="676">
        <v>1672</v>
      </c>
      <c r="K59" s="676">
        <v>1672</v>
      </c>
      <c r="L59" s="591">
        <f>53795.36</f>
        <v>53795.360000000001</v>
      </c>
      <c r="M59" s="1441">
        <v>54791.53</v>
      </c>
      <c r="N59" s="524">
        <f t="shared" si="41"/>
        <v>55467.360000000001</v>
      </c>
      <c r="O59" s="1441">
        <f t="shared" si="42"/>
        <v>56463.53</v>
      </c>
      <c r="P59" s="1816">
        <f t="shared" si="43"/>
        <v>87894.62</v>
      </c>
      <c r="Q59" s="1816"/>
      <c r="R59" s="1816"/>
      <c r="S59" s="1816">
        <v>86884</v>
      </c>
      <c r="T59" s="1816"/>
      <c r="U59" s="1816"/>
      <c r="V59" s="1816"/>
      <c r="W59" s="1816"/>
      <c r="X59" s="1816"/>
      <c r="Y59" s="1816"/>
      <c r="Z59" s="1816">
        <v>1010.62</v>
      </c>
      <c r="AA59" s="1816"/>
      <c r="AB59" s="1816"/>
      <c r="AC59" s="1816"/>
      <c r="AD59" s="1816">
        <f t="shared" si="44"/>
        <v>-32427.259999999995</v>
      </c>
      <c r="AE59" s="1816">
        <f t="shared" si="45"/>
        <v>101.7959571178437</v>
      </c>
      <c r="AF59" s="1816">
        <f t="shared" si="46"/>
        <v>-996.16999999999825</v>
      </c>
      <c r="AG59" s="1816">
        <v>6</v>
      </c>
      <c r="AH59" s="1816"/>
      <c r="AI59" s="1574"/>
      <c r="AJ59" s="1574"/>
      <c r="AK59" s="1574"/>
      <c r="AL59" s="1574"/>
      <c r="AM59" s="1574"/>
      <c r="AN59" s="1574"/>
      <c r="AO59" s="1574"/>
      <c r="AP59" s="1574"/>
      <c r="AQ59" s="1574"/>
      <c r="AR59" s="1574"/>
      <c r="AS59" s="1574"/>
      <c r="AT59" s="1574"/>
      <c r="AU59" s="1574"/>
      <c r="AV59" s="1574"/>
      <c r="AW59" s="1574"/>
      <c r="AX59" s="1574"/>
      <c r="AY59" s="1574"/>
      <c r="AZ59" s="1574"/>
      <c r="BA59" s="1574"/>
      <c r="BB59" s="1574"/>
      <c r="BC59" s="1574"/>
      <c r="BD59" s="1574"/>
      <c r="BE59" s="1574"/>
      <c r="BF59" s="1574"/>
      <c r="BG59" s="1574"/>
      <c r="BH59" s="1574"/>
      <c r="BI59" s="1574"/>
      <c r="BJ59" s="1574"/>
      <c r="BK59" s="1574"/>
    </row>
    <row r="60" spans="1:63" s="124" customFormat="1" ht="15.75" customHeight="1" x14ac:dyDescent="0.25">
      <c r="A60" s="21">
        <v>8</v>
      </c>
      <c r="B60" s="564" t="s">
        <v>113</v>
      </c>
      <c r="C60" s="775">
        <v>1973</v>
      </c>
      <c r="D60" s="775">
        <v>2</v>
      </c>
      <c r="E60" s="775">
        <v>16</v>
      </c>
      <c r="F60" s="672">
        <v>32</v>
      </c>
      <c r="G60" s="676">
        <v>722.8</v>
      </c>
      <c r="H60" s="1732"/>
      <c r="I60" s="1732"/>
      <c r="J60" s="676">
        <v>1265.67</v>
      </c>
      <c r="K60" s="676">
        <v>1265.67</v>
      </c>
      <c r="L60" s="591">
        <f>50779.17</f>
        <v>50779.17</v>
      </c>
      <c r="M60" s="1441">
        <v>48330.19</v>
      </c>
      <c r="N60" s="524">
        <f t="shared" si="41"/>
        <v>52044.84</v>
      </c>
      <c r="O60" s="1441">
        <f t="shared" si="42"/>
        <v>49595.86</v>
      </c>
      <c r="P60" s="1816">
        <f t="shared" si="43"/>
        <v>7343.9</v>
      </c>
      <c r="Q60" s="1816"/>
      <c r="R60" s="1816"/>
      <c r="S60" s="1816"/>
      <c r="T60" s="1816">
        <v>200.21</v>
      </c>
      <c r="U60" s="1816"/>
      <c r="V60" s="1816">
        <v>3924.95</v>
      </c>
      <c r="W60" s="1816">
        <v>429.28</v>
      </c>
      <c r="X60" s="1816"/>
      <c r="Y60" s="1816"/>
      <c r="Z60" s="1816">
        <v>2789.46</v>
      </c>
      <c r="AA60" s="1816"/>
      <c r="AB60" s="1816"/>
      <c r="AC60" s="1816"/>
      <c r="AD60" s="1816">
        <f t="shared" si="44"/>
        <v>44700.939999999995</v>
      </c>
      <c r="AE60" s="1816">
        <f t="shared" si="45"/>
        <v>95.294480682426936</v>
      </c>
      <c r="AF60" s="1816">
        <f t="shared" si="46"/>
        <v>2448.9799999999959</v>
      </c>
      <c r="AG60" s="1816">
        <v>6</v>
      </c>
      <c r="AH60" s="1816"/>
      <c r="AI60" s="1574"/>
      <c r="AJ60" s="1574"/>
      <c r="AK60" s="1574"/>
      <c r="AL60" s="1574"/>
      <c r="AM60" s="1574"/>
      <c r="AN60" s="1574"/>
      <c r="AO60" s="1574"/>
      <c r="AP60" s="1574"/>
      <c r="AQ60" s="1574"/>
      <c r="AR60" s="1574"/>
      <c r="AS60" s="1574"/>
      <c r="AT60" s="1574"/>
      <c r="AU60" s="1574"/>
      <c r="AV60" s="1574"/>
      <c r="AW60" s="1574"/>
      <c r="AX60" s="1574"/>
      <c r="AY60" s="1574"/>
      <c r="AZ60" s="1574"/>
      <c r="BA60" s="1574"/>
      <c r="BB60" s="1574"/>
      <c r="BC60" s="1574"/>
      <c r="BD60" s="1574"/>
      <c r="BE60" s="1574"/>
      <c r="BF60" s="1574"/>
      <c r="BG60" s="1574"/>
      <c r="BH60" s="1574"/>
      <c r="BI60" s="1574"/>
      <c r="BJ60" s="1574"/>
      <c r="BK60" s="1574"/>
    </row>
    <row r="61" spans="1:63" s="124" customFormat="1" ht="15.75" customHeight="1" x14ac:dyDescent="0.25">
      <c r="A61" s="21">
        <v>9</v>
      </c>
      <c r="B61" s="564" t="s">
        <v>114</v>
      </c>
      <c r="C61" s="775">
        <v>1973</v>
      </c>
      <c r="D61" s="775">
        <v>2</v>
      </c>
      <c r="E61" s="775">
        <v>16</v>
      </c>
      <c r="F61" s="672">
        <v>46</v>
      </c>
      <c r="G61" s="676">
        <v>714.4</v>
      </c>
      <c r="H61" s="1732"/>
      <c r="I61" s="1732"/>
      <c r="J61" s="676">
        <v>2545.86</v>
      </c>
      <c r="K61" s="676">
        <v>2545.86</v>
      </c>
      <c r="L61" s="591">
        <f>48883.74</f>
        <v>48883.74</v>
      </c>
      <c r="M61" s="1441">
        <v>53127.03</v>
      </c>
      <c r="N61" s="524">
        <f t="shared" si="41"/>
        <v>51429.599999999999</v>
      </c>
      <c r="O61" s="1441">
        <f t="shared" si="42"/>
        <v>55672.89</v>
      </c>
      <c r="P61" s="1816">
        <f t="shared" si="43"/>
        <v>5439.34</v>
      </c>
      <c r="Q61" s="1816"/>
      <c r="R61" s="1816">
        <v>4452.6400000000003</v>
      </c>
      <c r="S61" s="1816"/>
      <c r="T61" s="1816"/>
      <c r="U61" s="1816"/>
      <c r="V61" s="1816"/>
      <c r="W61" s="1816"/>
      <c r="X61" s="1816"/>
      <c r="Y61" s="1816">
        <v>986.7</v>
      </c>
      <c r="Z61" s="1816"/>
      <c r="AA61" s="1816"/>
      <c r="AB61" s="1816"/>
      <c r="AC61" s="1816"/>
      <c r="AD61" s="1816">
        <f t="shared" si="44"/>
        <v>45990.259999999995</v>
      </c>
      <c r="AE61" s="1816">
        <f t="shared" si="45"/>
        <v>108.25067665313361</v>
      </c>
      <c r="AF61" s="1816">
        <f t="shared" si="46"/>
        <v>-4243.2900000000009</v>
      </c>
      <c r="AG61" s="1816">
        <v>6</v>
      </c>
      <c r="AH61" s="1816"/>
      <c r="AI61" s="1574"/>
      <c r="AJ61" s="1574"/>
      <c r="AK61" s="1574"/>
      <c r="AL61" s="1574"/>
      <c r="AM61" s="1574"/>
      <c r="AN61" s="1574"/>
      <c r="AO61" s="1574"/>
      <c r="AP61" s="1574"/>
      <c r="AQ61" s="1574"/>
      <c r="AR61" s="1574"/>
      <c r="AS61" s="1574"/>
      <c r="AT61" s="1574"/>
      <c r="AU61" s="1574"/>
      <c r="AV61" s="1574"/>
      <c r="AW61" s="1574"/>
      <c r="AX61" s="1574"/>
      <c r="AY61" s="1574"/>
      <c r="AZ61" s="1574"/>
      <c r="BA61" s="1574"/>
      <c r="BB61" s="1574"/>
      <c r="BC61" s="1574"/>
      <c r="BD61" s="1574"/>
      <c r="BE61" s="1574"/>
      <c r="BF61" s="1574"/>
      <c r="BG61" s="1574"/>
      <c r="BH61" s="1574"/>
      <c r="BI61" s="1574"/>
      <c r="BJ61" s="1574"/>
      <c r="BK61" s="1574"/>
    </row>
    <row r="62" spans="1:63" s="124" customFormat="1" ht="15.75" customHeight="1" x14ac:dyDescent="0.25">
      <c r="A62" s="21">
        <v>10</v>
      </c>
      <c r="B62" s="564" t="s">
        <v>117</v>
      </c>
      <c r="C62" s="775">
        <v>1969</v>
      </c>
      <c r="D62" s="775">
        <v>2</v>
      </c>
      <c r="E62" s="775">
        <v>16</v>
      </c>
      <c r="F62" s="672">
        <v>37</v>
      </c>
      <c r="G62" s="676">
        <v>716.27</v>
      </c>
      <c r="H62" s="1732"/>
      <c r="I62" s="1732"/>
      <c r="J62" s="676">
        <v>598</v>
      </c>
      <c r="K62" s="676">
        <v>598</v>
      </c>
      <c r="L62" s="591">
        <f>50973.44</f>
        <v>50973.440000000002</v>
      </c>
      <c r="M62" s="1441">
        <v>47686.37</v>
      </c>
      <c r="N62" s="524">
        <f t="shared" si="41"/>
        <v>51571.44</v>
      </c>
      <c r="O62" s="1441">
        <f t="shared" si="42"/>
        <v>48284.37</v>
      </c>
      <c r="P62" s="1816">
        <f t="shared" si="43"/>
        <v>23245.7</v>
      </c>
      <c r="Q62" s="1816"/>
      <c r="R62" s="1816">
        <v>2957.8</v>
      </c>
      <c r="S62" s="1816"/>
      <c r="T62" s="1816">
        <v>17984.11</v>
      </c>
      <c r="U62" s="1816"/>
      <c r="V62" s="1816"/>
      <c r="W62" s="1816"/>
      <c r="X62" s="1816"/>
      <c r="Y62" s="1816">
        <v>2303.79</v>
      </c>
      <c r="Z62" s="1816"/>
      <c r="AA62" s="1816"/>
      <c r="AB62" s="1816"/>
      <c r="AC62" s="1816"/>
      <c r="AD62" s="1816">
        <f t="shared" si="44"/>
        <v>28325.74</v>
      </c>
      <c r="AE62" s="1816">
        <f t="shared" si="45"/>
        <v>93.626181467882219</v>
      </c>
      <c r="AF62" s="1816">
        <f t="shared" si="46"/>
        <v>3287.0699999999997</v>
      </c>
      <c r="AG62" s="1816">
        <v>6</v>
      </c>
      <c r="AH62" s="1816"/>
      <c r="AI62" s="1574"/>
      <c r="AJ62" s="1574"/>
      <c r="AK62" s="1574"/>
      <c r="AL62" s="1574"/>
      <c r="AM62" s="1574"/>
      <c r="AN62" s="1574"/>
      <c r="AO62" s="1574"/>
      <c r="AP62" s="1574"/>
      <c r="AQ62" s="1574"/>
      <c r="AR62" s="1574"/>
      <c r="AS62" s="1574"/>
      <c r="AT62" s="1574"/>
      <c r="AU62" s="1574"/>
      <c r="AV62" s="1574"/>
      <c r="AW62" s="1574"/>
      <c r="AX62" s="1574"/>
      <c r="AY62" s="1574"/>
      <c r="AZ62" s="1574"/>
      <c r="BA62" s="1574"/>
      <c r="BB62" s="1574"/>
      <c r="BC62" s="1574"/>
      <c r="BD62" s="1574"/>
      <c r="BE62" s="1574"/>
      <c r="BF62" s="1574"/>
      <c r="BG62" s="1574"/>
      <c r="BH62" s="1574"/>
      <c r="BI62" s="1574"/>
      <c r="BJ62" s="1574"/>
      <c r="BK62" s="1574"/>
    </row>
    <row r="63" spans="1:63" s="124" customFormat="1" ht="15.75" customHeight="1" x14ac:dyDescent="0.25">
      <c r="A63" s="21">
        <v>11</v>
      </c>
      <c r="B63" s="564" t="s">
        <v>119</v>
      </c>
      <c r="C63" s="775">
        <v>1968</v>
      </c>
      <c r="D63" s="775">
        <v>2</v>
      </c>
      <c r="E63" s="775">
        <v>16</v>
      </c>
      <c r="F63" s="672">
        <v>54</v>
      </c>
      <c r="G63" s="676">
        <v>714.5</v>
      </c>
      <c r="H63" s="1732"/>
      <c r="I63" s="1732"/>
      <c r="J63" s="676">
        <v>4133.2</v>
      </c>
      <c r="K63" s="676">
        <v>4133.2</v>
      </c>
      <c r="L63" s="591">
        <f>47310.8</f>
        <v>47310.8</v>
      </c>
      <c r="M63" s="1441">
        <v>43021.52</v>
      </c>
      <c r="N63" s="524">
        <f t="shared" si="41"/>
        <v>51444</v>
      </c>
      <c r="O63" s="1441">
        <f t="shared" si="42"/>
        <v>47154.719999999994</v>
      </c>
      <c r="P63" s="1816">
        <f t="shared" si="43"/>
        <v>0</v>
      </c>
      <c r="Q63" s="1816"/>
      <c r="R63" s="1816"/>
      <c r="S63" s="1816"/>
      <c r="T63" s="1816"/>
      <c r="U63" s="1816"/>
      <c r="V63" s="1816"/>
      <c r="W63" s="1816"/>
      <c r="X63" s="1816"/>
      <c r="Y63" s="1816"/>
      <c r="Z63" s="1816"/>
      <c r="AA63" s="1816"/>
      <c r="AB63" s="1816"/>
      <c r="AC63" s="1816"/>
      <c r="AD63" s="1816">
        <f t="shared" si="44"/>
        <v>51444</v>
      </c>
      <c r="AE63" s="1816">
        <f t="shared" si="45"/>
        <v>91.662234662934438</v>
      </c>
      <c r="AF63" s="1816">
        <f t="shared" si="46"/>
        <v>4289.2800000000061</v>
      </c>
      <c r="AG63" s="1816">
        <v>6</v>
      </c>
      <c r="AH63" s="1816"/>
      <c r="AI63" s="1574"/>
      <c r="AJ63" s="1574"/>
      <c r="AK63" s="1574"/>
      <c r="AL63" s="1574"/>
      <c r="AM63" s="1574"/>
      <c r="AN63" s="1574"/>
      <c r="AO63" s="1574"/>
      <c r="AP63" s="1574"/>
      <c r="AQ63" s="1574"/>
      <c r="AR63" s="1574"/>
      <c r="AS63" s="1574"/>
      <c r="AT63" s="1574"/>
      <c r="AU63" s="1574"/>
      <c r="AV63" s="1574"/>
      <c r="AW63" s="1574"/>
      <c r="AX63" s="1574"/>
      <c r="AY63" s="1574"/>
      <c r="AZ63" s="1574"/>
      <c r="BA63" s="1574"/>
      <c r="BB63" s="1574"/>
      <c r="BC63" s="1574"/>
      <c r="BD63" s="1574"/>
      <c r="BE63" s="1574"/>
      <c r="BF63" s="1574"/>
      <c r="BG63" s="1574"/>
      <c r="BH63" s="1574"/>
      <c r="BI63" s="1574"/>
      <c r="BJ63" s="1574"/>
      <c r="BK63" s="1574"/>
    </row>
    <row r="64" spans="1:63" s="124" customFormat="1" ht="15.75" customHeight="1" x14ac:dyDescent="0.25">
      <c r="A64" s="263">
        <v>12</v>
      </c>
      <c r="B64" s="564" t="s">
        <v>121</v>
      </c>
      <c r="C64" s="776">
        <v>1970</v>
      </c>
      <c r="D64" s="776">
        <v>2</v>
      </c>
      <c r="E64" s="776">
        <v>16</v>
      </c>
      <c r="F64" s="777">
        <v>35</v>
      </c>
      <c r="G64" s="689">
        <v>714.01</v>
      </c>
      <c r="H64" s="1733"/>
      <c r="I64" s="1733"/>
      <c r="J64" s="689">
        <v>1150</v>
      </c>
      <c r="K64" s="689">
        <v>1150</v>
      </c>
      <c r="L64" s="632">
        <f>50323.52</f>
        <v>50323.519999999997</v>
      </c>
      <c r="M64" s="1441">
        <v>49095.58</v>
      </c>
      <c r="N64" s="524">
        <f t="shared" si="41"/>
        <v>51473.52</v>
      </c>
      <c r="O64" s="1441">
        <f t="shared" si="42"/>
        <v>50245.58</v>
      </c>
      <c r="P64" s="1816">
        <f t="shared" si="43"/>
        <v>145</v>
      </c>
      <c r="Q64" s="1816"/>
      <c r="R64" s="1816"/>
      <c r="S64" s="1816"/>
      <c r="T64" s="1816"/>
      <c r="U64" s="1816"/>
      <c r="V64" s="1816"/>
      <c r="W64" s="1816"/>
      <c r="X64" s="1816"/>
      <c r="Y64" s="1816"/>
      <c r="Z64" s="1816"/>
      <c r="AA64" s="1816"/>
      <c r="AB64" s="1816">
        <v>145</v>
      </c>
      <c r="AC64" s="1816"/>
      <c r="AD64" s="1816">
        <f t="shared" si="44"/>
        <v>51328.52</v>
      </c>
      <c r="AE64" s="1816">
        <f t="shared" si="45"/>
        <v>97.614423882415664</v>
      </c>
      <c r="AF64" s="1816">
        <f t="shared" si="46"/>
        <v>1227.9399999999951</v>
      </c>
      <c r="AG64" s="1816">
        <v>6</v>
      </c>
      <c r="AH64" s="1816"/>
      <c r="AI64" s="1574"/>
      <c r="AJ64" s="1574"/>
      <c r="AK64" s="1574"/>
      <c r="AL64" s="1574"/>
      <c r="AM64" s="1574"/>
      <c r="AN64" s="1574"/>
      <c r="AO64" s="1574"/>
      <c r="AP64" s="1574"/>
      <c r="AQ64" s="1574"/>
      <c r="AR64" s="1574"/>
      <c r="AS64" s="1574"/>
      <c r="AT64" s="1574"/>
      <c r="AU64" s="1574"/>
      <c r="AV64" s="1574"/>
      <c r="AW64" s="1574"/>
      <c r="AX64" s="1574"/>
      <c r="AY64" s="1574"/>
      <c r="AZ64" s="1574"/>
      <c r="BA64" s="1574"/>
      <c r="BB64" s="1574"/>
      <c r="BC64" s="1574"/>
      <c r="BD64" s="1574"/>
      <c r="BE64" s="1574"/>
      <c r="BF64" s="1574"/>
      <c r="BG64" s="1574"/>
      <c r="BH64" s="1574"/>
      <c r="BI64" s="1574"/>
      <c r="BJ64" s="1574"/>
      <c r="BK64" s="1574"/>
    </row>
    <row r="65" spans="1:64" s="124" customFormat="1" ht="15.75" customHeight="1" x14ac:dyDescent="0.25">
      <c r="A65" s="251">
        <v>13</v>
      </c>
      <c r="B65" s="1351" t="s">
        <v>123</v>
      </c>
      <c r="C65" s="776">
        <v>1990</v>
      </c>
      <c r="D65" s="776">
        <v>3</v>
      </c>
      <c r="E65" s="776">
        <v>24</v>
      </c>
      <c r="F65" s="777">
        <v>61</v>
      </c>
      <c r="G65" s="689">
        <v>1440.1</v>
      </c>
      <c r="H65" s="1733"/>
      <c r="I65" s="1733"/>
      <c r="J65" s="689">
        <v>2724.4</v>
      </c>
      <c r="K65" s="689">
        <v>2724.4</v>
      </c>
      <c r="L65" s="632">
        <f>101198</f>
        <v>101198</v>
      </c>
      <c r="M65" s="1441">
        <v>96224.74</v>
      </c>
      <c r="N65" s="524">
        <f t="shared" si="41"/>
        <v>103922.4</v>
      </c>
      <c r="O65" s="1441">
        <f t="shared" si="42"/>
        <v>98949.14</v>
      </c>
      <c r="P65" s="1816">
        <f t="shared" si="43"/>
        <v>92689.05</v>
      </c>
      <c r="Q65" s="1816">
        <v>8267.94</v>
      </c>
      <c r="R65" s="1816"/>
      <c r="S65" s="1816"/>
      <c r="T65" s="1816"/>
      <c r="U65" s="1816">
        <v>83888.72</v>
      </c>
      <c r="V65" s="1816"/>
      <c r="W65" s="1816"/>
      <c r="X65" s="1816"/>
      <c r="Y65" s="1816"/>
      <c r="Z65" s="1816"/>
      <c r="AA65" s="1816"/>
      <c r="AB65" s="1816">
        <v>127</v>
      </c>
      <c r="AC65" s="1816">
        <v>405.39</v>
      </c>
      <c r="AD65" s="1816">
        <f t="shared" si="44"/>
        <v>11233.349999999991</v>
      </c>
      <c r="AE65" s="1816">
        <f t="shared" si="45"/>
        <v>95.214448473091466</v>
      </c>
      <c r="AF65" s="1816">
        <f t="shared" si="46"/>
        <v>4973.2599999999948</v>
      </c>
      <c r="AG65" s="1816">
        <v>6</v>
      </c>
      <c r="AH65" s="1816"/>
      <c r="AI65" s="1574"/>
      <c r="AJ65" s="1574"/>
      <c r="AK65" s="1574"/>
      <c r="AL65" s="1574"/>
      <c r="AM65" s="1574"/>
      <c r="AN65" s="1574"/>
      <c r="AO65" s="1574"/>
      <c r="AP65" s="1574"/>
      <c r="AQ65" s="1574"/>
      <c r="AR65" s="1574"/>
      <c r="AS65" s="1574"/>
      <c r="AT65" s="1574"/>
      <c r="AU65" s="1574"/>
      <c r="AV65" s="1574"/>
      <c r="AW65" s="1574"/>
      <c r="AX65" s="1574"/>
      <c r="AY65" s="1574"/>
      <c r="AZ65" s="1574"/>
      <c r="BA65" s="1574"/>
      <c r="BB65" s="1574"/>
      <c r="BC65" s="1574"/>
      <c r="BD65" s="1574"/>
      <c r="BE65" s="1574"/>
      <c r="BF65" s="1574"/>
      <c r="BG65" s="1574"/>
      <c r="BH65" s="1574"/>
      <c r="BI65" s="1574"/>
      <c r="BJ65" s="1574"/>
      <c r="BK65" s="1574"/>
    </row>
    <row r="66" spans="1:64" s="124" customFormat="1" ht="15.75" customHeight="1" x14ac:dyDescent="0.25">
      <c r="A66" s="19"/>
      <c r="B66" s="396" t="s">
        <v>23</v>
      </c>
      <c r="C66" s="780"/>
      <c r="D66" s="780"/>
      <c r="E66" s="781">
        <f>SUM(E52:E65)</f>
        <v>260</v>
      </c>
      <c r="F66" s="781">
        <f>SUM(F52:F65)</f>
        <v>709</v>
      </c>
      <c r="G66" s="781">
        <f>SUM(G52:G65)</f>
        <v>13837.67</v>
      </c>
      <c r="H66" s="1815"/>
      <c r="I66" s="1815"/>
      <c r="J66" s="1427">
        <f>SUM(J54:J65)</f>
        <v>29626.7</v>
      </c>
      <c r="K66" s="1427">
        <f>SUM(K54:K65)</f>
        <v>29626.7</v>
      </c>
      <c r="L66" s="1426">
        <f>SUM(L53:L65)</f>
        <v>966443.38000000012</v>
      </c>
      <c r="M66" s="1426">
        <f>SUM(M53:M65)</f>
        <v>939397.66000000015</v>
      </c>
      <c r="N66" s="1674">
        <f>SUM(N53:N65)</f>
        <v>996070.08</v>
      </c>
      <c r="O66" s="1680">
        <f>SUM(O53:O65)</f>
        <v>969024.36</v>
      </c>
      <c r="P66" s="1680">
        <f t="shared" ref="P66:Q66" si="47">SUM(P53:P65)</f>
        <v>495504.46</v>
      </c>
      <c r="Q66" s="1680">
        <f t="shared" si="47"/>
        <v>82721.390000000014</v>
      </c>
      <c r="R66" s="1680">
        <f t="shared" ref="R66:AC66" si="48">SUM(R53:R65)</f>
        <v>72308.77</v>
      </c>
      <c r="S66" s="1680">
        <f t="shared" si="48"/>
        <v>86884</v>
      </c>
      <c r="T66" s="1680">
        <f t="shared" si="48"/>
        <v>18184.32</v>
      </c>
      <c r="U66" s="1680">
        <f t="shared" si="48"/>
        <v>193105.47</v>
      </c>
      <c r="V66" s="1680">
        <f t="shared" si="48"/>
        <v>7503.6299999999992</v>
      </c>
      <c r="W66" s="1680">
        <f t="shared" si="48"/>
        <v>7596.19</v>
      </c>
      <c r="X66" s="1680">
        <f t="shared" si="48"/>
        <v>2878.14</v>
      </c>
      <c r="Y66" s="1680">
        <f t="shared" si="48"/>
        <v>3921.2799999999997</v>
      </c>
      <c r="Z66" s="1680">
        <f t="shared" si="48"/>
        <v>8739.83</v>
      </c>
      <c r="AA66" s="1680">
        <f t="shared" si="48"/>
        <v>3128.2</v>
      </c>
      <c r="AB66" s="1680">
        <f t="shared" si="48"/>
        <v>272</v>
      </c>
      <c r="AC66" s="1680">
        <f t="shared" si="48"/>
        <v>8261.24</v>
      </c>
      <c r="AD66" s="1680">
        <f t="shared" ref="AD66" si="49">SUM(AD53:AD65)</f>
        <v>500565.62</v>
      </c>
      <c r="AE66" s="1818">
        <f t="shared" si="45"/>
        <v>97.284757313461327</v>
      </c>
      <c r="AF66" s="1818">
        <f>SUM(AF53:AF65)</f>
        <v>27045.72</v>
      </c>
      <c r="AG66" s="1680"/>
      <c r="AH66" s="1680"/>
      <c r="AI66" s="1574"/>
      <c r="AJ66" s="1574"/>
      <c r="AK66" s="1574"/>
      <c r="AL66" s="1574"/>
      <c r="AM66" s="1574"/>
      <c r="AN66" s="1574"/>
      <c r="AO66" s="1574"/>
      <c r="AP66" s="1574"/>
      <c r="AQ66" s="1574"/>
      <c r="AR66" s="1574"/>
      <c r="AS66" s="1574"/>
      <c r="AT66" s="1574"/>
      <c r="AU66" s="1574"/>
      <c r="AV66" s="1574"/>
      <c r="AW66" s="1574"/>
      <c r="AX66" s="1574"/>
      <c r="AY66" s="1574"/>
      <c r="AZ66" s="1574"/>
      <c r="BA66" s="1574"/>
      <c r="BB66" s="1574"/>
      <c r="BC66" s="1574"/>
      <c r="BD66" s="1574"/>
      <c r="BE66" s="1574"/>
      <c r="BF66" s="1574"/>
      <c r="BG66" s="1574"/>
      <c r="BH66" s="1574"/>
      <c r="BI66" s="1574"/>
      <c r="BJ66" s="1574"/>
      <c r="BK66" s="1574"/>
    </row>
    <row r="67" spans="1:64" s="124" customFormat="1" ht="15.75" customHeight="1" x14ac:dyDescent="0.25">
      <c r="A67"/>
      <c r="B67"/>
      <c r="C67" s="375"/>
      <c r="D67" s="375"/>
      <c r="E67" s="375"/>
      <c r="F67" s="375"/>
      <c r="G67" s="375"/>
      <c r="H67" s="375"/>
      <c r="I67" s="375"/>
      <c r="J67" s="375"/>
      <c r="K67" s="375"/>
      <c r="L67" s="375"/>
      <c r="M67" s="375"/>
      <c r="N67" s="1895" t="s">
        <v>180</v>
      </c>
      <c r="O67" s="1677"/>
      <c r="P67" s="1677"/>
      <c r="Q67" s="1677"/>
      <c r="R67" s="1677"/>
      <c r="S67" s="1677"/>
      <c r="T67" s="1677"/>
      <c r="U67" s="1451"/>
      <c r="V67" s="1451"/>
      <c r="W67" s="1451"/>
      <c r="X67" s="1451"/>
      <c r="Y67" s="1451"/>
      <c r="Z67" s="1677"/>
      <c r="AA67" s="1817"/>
      <c r="AB67" s="1817"/>
      <c r="AC67" s="1817"/>
      <c r="AD67" s="1817"/>
      <c r="AE67" s="1817"/>
      <c r="AF67" s="1451"/>
      <c r="AG67" s="1817"/>
      <c r="AH67" s="1817"/>
      <c r="AI67" s="1574"/>
      <c r="AJ67" s="1574"/>
      <c r="AK67" s="1574"/>
      <c r="AL67" s="1574"/>
      <c r="AM67" s="1574"/>
      <c r="AN67" s="1574"/>
      <c r="AO67" s="1574"/>
      <c r="AP67" s="1574"/>
      <c r="AQ67" s="1574"/>
      <c r="AR67" s="1574"/>
      <c r="AS67" s="1574"/>
      <c r="AT67" s="1574"/>
      <c r="AU67" s="1574"/>
      <c r="AV67" s="1574"/>
      <c r="AW67" s="1574"/>
      <c r="AX67" s="1574"/>
      <c r="AY67" s="1574"/>
      <c r="AZ67" s="1574"/>
      <c r="BA67" s="1574"/>
      <c r="BB67" s="1574"/>
      <c r="BC67" s="1574"/>
      <c r="BD67" s="1574"/>
      <c r="BE67" s="1574"/>
      <c r="BF67" s="1574"/>
      <c r="BG67" s="1574"/>
      <c r="BH67" s="1574"/>
      <c r="BI67" s="1574"/>
      <c r="BJ67" s="1574"/>
      <c r="BK67" s="1574"/>
    </row>
    <row r="68" spans="1:64" s="124" customFormat="1" ht="15.75" customHeight="1" x14ac:dyDescent="0.25">
      <c r="A68" s="80"/>
      <c r="B68" s="81"/>
      <c r="C68" s="788"/>
      <c r="D68" s="788"/>
      <c r="E68" s="788"/>
      <c r="F68" s="349"/>
      <c r="G68" s="349"/>
      <c r="H68" s="349"/>
      <c r="I68" s="349"/>
      <c r="J68" s="349"/>
      <c r="K68" s="349"/>
      <c r="L68" s="349"/>
      <c r="M68" s="349"/>
      <c r="N68" s="1926" t="s">
        <v>891</v>
      </c>
      <c r="O68" s="1574"/>
      <c r="P68" s="1574"/>
      <c r="Q68" s="1574"/>
      <c r="R68" s="1574"/>
      <c r="S68" s="1574"/>
      <c r="T68" s="1574"/>
      <c r="U68" s="1574"/>
      <c r="V68" s="1574"/>
      <c r="W68" s="1574"/>
      <c r="X68" s="1574"/>
      <c r="Y68" s="1574"/>
      <c r="Z68" s="1574"/>
      <c r="AA68" s="1574"/>
      <c r="AB68" s="1574"/>
      <c r="AC68" s="1574"/>
      <c r="AD68" s="1574"/>
      <c r="AE68" s="1574"/>
      <c r="AF68" s="1574"/>
      <c r="AG68" s="1574"/>
      <c r="AH68" s="1574"/>
      <c r="AI68" s="1574"/>
      <c r="AJ68" s="1574"/>
      <c r="AK68" s="1574"/>
      <c r="AL68" s="1574"/>
      <c r="AM68" s="1574"/>
      <c r="AN68" s="1574"/>
      <c r="AO68" s="1574"/>
      <c r="AP68" s="1574"/>
      <c r="AQ68" s="1574"/>
      <c r="AR68" s="1574"/>
      <c r="AS68" s="1574"/>
      <c r="AT68" s="1574"/>
      <c r="AU68" s="1574"/>
      <c r="AV68" s="1574"/>
      <c r="AW68" s="1574"/>
      <c r="AX68" s="1574"/>
      <c r="AY68" s="1574"/>
      <c r="AZ68" s="1574"/>
      <c r="BA68" s="1574"/>
      <c r="BB68" s="1574"/>
      <c r="BC68" s="1574"/>
      <c r="BD68" s="1574"/>
      <c r="BE68" s="1574"/>
      <c r="BF68" s="1574"/>
      <c r="BG68" s="1574"/>
      <c r="BH68" s="1574"/>
      <c r="BI68" s="1574"/>
      <c r="BJ68" s="1574"/>
      <c r="BK68" s="1574"/>
    </row>
    <row r="69" spans="1:64" ht="15.75" customHeight="1" x14ac:dyDescent="0.25">
      <c r="B69" s="395"/>
      <c r="C69" s="787"/>
      <c r="D69" s="787"/>
      <c r="E69" s="787"/>
      <c r="F69" s="787"/>
      <c r="G69" s="787"/>
      <c r="H69" s="787"/>
      <c r="I69" s="787"/>
      <c r="J69" s="787"/>
      <c r="K69" s="787"/>
      <c r="L69" s="787"/>
      <c r="M69" s="787"/>
      <c r="N69" s="787"/>
      <c r="O69" s="787"/>
      <c r="P69" s="787"/>
      <c r="Q69" s="787"/>
      <c r="R69" s="787"/>
      <c r="S69" s="787"/>
      <c r="T69" s="1574"/>
      <c r="U69" s="1574"/>
      <c r="V69" s="1574"/>
      <c r="W69" s="1574"/>
      <c r="X69" s="1574"/>
      <c r="Y69" s="1574"/>
      <c r="Z69" s="1574"/>
      <c r="AA69" s="1574"/>
      <c r="AB69" s="1574"/>
      <c r="AC69" s="1574"/>
      <c r="AD69" s="1574"/>
      <c r="AE69" s="1574"/>
      <c r="AF69" s="1574"/>
      <c r="AG69" s="1574"/>
      <c r="AH69" s="1574"/>
      <c r="AI69" s="1574"/>
      <c r="AJ69" s="1574"/>
      <c r="AK69" s="1574"/>
      <c r="AL69" s="1574"/>
      <c r="AM69" s="1574"/>
      <c r="AN69" s="1574"/>
      <c r="AO69" s="1574"/>
      <c r="AP69" s="1574"/>
      <c r="AQ69" s="1574"/>
      <c r="AR69" s="1574"/>
      <c r="AS69" s="1574"/>
      <c r="AT69" s="1574"/>
      <c r="AU69" s="1574"/>
      <c r="AV69" s="1574"/>
      <c r="AW69" s="1574"/>
      <c r="AX69" s="1574"/>
    </row>
    <row r="70" spans="1:64" ht="15.75" customHeight="1" x14ac:dyDescent="0.25">
      <c r="C70" s="375"/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5"/>
      <c r="R70" s="375"/>
      <c r="S70" s="375"/>
      <c r="T70" s="1574"/>
      <c r="U70" s="1574"/>
      <c r="V70" s="1574"/>
      <c r="W70" s="1574"/>
      <c r="X70" s="1574"/>
      <c r="Y70" s="1574"/>
      <c r="Z70" s="1574"/>
      <c r="AA70" s="1574"/>
      <c r="AB70" s="1574"/>
      <c r="AC70" s="1574"/>
      <c r="AD70" s="1574"/>
      <c r="AE70" s="1574"/>
      <c r="AF70" s="1574"/>
      <c r="AG70" s="1574"/>
      <c r="AH70" s="1574"/>
      <c r="AI70" s="1574"/>
      <c r="AJ70" s="1574"/>
      <c r="AK70" s="1574"/>
      <c r="AL70" s="1574"/>
      <c r="AM70" s="1574"/>
      <c r="AN70" s="1574"/>
      <c r="AO70" s="1574"/>
      <c r="AP70" s="1574"/>
      <c r="AQ70" s="1574"/>
      <c r="AR70" s="1574"/>
      <c r="AS70" s="1574"/>
      <c r="AT70" s="1574"/>
      <c r="AU70" s="1574"/>
      <c r="AV70" s="1574"/>
      <c r="AW70" s="1574"/>
      <c r="AX70" s="1574"/>
    </row>
    <row r="71" spans="1:64" ht="18.75" x14ac:dyDescent="0.3">
      <c r="B71" s="74" t="s">
        <v>801</v>
      </c>
      <c r="C71" s="765"/>
      <c r="D71" s="765"/>
      <c r="E71" s="765"/>
      <c r="F71" s="765"/>
      <c r="G71" s="765"/>
      <c r="H71" s="765"/>
      <c r="I71" s="765"/>
      <c r="J71" s="765"/>
      <c r="K71" s="765"/>
      <c r="L71" s="765"/>
      <c r="M71" s="765"/>
      <c r="N71" s="765"/>
      <c r="O71" s="765"/>
      <c r="P71" s="765"/>
      <c r="Q71" s="765"/>
      <c r="R71" s="765"/>
      <c r="S71" s="765"/>
      <c r="T71" s="765"/>
      <c r="U71" s="765"/>
      <c r="V71" s="765"/>
      <c r="W71" s="765"/>
      <c r="X71" s="765"/>
      <c r="Y71" s="765"/>
      <c r="Z71" s="765"/>
      <c r="AA71" s="765"/>
      <c r="AB71" s="765"/>
      <c r="AC71" s="765"/>
      <c r="AD71" s="765"/>
      <c r="AE71" s="765"/>
      <c r="AF71" s="765"/>
      <c r="AG71" s="765"/>
      <c r="AH71" s="765"/>
      <c r="AI71" s="765"/>
      <c r="AJ71" s="766"/>
      <c r="AK71" s="766"/>
      <c r="AL71" s="375"/>
      <c r="AM71" s="375"/>
      <c r="AN71" s="375"/>
      <c r="AO71" s="375"/>
      <c r="AP71" s="375"/>
      <c r="AQ71" s="375"/>
      <c r="AR71" s="375"/>
      <c r="AS71" s="375"/>
      <c r="AT71" s="375"/>
      <c r="AU71" s="375"/>
      <c r="AV71" s="375"/>
      <c r="AW71" s="375"/>
      <c r="AX71" s="375"/>
    </row>
    <row r="72" spans="1:64" ht="18" x14ac:dyDescent="0.25">
      <c r="A72" s="17"/>
      <c r="B72" s="1"/>
      <c r="C72" s="766"/>
      <c r="D72" s="766"/>
      <c r="E72" s="766"/>
      <c r="F72" s="766"/>
      <c r="G72" s="766"/>
      <c r="H72" s="766"/>
      <c r="I72" s="766"/>
      <c r="J72" s="766"/>
      <c r="K72" s="766"/>
      <c r="L72" s="766"/>
      <c r="M72" s="766"/>
      <c r="N72" s="766"/>
      <c r="O72" s="766"/>
      <c r="P72" s="766"/>
      <c r="Q72" s="766"/>
      <c r="R72" s="766"/>
      <c r="S72" s="766"/>
      <c r="T72" s="766"/>
      <c r="U72" s="766"/>
      <c r="V72" s="766"/>
      <c r="W72" s="766"/>
      <c r="X72" s="766"/>
      <c r="Y72" s="766"/>
      <c r="Z72" s="1574"/>
      <c r="AA72" s="1574"/>
      <c r="AB72" s="1574"/>
      <c r="AC72" s="1574"/>
      <c r="AD72" s="1574"/>
      <c r="AE72" s="1574"/>
      <c r="AF72" s="1574"/>
      <c r="AG72" s="1574"/>
      <c r="AH72" s="1574"/>
      <c r="AI72" s="1574"/>
      <c r="AJ72" s="1574"/>
      <c r="AK72" s="1574"/>
      <c r="AL72" s="1574"/>
      <c r="AM72" s="1574"/>
      <c r="AN72" s="1574"/>
      <c r="AO72" s="1574"/>
      <c r="AP72" s="1574"/>
      <c r="AQ72" s="1574"/>
      <c r="AR72" s="1574"/>
      <c r="AS72" s="1574"/>
      <c r="AT72" s="1574"/>
      <c r="AU72" s="1574"/>
      <c r="AV72" s="1574"/>
      <c r="AW72" s="1574"/>
      <c r="AX72" s="1574"/>
      <c r="AY72" s="1574"/>
      <c r="AZ72" s="1574"/>
      <c r="BA72" s="1574"/>
      <c r="BB72" s="1574"/>
      <c r="BC72" s="1574"/>
      <c r="BD72" s="1574"/>
      <c r="BE72" s="1574"/>
      <c r="BF72" s="1574"/>
      <c r="BG72" s="1574"/>
      <c r="BH72" s="1574"/>
      <c r="BI72" s="1574"/>
      <c r="BJ72" s="1574"/>
      <c r="BK72" s="1574"/>
      <c r="BL72" s="1574"/>
    </row>
    <row r="73" spans="1:64" ht="18" x14ac:dyDescent="0.25">
      <c r="A73" s="17"/>
      <c r="B73" s="1"/>
      <c r="C73" s="766"/>
      <c r="D73" s="766"/>
      <c r="E73" s="766"/>
      <c r="F73" s="766"/>
      <c r="G73" s="766"/>
      <c r="H73" s="766"/>
      <c r="I73" s="766"/>
      <c r="J73" s="766"/>
      <c r="K73" s="766"/>
      <c r="L73" s="766"/>
      <c r="M73" s="766"/>
      <c r="N73" s="766"/>
      <c r="O73" s="1574"/>
      <c r="P73" s="1574"/>
      <c r="Q73" s="1574"/>
      <c r="R73" s="1574"/>
      <c r="S73" s="1574"/>
      <c r="T73" s="1574"/>
      <c r="U73" s="1574"/>
      <c r="V73" s="1574"/>
      <c r="W73" s="1574"/>
      <c r="X73" s="1574"/>
      <c r="Y73" s="1574"/>
      <c r="Z73" s="1574"/>
      <c r="AA73" s="1574"/>
      <c r="AB73" s="1574"/>
      <c r="AC73" s="1574"/>
      <c r="AD73" s="1574"/>
      <c r="AE73" s="1574"/>
      <c r="AF73" s="1574"/>
      <c r="AG73" s="1574"/>
      <c r="AH73" s="1574"/>
      <c r="AI73" s="1574"/>
      <c r="AJ73" s="1574"/>
      <c r="AK73" s="1574"/>
      <c r="AL73" s="1574"/>
      <c r="AM73" s="1574"/>
      <c r="AN73" s="1574"/>
      <c r="AO73" s="1574"/>
      <c r="AP73" s="1574"/>
      <c r="AQ73" s="1574"/>
      <c r="AR73" s="1574"/>
      <c r="AS73" s="1574"/>
      <c r="AT73" s="1574"/>
      <c r="AU73" s="1574"/>
      <c r="AV73" s="1574"/>
      <c r="AW73" s="1574"/>
      <c r="AX73" s="1574"/>
      <c r="AY73" s="1574"/>
      <c r="AZ73" s="1574"/>
      <c r="BA73" s="1574"/>
      <c r="BB73" s="1574"/>
      <c r="BC73" s="1574"/>
      <c r="BD73" s="1574"/>
      <c r="BE73" s="1574"/>
      <c r="BF73" s="1574"/>
      <c r="BG73" s="1574"/>
      <c r="BH73" s="1574"/>
      <c r="BI73" s="1574"/>
      <c r="BJ73" s="1574"/>
      <c r="BK73" s="1574"/>
      <c r="BL73" s="1574"/>
    </row>
    <row r="74" spans="1:64" ht="39.75" customHeight="1" x14ac:dyDescent="0.25">
      <c r="A74" s="2020" t="s">
        <v>0</v>
      </c>
      <c r="B74" s="2020" t="s">
        <v>184</v>
      </c>
      <c r="C74" s="2228" t="s">
        <v>54</v>
      </c>
      <c r="D74" s="2228" t="s">
        <v>55</v>
      </c>
      <c r="E74" s="2228" t="s">
        <v>56</v>
      </c>
      <c r="F74" s="2228" t="s">
        <v>57</v>
      </c>
      <c r="G74" s="2232" t="s">
        <v>6</v>
      </c>
      <c r="H74" s="1347"/>
      <c r="I74" s="1347"/>
      <c r="J74" s="2218" t="s">
        <v>872</v>
      </c>
      <c r="K74" s="2219"/>
      <c r="L74" s="1989" t="s">
        <v>797</v>
      </c>
      <c r="M74" s="1990"/>
      <c r="N74" s="2097" t="s">
        <v>883</v>
      </c>
      <c r="O74" s="2060"/>
      <c r="P74" s="1884"/>
      <c r="Q74" s="1884"/>
      <c r="R74" s="1884"/>
      <c r="S74" s="1884"/>
      <c r="T74" s="2049" t="s">
        <v>747</v>
      </c>
      <c r="U74" s="2179" t="s">
        <v>580</v>
      </c>
      <c r="V74" s="1997" t="s">
        <v>856</v>
      </c>
      <c r="W74" s="1987" t="s">
        <v>735</v>
      </c>
      <c r="X74" s="2005" t="s">
        <v>724</v>
      </c>
      <c r="Y74" s="2001" t="s">
        <v>736</v>
      </c>
      <c r="Z74" s="2001" t="s">
        <v>953</v>
      </c>
      <c r="AA74" s="1574"/>
      <c r="AB74" s="1574"/>
      <c r="AC74" s="1574"/>
      <c r="AD74" s="1574"/>
      <c r="AE74" s="1574"/>
      <c r="AF74" s="1574"/>
      <c r="AG74" s="1574"/>
      <c r="AH74" s="1574"/>
      <c r="AI74" s="1574"/>
      <c r="AJ74" s="1574"/>
      <c r="AK74" s="1574"/>
      <c r="AL74" s="1574"/>
      <c r="AM74" s="1574"/>
      <c r="AN74" s="1574"/>
      <c r="AO74" s="1574"/>
      <c r="AP74" s="1574"/>
      <c r="AQ74" s="1574"/>
      <c r="AR74" s="1574"/>
      <c r="AS74" s="1574"/>
      <c r="AT74" s="1574"/>
      <c r="AU74" s="1574"/>
      <c r="AV74" s="1574"/>
      <c r="AW74" s="1574"/>
      <c r="AX74" s="1574"/>
      <c r="AY74" s="1574"/>
      <c r="AZ74" s="1574"/>
      <c r="BA74" s="1574"/>
      <c r="BB74" s="1574"/>
      <c r="BC74" s="1574"/>
      <c r="BD74" s="1574"/>
      <c r="BE74" s="1574"/>
      <c r="BF74" s="1574"/>
      <c r="BG74" s="1574"/>
      <c r="BH74" s="1574"/>
      <c r="BI74" s="1574"/>
      <c r="BJ74" s="1574"/>
      <c r="BK74" s="1574"/>
      <c r="BL74" s="1574"/>
    </row>
    <row r="75" spans="1:64" ht="39" customHeight="1" x14ac:dyDescent="0.25">
      <c r="A75" s="2021"/>
      <c r="B75" s="2021"/>
      <c r="C75" s="2229"/>
      <c r="D75" s="2229"/>
      <c r="E75" s="2229"/>
      <c r="F75" s="2229"/>
      <c r="G75" s="2233"/>
      <c r="H75" s="1348"/>
      <c r="I75" s="1348"/>
      <c r="J75" s="150" t="s">
        <v>15</v>
      </c>
      <c r="K75" s="1886" t="s">
        <v>16</v>
      </c>
      <c r="L75" s="150" t="s">
        <v>15</v>
      </c>
      <c r="M75" s="1886" t="s">
        <v>16</v>
      </c>
      <c r="N75" s="150" t="s">
        <v>15</v>
      </c>
      <c r="O75" s="1886" t="s">
        <v>16</v>
      </c>
      <c r="P75" s="1885"/>
      <c r="Q75" s="1885"/>
      <c r="R75" s="1885"/>
      <c r="S75" s="1885"/>
      <c r="T75" s="2050"/>
      <c r="U75" s="2180"/>
      <c r="V75" s="1998"/>
      <c r="W75" s="1988"/>
      <c r="X75" s="2006"/>
      <c r="Y75" s="2002"/>
      <c r="Z75" s="2002"/>
      <c r="AA75" s="1574"/>
      <c r="AB75" s="1574"/>
      <c r="AC75" s="1574"/>
      <c r="AD75" s="1574"/>
      <c r="AE75" s="1574"/>
      <c r="AF75" s="1574"/>
      <c r="AG75" s="1574"/>
      <c r="AH75" s="1574"/>
      <c r="AI75" s="1574"/>
      <c r="AJ75" s="1574"/>
      <c r="AK75" s="1574"/>
      <c r="AL75" s="1574"/>
      <c r="AM75" s="1574"/>
      <c r="AN75" s="1574"/>
      <c r="AO75" s="1574"/>
      <c r="AP75" s="1574"/>
      <c r="AQ75" s="1574"/>
      <c r="AR75" s="1574"/>
      <c r="AS75" s="1574"/>
      <c r="AT75" s="1574"/>
      <c r="AU75" s="1574"/>
      <c r="AV75" s="1574"/>
      <c r="AW75" s="1574"/>
      <c r="AX75" s="1574"/>
      <c r="AY75" s="1574"/>
      <c r="AZ75" s="1574"/>
      <c r="BA75" s="1574"/>
      <c r="BB75" s="1574"/>
      <c r="BC75" s="1574"/>
      <c r="BD75" s="1574"/>
      <c r="BE75" s="1574"/>
      <c r="BF75" s="1574"/>
      <c r="BG75" s="1574"/>
      <c r="BH75" s="1574"/>
      <c r="BI75" s="1574"/>
      <c r="BJ75" s="1574"/>
      <c r="BK75" s="1574"/>
      <c r="BL75" s="1574"/>
    </row>
    <row r="76" spans="1:64" ht="15.75" customHeight="1" x14ac:dyDescent="0.25">
      <c r="A76" s="19">
        <v>1</v>
      </c>
      <c r="B76" s="55" t="s">
        <v>100</v>
      </c>
      <c r="C76" s="745">
        <v>1980</v>
      </c>
      <c r="D76" s="745">
        <v>3</v>
      </c>
      <c r="E76" s="745">
        <v>24</v>
      </c>
      <c r="F76" s="349">
        <v>59</v>
      </c>
      <c r="G76" s="741">
        <v>1440.6</v>
      </c>
      <c r="H76" s="741"/>
      <c r="I76" s="741"/>
      <c r="J76" s="741"/>
      <c r="K76" s="741"/>
      <c r="L76" s="913">
        <v>17304.3</v>
      </c>
      <c r="M76" s="1441">
        <v>17054.05</v>
      </c>
      <c r="N76" s="913">
        <f>J76+L76</f>
        <v>17304.3</v>
      </c>
      <c r="O76" s="1441">
        <f>K76+M76</f>
        <v>17054.05</v>
      </c>
      <c r="P76" s="1896"/>
      <c r="Q76" s="1896"/>
      <c r="R76" s="1896"/>
      <c r="S76" s="1896"/>
      <c r="T76" s="1816">
        <f>U76+V76</f>
        <v>3252.5989063458387</v>
      </c>
      <c r="U76" s="1816">
        <f>2500/13841.67*G76</f>
        <v>260.19259236782847</v>
      </c>
      <c r="V76" s="1816">
        <f>28751.84/13841.67*G76</f>
        <v>2992.4063139780101</v>
      </c>
      <c r="W76" s="1816">
        <f>N76-T76</f>
        <v>14051.701093654161</v>
      </c>
      <c r="X76" s="1816">
        <f>O76/N76*100</f>
        <v>98.553827661332733</v>
      </c>
      <c r="Y76" s="1816">
        <f>N76-O76</f>
        <v>250.25</v>
      </c>
      <c r="Z76" s="1816">
        <v>1</v>
      </c>
      <c r="AA76" s="1574"/>
      <c r="AB76" s="1574"/>
      <c r="AC76" s="1574"/>
      <c r="AD76" s="1574"/>
      <c r="AE76" s="1574"/>
      <c r="AF76" s="1574"/>
      <c r="AG76" s="1574"/>
      <c r="AH76" s="1574"/>
      <c r="AI76" s="1574"/>
      <c r="AJ76" s="1574"/>
      <c r="AK76" s="1574"/>
      <c r="AL76" s="1574"/>
      <c r="AM76" s="1574"/>
      <c r="AN76" s="1574"/>
      <c r="AO76" s="1574"/>
      <c r="AP76" s="1574"/>
      <c r="AQ76" s="1574"/>
      <c r="AR76" s="1574"/>
      <c r="AS76" s="1574"/>
      <c r="AT76" s="1574"/>
      <c r="AU76" s="1574"/>
      <c r="AV76" s="1574"/>
      <c r="AW76" s="1574"/>
      <c r="AX76" s="1574"/>
      <c r="AY76" s="1574"/>
      <c r="AZ76" s="1574"/>
      <c r="BA76" s="1574"/>
      <c r="BB76" s="1574"/>
      <c r="BC76" s="1574"/>
      <c r="BD76" s="1574"/>
      <c r="BE76" s="1574"/>
      <c r="BF76" s="1574"/>
      <c r="BG76" s="1574"/>
      <c r="BH76" s="1574"/>
      <c r="BI76" s="1574"/>
      <c r="BJ76" s="1574"/>
      <c r="BK76" s="1574"/>
      <c r="BL76" s="1574"/>
    </row>
    <row r="77" spans="1:64" ht="15.75" customHeight="1" x14ac:dyDescent="0.25">
      <c r="A77" s="19">
        <v>2</v>
      </c>
      <c r="B77" s="55" t="s">
        <v>101</v>
      </c>
      <c r="C77" s="745">
        <v>1978</v>
      </c>
      <c r="D77" s="745">
        <v>3</v>
      </c>
      <c r="E77" s="745">
        <v>24</v>
      </c>
      <c r="F77" s="708">
        <v>71</v>
      </c>
      <c r="G77" s="741">
        <v>1449.9</v>
      </c>
      <c r="H77" s="741"/>
      <c r="I77" s="741"/>
      <c r="J77" s="741">
        <v>1279.3</v>
      </c>
      <c r="K77" s="741">
        <v>1279.3</v>
      </c>
      <c r="L77" s="913">
        <v>16119.5</v>
      </c>
      <c r="M77" s="1441">
        <v>14046.92</v>
      </c>
      <c r="N77" s="913">
        <f t="shared" ref="N77:N88" si="50">J77+L77</f>
        <v>17398.8</v>
      </c>
      <c r="O77" s="1441">
        <f t="shared" ref="O77:O88" si="51">K77+M77</f>
        <v>15326.22</v>
      </c>
      <c r="P77" s="1896"/>
      <c r="Q77" s="1896"/>
      <c r="R77" s="1896"/>
      <c r="S77" s="1896"/>
      <c r="T77" s="1816">
        <f t="shared" ref="T77:T88" si="52">U77+V77</f>
        <v>3273.5965252747687</v>
      </c>
      <c r="U77" s="1816">
        <f t="shared" ref="U77:U88" si="53">2500/13841.67*G77</f>
        <v>261.87230298078197</v>
      </c>
      <c r="V77" s="1816">
        <f t="shared" ref="V77:V88" si="54">28751.84/13841.67*G77</f>
        <v>3011.7242222939867</v>
      </c>
      <c r="W77" s="1816">
        <f t="shared" ref="W77:W88" si="55">N77-T77</f>
        <v>14125.203474725231</v>
      </c>
      <c r="X77" s="1816">
        <f t="shared" ref="X77:X88" si="56">O77/N77*100</f>
        <v>88.08779915856266</v>
      </c>
      <c r="Y77" s="1816">
        <f t="shared" ref="Y77:Y88" si="57">N77-O77</f>
        <v>2072.58</v>
      </c>
      <c r="Z77" s="1816">
        <v>1</v>
      </c>
      <c r="AA77" s="1574"/>
      <c r="AB77" s="1574"/>
      <c r="AC77" s="1574"/>
      <c r="AD77" s="1574"/>
      <c r="AE77" s="1574"/>
      <c r="AF77" s="1574"/>
      <c r="AG77" s="1574"/>
      <c r="AH77" s="1574"/>
      <c r="AI77" s="1574"/>
      <c r="AJ77" s="1574"/>
      <c r="AK77" s="1574"/>
      <c r="AL77" s="1574"/>
      <c r="AM77" s="1574"/>
      <c r="AN77" s="1574"/>
      <c r="AO77" s="1574"/>
      <c r="AP77" s="1574"/>
      <c r="AQ77" s="1574"/>
      <c r="AR77" s="1574"/>
      <c r="AS77" s="1574"/>
      <c r="AT77" s="1574"/>
      <c r="AU77" s="1574"/>
      <c r="AV77" s="1574"/>
      <c r="AW77" s="1574"/>
      <c r="AX77" s="1574"/>
      <c r="AY77" s="1574"/>
      <c r="AZ77" s="1574"/>
      <c r="BA77" s="1574"/>
      <c r="BB77" s="1574"/>
      <c r="BC77" s="1574"/>
      <c r="BD77" s="1574"/>
      <c r="BE77" s="1574"/>
      <c r="BF77" s="1574"/>
      <c r="BG77" s="1574"/>
      <c r="BH77" s="1574"/>
      <c r="BI77" s="1574"/>
      <c r="BJ77" s="1574"/>
      <c r="BK77" s="1574"/>
      <c r="BL77" s="1574"/>
    </row>
    <row r="78" spans="1:64" ht="15.75" customHeight="1" x14ac:dyDescent="0.25">
      <c r="A78" s="19">
        <v>3</v>
      </c>
      <c r="B78" s="55" t="s">
        <v>102</v>
      </c>
      <c r="C78" s="745">
        <v>1979</v>
      </c>
      <c r="D78" s="745">
        <v>3</v>
      </c>
      <c r="E78" s="745">
        <v>24</v>
      </c>
      <c r="F78" s="349">
        <v>79</v>
      </c>
      <c r="G78" s="741">
        <v>1460.41</v>
      </c>
      <c r="H78" s="741"/>
      <c r="I78" s="741"/>
      <c r="J78" s="741">
        <v>213.18</v>
      </c>
      <c r="K78" s="741">
        <v>213.18</v>
      </c>
      <c r="L78" s="913">
        <v>17310.54</v>
      </c>
      <c r="M78" s="1441">
        <v>17838.91</v>
      </c>
      <c r="N78" s="913">
        <f t="shared" si="50"/>
        <v>17523.72</v>
      </c>
      <c r="O78" s="1441">
        <f t="shared" si="51"/>
        <v>18052.09</v>
      </c>
      <c r="P78" s="1896"/>
      <c r="Q78" s="1896"/>
      <c r="R78" s="1896"/>
      <c r="S78" s="1896"/>
      <c r="T78" s="1816">
        <f t="shared" si="52"/>
        <v>3297.3260924729466</v>
      </c>
      <c r="U78" s="1816">
        <f t="shared" si="53"/>
        <v>263.77055658746383</v>
      </c>
      <c r="V78" s="1816">
        <f t="shared" si="54"/>
        <v>3033.5555358854826</v>
      </c>
      <c r="W78" s="1816">
        <f t="shared" si="55"/>
        <v>14226.393907527054</v>
      </c>
      <c r="X78" s="1816">
        <f t="shared" si="56"/>
        <v>103.01517029489172</v>
      </c>
      <c r="Y78" s="1816">
        <f t="shared" si="57"/>
        <v>-528.36999999999898</v>
      </c>
      <c r="Z78" s="1816">
        <v>1</v>
      </c>
      <c r="AA78" s="1574"/>
      <c r="AB78" s="1574"/>
      <c r="AC78" s="1574"/>
      <c r="AD78" s="1574"/>
      <c r="AE78" s="1574"/>
      <c r="AF78" s="1574"/>
      <c r="AG78" s="1574"/>
      <c r="AH78" s="1574"/>
      <c r="AI78" s="1574"/>
      <c r="AJ78" s="1574"/>
      <c r="AK78" s="1574"/>
      <c r="AL78" s="1574"/>
      <c r="AM78" s="1574"/>
      <c r="AN78" s="1574"/>
      <c r="AO78" s="1574"/>
      <c r="AP78" s="1574"/>
      <c r="AQ78" s="1574"/>
      <c r="AR78" s="1574"/>
      <c r="AS78" s="1574"/>
      <c r="AT78" s="1574"/>
      <c r="AU78" s="1574"/>
      <c r="AV78" s="1574"/>
      <c r="AW78" s="1574"/>
      <c r="AX78" s="1574"/>
      <c r="AY78" s="1574"/>
      <c r="AZ78" s="1574"/>
      <c r="BA78" s="1574"/>
      <c r="BB78" s="1574"/>
      <c r="BC78" s="1574"/>
      <c r="BD78" s="1574"/>
      <c r="BE78" s="1574"/>
      <c r="BF78" s="1574"/>
      <c r="BG78" s="1574"/>
      <c r="BH78" s="1574"/>
      <c r="BI78" s="1574"/>
      <c r="BJ78" s="1574"/>
      <c r="BK78" s="1574"/>
      <c r="BL78" s="1574"/>
    </row>
    <row r="79" spans="1:64" ht="15.75" customHeight="1" x14ac:dyDescent="0.25">
      <c r="A79" s="19">
        <v>4</v>
      </c>
      <c r="B79" s="55" t="s">
        <v>103</v>
      </c>
      <c r="C79" s="745">
        <v>1986</v>
      </c>
      <c r="D79" s="745">
        <v>3</v>
      </c>
      <c r="E79" s="745">
        <v>24</v>
      </c>
      <c r="F79" s="746">
        <v>63</v>
      </c>
      <c r="G79" s="741">
        <v>1454.3</v>
      </c>
      <c r="H79" s="741"/>
      <c r="I79" s="741"/>
      <c r="J79" s="741">
        <v>514.16999999999996</v>
      </c>
      <c r="K79" s="741">
        <v>514.16999999999996</v>
      </c>
      <c r="L79" s="913">
        <v>16937.43</v>
      </c>
      <c r="M79" s="1441">
        <v>16196.16</v>
      </c>
      <c r="N79" s="913">
        <f t="shared" si="50"/>
        <v>17451.599999999999</v>
      </c>
      <c r="O79" s="1441">
        <f t="shared" si="51"/>
        <v>16710.329999999998</v>
      </c>
      <c r="P79" s="1896"/>
      <c r="Q79" s="1896"/>
      <c r="R79" s="1896"/>
      <c r="S79" s="1896"/>
      <c r="T79" s="1816">
        <f t="shared" si="52"/>
        <v>3283.5308826174878</v>
      </c>
      <c r="U79" s="1816">
        <f t="shared" si="53"/>
        <v>262.6670047761578</v>
      </c>
      <c r="V79" s="1816">
        <f t="shared" si="54"/>
        <v>3020.8638778413301</v>
      </c>
      <c r="W79" s="1816">
        <f t="shared" si="55"/>
        <v>14168.069117382511</v>
      </c>
      <c r="X79" s="1816">
        <f t="shared" si="56"/>
        <v>95.752423846524096</v>
      </c>
      <c r="Y79" s="1816">
        <f t="shared" si="57"/>
        <v>741.27000000000044</v>
      </c>
      <c r="Z79" s="1816">
        <v>1</v>
      </c>
      <c r="AA79" s="1574"/>
      <c r="AB79" s="1574"/>
      <c r="AC79" s="1574"/>
      <c r="AD79" s="1574"/>
      <c r="AE79" s="1574"/>
      <c r="AF79" s="1574"/>
      <c r="AG79" s="1574"/>
      <c r="AH79" s="1574"/>
      <c r="AI79" s="1574"/>
      <c r="AJ79" s="1574"/>
      <c r="AK79" s="1574"/>
      <c r="AL79" s="1574"/>
      <c r="AM79" s="1574"/>
      <c r="AN79" s="1574"/>
      <c r="AO79" s="1574"/>
      <c r="AP79" s="1574"/>
      <c r="AQ79" s="1574"/>
      <c r="AR79" s="1574"/>
      <c r="AS79" s="1574"/>
      <c r="AT79" s="1574"/>
      <c r="AU79" s="1574"/>
      <c r="AV79" s="1574"/>
      <c r="AW79" s="1574"/>
      <c r="AX79" s="1574"/>
      <c r="AY79" s="1574"/>
      <c r="AZ79" s="1574"/>
      <c r="BA79" s="1574"/>
      <c r="BB79" s="1574"/>
      <c r="BC79" s="1574"/>
      <c r="BD79" s="1574"/>
      <c r="BE79" s="1574"/>
      <c r="BF79" s="1574"/>
      <c r="BG79" s="1574"/>
      <c r="BH79" s="1574"/>
      <c r="BI79" s="1574"/>
      <c r="BJ79" s="1574"/>
      <c r="BK79" s="1574"/>
      <c r="BL79" s="1574"/>
    </row>
    <row r="80" spans="1:64" ht="15.75" customHeight="1" x14ac:dyDescent="0.25">
      <c r="A80" s="19">
        <v>5</v>
      </c>
      <c r="B80" s="55" t="s">
        <v>104</v>
      </c>
      <c r="C80" s="745">
        <v>1985</v>
      </c>
      <c r="D80" s="745">
        <v>3</v>
      </c>
      <c r="E80" s="745">
        <v>24</v>
      </c>
      <c r="F80" s="708">
        <v>88</v>
      </c>
      <c r="G80" s="741">
        <v>1464.7</v>
      </c>
      <c r="H80" s="741"/>
      <c r="I80" s="741"/>
      <c r="J80" s="741">
        <v>948.38</v>
      </c>
      <c r="K80" s="741">
        <v>948.38</v>
      </c>
      <c r="L80" s="913">
        <v>16623.22</v>
      </c>
      <c r="M80" s="1441">
        <v>17378.5</v>
      </c>
      <c r="N80" s="913">
        <f t="shared" si="50"/>
        <v>17571.600000000002</v>
      </c>
      <c r="O80" s="1441">
        <f t="shared" si="51"/>
        <v>18326.88</v>
      </c>
      <c r="P80" s="1896"/>
      <c r="Q80" s="1896"/>
      <c r="R80" s="1896"/>
      <c r="S80" s="1896"/>
      <c r="T80" s="1816">
        <f t="shared" si="52"/>
        <v>3307.0120908820977</v>
      </c>
      <c r="U80" s="1816">
        <f t="shared" si="53"/>
        <v>264.54539083795527</v>
      </c>
      <c r="V80" s="1816">
        <f t="shared" si="54"/>
        <v>3042.4667000441423</v>
      </c>
      <c r="W80" s="1816">
        <f t="shared" si="55"/>
        <v>14264.587909117905</v>
      </c>
      <c r="X80" s="1816">
        <f t="shared" si="56"/>
        <v>104.29829952878509</v>
      </c>
      <c r="Y80" s="1816">
        <f t="shared" si="57"/>
        <v>-755.27999999999884</v>
      </c>
      <c r="Z80" s="1816">
        <v>1</v>
      </c>
      <c r="AA80" s="1574"/>
      <c r="AB80" s="1574"/>
      <c r="AC80" s="1574"/>
      <c r="AD80" s="1574"/>
      <c r="AE80" s="1574"/>
      <c r="AF80" s="1574"/>
      <c r="AG80" s="1574"/>
      <c r="AH80" s="1574"/>
      <c r="AI80" s="1574"/>
      <c r="AJ80" s="1574"/>
      <c r="AK80" s="1574"/>
      <c r="AL80" s="1574"/>
      <c r="AM80" s="1574"/>
      <c r="AN80" s="1574"/>
      <c r="AO80" s="1574"/>
      <c r="AP80" s="1574"/>
      <c r="AQ80" s="1574"/>
      <c r="AR80" s="1574"/>
      <c r="AS80" s="1574"/>
      <c r="AT80" s="1574"/>
      <c r="AU80" s="1574"/>
      <c r="AV80" s="1574"/>
      <c r="AW80" s="1574"/>
      <c r="AX80" s="1574"/>
      <c r="AY80" s="1574"/>
      <c r="AZ80" s="1574"/>
      <c r="BA80" s="1574"/>
      <c r="BB80" s="1574"/>
      <c r="BC80" s="1574"/>
      <c r="BD80" s="1574"/>
      <c r="BE80" s="1574"/>
      <c r="BF80" s="1574"/>
      <c r="BG80" s="1574"/>
      <c r="BH80" s="1574"/>
      <c r="BI80" s="1574"/>
      <c r="BJ80" s="1574"/>
      <c r="BK80" s="1574"/>
      <c r="BL80" s="1574"/>
    </row>
    <row r="81" spans="1:64" ht="15.75" customHeight="1" x14ac:dyDescent="0.25">
      <c r="A81" s="251">
        <v>6</v>
      </c>
      <c r="B81" s="55" t="s">
        <v>105</v>
      </c>
      <c r="C81" s="745">
        <v>1976</v>
      </c>
      <c r="D81" s="745">
        <v>2</v>
      </c>
      <c r="E81" s="745">
        <v>18</v>
      </c>
      <c r="F81" s="708">
        <v>35</v>
      </c>
      <c r="G81" s="741">
        <v>766.9</v>
      </c>
      <c r="H81" s="798"/>
      <c r="I81" s="798"/>
      <c r="J81" s="798">
        <v>389.87</v>
      </c>
      <c r="K81" s="798">
        <v>389.87</v>
      </c>
      <c r="L81" s="1678">
        <v>8046.03</v>
      </c>
      <c r="M81" s="1441">
        <v>8284.43</v>
      </c>
      <c r="N81" s="913">
        <f t="shared" si="50"/>
        <v>8435.9</v>
      </c>
      <c r="O81" s="1441">
        <f t="shared" si="51"/>
        <v>8674.3000000000011</v>
      </c>
      <c r="P81" s="1896"/>
      <c r="Q81" s="1896"/>
      <c r="R81" s="1896"/>
      <c r="S81" s="1896"/>
      <c r="T81" s="1816">
        <f t="shared" si="52"/>
        <v>1731.5133286662667</v>
      </c>
      <c r="U81" s="1816">
        <f t="shared" si="53"/>
        <v>138.51291065312205</v>
      </c>
      <c r="V81" s="1816">
        <f t="shared" si="54"/>
        <v>1593.0004180131446</v>
      </c>
      <c r="W81" s="1816">
        <f t="shared" si="55"/>
        <v>6704.3866713337329</v>
      </c>
      <c r="X81" s="1816">
        <f t="shared" si="56"/>
        <v>102.82601737811024</v>
      </c>
      <c r="Y81" s="1816">
        <f t="shared" si="57"/>
        <v>-238.40000000000146</v>
      </c>
      <c r="Z81" s="1816">
        <v>1</v>
      </c>
      <c r="AA81" s="1574"/>
      <c r="AB81" s="1574"/>
      <c r="AC81" s="1574"/>
      <c r="AD81" s="1574"/>
      <c r="AE81" s="1574"/>
      <c r="AF81" s="1574"/>
      <c r="AG81" s="1574"/>
      <c r="AH81" s="1574"/>
      <c r="AI81" s="1574"/>
      <c r="AJ81" s="1574"/>
      <c r="AK81" s="1574"/>
      <c r="AL81" s="1574"/>
      <c r="AM81" s="1574"/>
      <c r="AN81" s="1574"/>
      <c r="AO81" s="1574"/>
      <c r="AP81" s="1574"/>
      <c r="AQ81" s="1574"/>
      <c r="AR81" s="1574"/>
      <c r="AS81" s="1574"/>
      <c r="AT81" s="1574"/>
      <c r="AU81" s="1574"/>
      <c r="AV81" s="1574"/>
      <c r="AW81" s="1574"/>
      <c r="AX81" s="1574"/>
      <c r="AY81" s="1574"/>
      <c r="AZ81" s="1574"/>
      <c r="BA81" s="1574"/>
      <c r="BB81" s="1574"/>
      <c r="BC81" s="1574"/>
      <c r="BD81" s="1574"/>
      <c r="BE81" s="1574"/>
      <c r="BF81" s="1574"/>
      <c r="BG81" s="1574"/>
      <c r="BH81" s="1574"/>
      <c r="BI81" s="1574"/>
      <c r="BJ81" s="1574"/>
      <c r="BK81" s="1574"/>
      <c r="BL81" s="1574"/>
    </row>
    <row r="82" spans="1:64" ht="15.75" customHeight="1" x14ac:dyDescent="0.25">
      <c r="A82" s="251">
        <v>7</v>
      </c>
      <c r="B82" s="55" t="s">
        <v>106</v>
      </c>
      <c r="C82" s="745">
        <v>1975</v>
      </c>
      <c r="D82" s="745">
        <v>2</v>
      </c>
      <c r="E82" s="745">
        <v>18</v>
      </c>
      <c r="F82" s="661">
        <v>49</v>
      </c>
      <c r="G82" s="741">
        <v>778.78</v>
      </c>
      <c r="H82" s="798"/>
      <c r="I82" s="798"/>
      <c r="J82" s="798">
        <v>352</v>
      </c>
      <c r="K82" s="798">
        <v>352</v>
      </c>
      <c r="L82" s="1678">
        <v>8892.56</v>
      </c>
      <c r="M82" s="1441">
        <v>9161.34</v>
      </c>
      <c r="N82" s="913">
        <f t="shared" si="50"/>
        <v>9244.56</v>
      </c>
      <c r="O82" s="1441">
        <f t="shared" si="51"/>
        <v>9513.34</v>
      </c>
      <c r="P82" s="1896"/>
      <c r="Q82" s="1896"/>
      <c r="R82" s="1896"/>
      <c r="S82" s="1896"/>
      <c r="T82" s="1816">
        <f t="shared" si="52"/>
        <v>1758.3360934916091</v>
      </c>
      <c r="U82" s="1816">
        <f t="shared" si="53"/>
        <v>140.65860550063684</v>
      </c>
      <c r="V82" s="1816">
        <f t="shared" si="54"/>
        <v>1617.6774879909722</v>
      </c>
      <c r="W82" s="1816">
        <f t="shared" si="55"/>
        <v>7486.2239065083904</v>
      </c>
      <c r="X82" s="1816">
        <f t="shared" si="56"/>
        <v>102.90743961854322</v>
      </c>
      <c r="Y82" s="1816">
        <f t="shared" si="57"/>
        <v>-268.78000000000065</v>
      </c>
      <c r="Z82" s="1816">
        <v>1</v>
      </c>
      <c r="AA82" s="1574"/>
      <c r="AB82" s="1574"/>
      <c r="AC82" s="1574"/>
      <c r="AD82" s="1574"/>
      <c r="AE82" s="1574"/>
      <c r="AF82" s="1574"/>
      <c r="AG82" s="1574"/>
      <c r="AH82" s="1574"/>
      <c r="AI82" s="1574"/>
      <c r="AJ82" s="1574"/>
      <c r="AK82" s="1574"/>
      <c r="AL82" s="1574"/>
      <c r="AM82" s="1574"/>
      <c r="AN82" s="1574"/>
      <c r="AO82" s="1574"/>
      <c r="AP82" s="1574"/>
      <c r="AQ82" s="1574"/>
      <c r="AR82" s="1574"/>
      <c r="AS82" s="1574"/>
      <c r="AT82" s="1574"/>
      <c r="AU82" s="1574"/>
      <c r="AV82" s="1574"/>
      <c r="AW82" s="1574"/>
      <c r="AX82" s="1574"/>
      <c r="AY82" s="1574"/>
      <c r="AZ82" s="1574"/>
      <c r="BA82" s="1574"/>
      <c r="BB82" s="1574"/>
      <c r="BC82" s="1574"/>
      <c r="BD82" s="1574"/>
      <c r="BE82" s="1574"/>
      <c r="BF82" s="1574"/>
      <c r="BG82" s="1574"/>
      <c r="BH82" s="1574"/>
      <c r="BI82" s="1574"/>
      <c r="BJ82" s="1574"/>
      <c r="BK82" s="1574"/>
      <c r="BL82" s="1574"/>
    </row>
    <row r="83" spans="1:64" ht="15.75" customHeight="1" x14ac:dyDescent="0.25">
      <c r="A83" s="251">
        <v>8</v>
      </c>
      <c r="B83" s="252" t="s">
        <v>113</v>
      </c>
      <c r="C83" s="745">
        <v>1973</v>
      </c>
      <c r="D83" s="745">
        <v>2</v>
      </c>
      <c r="E83" s="745">
        <v>16</v>
      </c>
      <c r="F83" s="661">
        <v>32</v>
      </c>
      <c r="G83" s="741">
        <v>722.8</v>
      </c>
      <c r="H83" s="798"/>
      <c r="I83" s="798"/>
      <c r="J83" s="798">
        <v>531.54999999999995</v>
      </c>
      <c r="K83" s="798">
        <v>531.54999999999995</v>
      </c>
      <c r="L83" s="1678">
        <v>8142.65</v>
      </c>
      <c r="M83" s="1441">
        <v>8202.58</v>
      </c>
      <c r="N83" s="913">
        <f t="shared" si="50"/>
        <v>8674.1999999999989</v>
      </c>
      <c r="O83" s="1441">
        <f t="shared" si="51"/>
        <v>8734.1299999999992</v>
      </c>
      <c r="P83" s="1896"/>
      <c r="Q83" s="1896"/>
      <c r="R83" s="1896"/>
      <c r="S83" s="1896"/>
      <c r="T83" s="1816">
        <f t="shared" si="52"/>
        <v>1631.9439743903736</v>
      </c>
      <c r="U83" s="1816">
        <f t="shared" si="53"/>
        <v>130.54783129492321</v>
      </c>
      <c r="V83" s="1816">
        <f t="shared" si="54"/>
        <v>1501.3961430954503</v>
      </c>
      <c r="W83" s="1816">
        <f t="shared" si="55"/>
        <v>7042.2560256096258</v>
      </c>
      <c r="X83" s="1816">
        <f t="shared" si="56"/>
        <v>100.69089944894054</v>
      </c>
      <c r="Y83" s="1816">
        <f t="shared" si="57"/>
        <v>-59.930000000000291</v>
      </c>
      <c r="Z83" s="1816">
        <v>1</v>
      </c>
      <c r="AA83" s="1574"/>
      <c r="AB83" s="1574"/>
      <c r="AC83" s="1574"/>
      <c r="AD83" s="1574"/>
      <c r="AE83" s="1574"/>
      <c r="AF83" s="1574"/>
      <c r="AG83" s="1574"/>
      <c r="AH83" s="1574"/>
      <c r="AI83" s="1574"/>
      <c r="AJ83" s="1574"/>
      <c r="AK83" s="1574"/>
      <c r="AL83" s="1574"/>
      <c r="AM83" s="1574"/>
      <c r="AN83" s="1574"/>
      <c r="AO83" s="1574"/>
      <c r="AP83" s="1574"/>
      <c r="AQ83" s="1574"/>
      <c r="AR83" s="1574"/>
      <c r="AS83" s="1574"/>
      <c r="AT83" s="1574"/>
      <c r="AU83" s="1574"/>
      <c r="AV83" s="1574"/>
      <c r="AW83" s="1574"/>
      <c r="AX83" s="1574"/>
      <c r="AY83" s="1574"/>
      <c r="AZ83" s="1574"/>
      <c r="BA83" s="1574"/>
      <c r="BB83" s="1574"/>
      <c r="BC83" s="1574"/>
      <c r="BD83" s="1574"/>
      <c r="BE83" s="1574"/>
      <c r="BF83" s="1574"/>
      <c r="BG83" s="1574"/>
      <c r="BH83" s="1574"/>
      <c r="BI83" s="1574"/>
      <c r="BJ83" s="1574"/>
      <c r="BK83" s="1574"/>
      <c r="BL83" s="1574"/>
    </row>
    <row r="84" spans="1:64" ht="15.75" customHeight="1" x14ac:dyDescent="0.25">
      <c r="A84" s="251">
        <v>9</v>
      </c>
      <c r="B84" s="252" t="s">
        <v>114</v>
      </c>
      <c r="C84" s="745">
        <v>1973</v>
      </c>
      <c r="D84" s="745">
        <v>2</v>
      </c>
      <c r="E84" s="745">
        <v>16</v>
      </c>
      <c r="F84" s="661">
        <v>46</v>
      </c>
      <c r="G84" s="741">
        <v>714.4</v>
      </c>
      <c r="H84" s="798"/>
      <c r="I84" s="798"/>
      <c r="J84" s="798">
        <v>539.53</v>
      </c>
      <c r="K84" s="798">
        <v>539.53</v>
      </c>
      <c r="L84" s="1678">
        <v>8032.07</v>
      </c>
      <c r="M84" s="1441">
        <v>8941.76</v>
      </c>
      <c r="N84" s="913">
        <f t="shared" si="50"/>
        <v>8571.6</v>
      </c>
      <c r="O84" s="1441">
        <f t="shared" si="51"/>
        <v>9481.2900000000009</v>
      </c>
      <c r="P84" s="1896"/>
      <c r="Q84" s="1896"/>
      <c r="R84" s="1896"/>
      <c r="S84" s="1896"/>
      <c r="T84" s="1816">
        <f t="shared" si="52"/>
        <v>1612.9783830997271</v>
      </c>
      <c r="U84" s="1816">
        <f t="shared" si="53"/>
        <v>129.03067332193297</v>
      </c>
      <c r="V84" s="1816">
        <f t="shared" si="54"/>
        <v>1483.9477097777942</v>
      </c>
      <c r="W84" s="1816">
        <f t="shared" si="55"/>
        <v>6958.6216169002728</v>
      </c>
      <c r="X84" s="1816">
        <f t="shared" si="56"/>
        <v>110.61283774324515</v>
      </c>
      <c r="Y84" s="1816">
        <f t="shared" si="57"/>
        <v>-909.69000000000051</v>
      </c>
      <c r="Z84" s="1816">
        <v>1</v>
      </c>
      <c r="AA84" s="1574"/>
      <c r="AB84" s="1574"/>
      <c r="AC84" s="1574"/>
      <c r="AD84" s="1574"/>
      <c r="AE84" s="1574"/>
      <c r="AF84" s="1574"/>
      <c r="AG84" s="1574"/>
      <c r="AH84" s="1574"/>
      <c r="AI84" s="1574"/>
      <c r="AJ84" s="1574"/>
      <c r="AK84" s="1574"/>
      <c r="AL84" s="1574"/>
      <c r="AM84" s="1574"/>
      <c r="AN84" s="1574"/>
      <c r="AO84" s="1574"/>
      <c r="AP84" s="1574"/>
      <c r="AQ84" s="1574"/>
      <c r="AR84" s="1574"/>
      <c r="AS84" s="1574"/>
      <c r="AT84" s="1574"/>
      <c r="AU84" s="1574"/>
      <c r="AV84" s="1574"/>
      <c r="AW84" s="1574"/>
      <c r="AX84" s="1574"/>
      <c r="AY84" s="1574"/>
      <c r="AZ84" s="1574"/>
      <c r="BA84" s="1574"/>
      <c r="BB84" s="1574"/>
      <c r="BC84" s="1574"/>
      <c r="BD84" s="1574"/>
      <c r="BE84" s="1574"/>
      <c r="BF84" s="1574"/>
      <c r="BG84" s="1574"/>
      <c r="BH84" s="1574"/>
      <c r="BI84" s="1574"/>
      <c r="BJ84" s="1574"/>
      <c r="BK84" s="1574"/>
      <c r="BL84" s="1574"/>
    </row>
    <row r="85" spans="1:64" ht="15.75" customHeight="1" x14ac:dyDescent="0.25">
      <c r="A85" s="251">
        <v>10</v>
      </c>
      <c r="B85" s="252" t="s">
        <v>123</v>
      </c>
      <c r="C85" s="745">
        <v>1990</v>
      </c>
      <c r="D85" s="745">
        <v>3</v>
      </c>
      <c r="E85" s="745">
        <v>24</v>
      </c>
      <c r="F85" s="661">
        <v>61</v>
      </c>
      <c r="G85" s="741">
        <v>1444.1</v>
      </c>
      <c r="H85" s="798"/>
      <c r="I85" s="798"/>
      <c r="J85" s="798">
        <v>615.39</v>
      </c>
      <c r="K85" s="798">
        <v>615.39</v>
      </c>
      <c r="L85" s="1678">
        <v>16705.009999999998</v>
      </c>
      <c r="M85" s="1441">
        <v>16416.46</v>
      </c>
      <c r="N85" s="913">
        <f t="shared" si="50"/>
        <v>17320.399999999998</v>
      </c>
      <c r="O85" s="1441">
        <f t="shared" si="51"/>
        <v>17031.849999999999</v>
      </c>
      <c r="P85" s="1896"/>
      <c r="Q85" s="1896"/>
      <c r="R85" s="1896"/>
      <c r="S85" s="1896"/>
      <c r="T85" s="1816">
        <f t="shared" si="52"/>
        <v>3260.5012360502742</v>
      </c>
      <c r="U85" s="1816">
        <f t="shared" si="53"/>
        <v>260.82474152324107</v>
      </c>
      <c r="V85" s="1816">
        <f t="shared" si="54"/>
        <v>2999.6764945270334</v>
      </c>
      <c r="W85" s="1816">
        <f t="shared" si="55"/>
        <v>14059.898763949725</v>
      </c>
      <c r="X85" s="1816">
        <f t="shared" si="56"/>
        <v>98.334045403108476</v>
      </c>
      <c r="Y85" s="1816">
        <f t="shared" si="57"/>
        <v>288.54999999999927</v>
      </c>
      <c r="Z85" s="1816">
        <v>1</v>
      </c>
      <c r="AA85" s="1574"/>
      <c r="AB85" s="1574"/>
      <c r="AC85" s="1574"/>
      <c r="AD85" s="1574"/>
      <c r="AE85" s="1574"/>
      <c r="AF85" s="1574"/>
      <c r="AG85" s="1574"/>
      <c r="AH85" s="1574"/>
      <c r="AI85" s="1574"/>
      <c r="AJ85" s="1574"/>
      <c r="AK85" s="1574"/>
      <c r="AL85" s="1574"/>
      <c r="AM85" s="1574"/>
      <c r="AN85" s="1574"/>
      <c r="AO85" s="1574"/>
      <c r="AP85" s="1574"/>
      <c r="AQ85" s="1574"/>
      <c r="AR85" s="1574"/>
      <c r="AS85" s="1574"/>
      <c r="AT85" s="1574"/>
      <c r="AU85" s="1574"/>
      <c r="AV85" s="1574"/>
      <c r="AW85" s="1574"/>
      <c r="AX85" s="1574"/>
      <c r="AY85" s="1574"/>
      <c r="AZ85" s="1574"/>
      <c r="BA85" s="1574"/>
      <c r="BB85" s="1574"/>
      <c r="BC85" s="1574"/>
      <c r="BD85" s="1574"/>
      <c r="BE85" s="1574"/>
      <c r="BF85" s="1574"/>
      <c r="BG85" s="1574"/>
      <c r="BH85" s="1574"/>
      <c r="BI85" s="1574"/>
      <c r="BJ85" s="1574"/>
      <c r="BK85" s="1574"/>
      <c r="BL85" s="1574"/>
    </row>
    <row r="86" spans="1:64" ht="15.75" customHeight="1" x14ac:dyDescent="0.25">
      <c r="A86" s="251">
        <v>11</v>
      </c>
      <c r="B86" s="252" t="s">
        <v>117</v>
      </c>
      <c r="C86" s="745">
        <v>1969</v>
      </c>
      <c r="D86" s="745">
        <v>2</v>
      </c>
      <c r="E86" s="745">
        <v>16</v>
      </c>
      <c r="F86" s="661">
        <v>37</v>
      </c>
      <c r="G86" s="741">
        <v>716.27</v>
      </c>
      <c r="H86" s="798"/>
      <c r="I86" s="798"/>
      <c r="J86" s="798">
        <v>149.5</v>
      </c>
      <c r="K86" s="798">
        <v>149.5</v>
      </c>
      <c r="L86" s="1678">
        <v>8445.75</v>
      </c>
      <c r="M86" s="1441">
        <v>7947.7</v>
      </c>
      <c r="N86" s="913">
        <f t="shared" si="50"/>
        <v>8595.25</v>
      </c>
      <c r="O86" s="1441">
        <f t="shared" si="51"/>
        <v>8097.2</v>
      </c>
      <c r="P86" s="1896"/>
      <c r="Q86" s="1896"/>
      <c r="R86" s="1896"/>
      <c r="S86" s="1896"/>
      <c r="T86" s="1816">
        <f t="shared" si="52"/>
        <v>1617.2004849703831</v>
      </c>
      <c r="U86" s="1816">
        <f t="shared" si="53"/>
        <v>129.36842158496771</v>
      </c>
      <c r="V86" s="1816">
        <f t="shared" si="54"/>
        <v>1487.8320633854153</v>
      </c>
      <c r="W86" s="1816">
        <f t="shared" si="55"/>
        <v>6978.0495150296174</v>
      </c>
      <c r="X86" s="1816">
        <f t="shared" si="56"/>
        <v>94.205520490968837</v>
      </c>
      <c r="Y86" s="1816">
        <f t="shared" si="57"/>
        <v>498.05000000000018</v>
      </c>
      <c r="Z86" s="1816">
        <v>1</v>
      </c>
      <c r="AA86" s="1574"/>
      <c r="AB86" s="1574"/>
      <c r="AC86" s="1574"/>
      <c r="AD86" s="1574"/>
      <c r="AE86" s="1574"/>
      <c r="AF86" s="1574"/>
      <c r="AG86" s="1574"/>
      <c r="AH86" s="1574"/>
      <c r="AI86" s="1574"/>
      <c r="AJ86" s="1574"/>
      <c r="AK86" s="1574"/>
      <c r="AL86" s="1574"/>
      <c r="AM86" s="1574"/>
      <c r="AN86" s="1574"/>
      <c r="AO86" s="1574"/>
      <c r="AP86" s="1574"/>
      <c r="AQ86" s="1574"/>
      <c r="AR86" s="1574"/>
      <c r="AS86" s="1574"/>
      <c r="AT86" s="1574"/>
      <c r="AU86" s="1574"/>
      <c r="AV86" s="1574"/>
      <c r="AW86" s="1574"/>
      <c r="AX86" s="1574"/>
      <c r="AY86" s="1574"/>
      <c r="AZ86" s="1574"/>
      <c r="BA86" s="1574"/>
      <c r="BB86" s="1574"/>
      <c r="BC86" s="1574"/>
      <c r="BD86" s="1574"/>
      <c r="BE86" s="1574"/>
      <c r="BF86" s="1574"/>
      <c r="BG86" s="1574"/>
      <c r="BH86" s="1574"/>
      <c r="BI86" s="1574"/>
      <c r="BJ86" s="1574"/>
      <c r="BK86" s="1574"/>
      <c r="BL86" s="1574"/>
    </row>
    <row r="87" spans="1:64" ht="15.75" customHeight="1" x14ac:dyDescent="0.25">
      <c r="A87" s="251">
        <v>12</v>
      </c>
      <c r="B87" s="252" t="s">
        <v>119</v>
      </c>
      <c r="C87" s="745">
        <v>1968</v>
      </c>
      <c r="D87" s="745">
        <v>2</v>
      </c>
      <c r="E87" s="745">
        <v>16</v>
      </c>
      <c r="F87" s="661">
        <v>54</v>
      </c>
      <c r="G87" s="741">
        <v>714.5</v>
      </c>
      <c r="H87" s="798"/>
      <c r="I87" s="798"/>
      <c r="J87" s="798">
        <v>839.2</v>
      </c>
      <c r="K87" s="798">
        <v>839.2</v>
      </c>
      <c r="L87" s="1678">
        <v>7734.8</v>
      </c>
      <c r="M87" s="1441">
        <v>7122.36</v>
      </c>
      <c r="N87" s="913">
        <f t="shared" si="50"/>
        <v>8574</v>
      </c>
      <c r="O87" s="1441">
        <f t="shared" si="51"/>
        <v>7961.5599999999995</v>
      </c>
      <c r="P87" s="1896"/>
      <c r="Q87" s="1896"/>
      <c r="R87" s="1896"/>
      <c r="S87" s="1896"/>
      <c r="T87" s="1816">
        <f t="shared" si="52"/>
        <v>1613.2041639484255</v>
      </c>
      <c r="U87" s="1816">
        <f t="shared" si="53"/>
        <v>129.04873472637334</v>
      </c>
      <c r="V87" s="1816">
        <f t="shared" si="54"/>
        <v>1484.1554292220521</v>
      </c>
      <c r="W87" s="1816">
        <f t="shared" si="55"/>
        <v>6960.795836051575</v>
      </c>
      <c r="X87" s="1816">
        <f t="shared" si="56"/>
        <v>92.857009563797519</v>
      </c>
      <c r="Y87" s="1816">
        <f t="shared" si="57"/>
        <v>612.44000000000051</v>
      </c>
      <c r="Z87" s="1816">
        <v>1</v>
      </c>
      <c r="AA87" s="1574"/>
      <c r="AB87" s="1574"/>
      <c r="AC87" s="1574"/>
      <c r="AD87" s="1574"/>
      <c r="AE87" s="1574"/>
      <c r="AF87" s="1574"/>
      <c r="AG87" s="1574"/>
      <c r="AH87" s="1574"/>
      <c r="AI87" s="1574"/>
      <c r="AJ87" s="1574"/>
      <c r="AK87" s="1574"/>
      <c r="AL87" s="1574"/>
      <c r="AM87" s="1574"/>
      <c r="AN87" s="1574"/>
      <c r="AO87" s="1574"/>
      <c r="AP87" s="1574"/>
      <c r="AQ87" s="1574"/>
      <c r="AR87" s="1574"/>
      <c r="AS87" s="1574"/>
      <c r="AT87" s="1574"/>
      <c r="AU87" s="1574"/>
      <c r="AV87" s="1574"/>
      <c r="AW87" s="1574"/>
      <c r="AX87" s="1574"/>
      <c r="AY87" s="1574"/>
      <c r="AZ87" s="1574"/>
      <c r="BA87" s="1574"/>
      <c r="BB87" s="1574"/>
      <c r="BC87" s="1574"/>
      <c r="BD87" s="1574"/>
      <c r="BE87" s="1574"/>
      <c r="BF87" s="1574"/>
      <c r="BG87" s="1574"/>
      <c r="BH87" s="1574"/>
      <c r="BI87" s="1574"/>
      <c r="BJ87" s="1574"/>
      <c r="BK87" s="1574"/>
      <c r="BL87" s="1574"/>
    </row>
    <row r="88" spans="1:64" ht="15.75" customHeight="1" x14ac:dyDescent="0.25">
      <c r="A88" s="251">
        <v>13</v>
      </c>
      <c r="B88" s="252" t="s">
        <v>121</v>
      </c>
      <c r="C88" s="745">
        <v>1970</v>
      </c>
      <c r="D88" s="745">
        <v>2</v>
      </c>
      <c r="E88" s="745">
        <v>16</v>
      </c>
      <c r="F88" s="661">
        <v>35</v>
      </c>
      <c r="G88" s="741">
        <v>714.01</v>
      </c>
      <c r="H88" s="798"/>
      <c r="I88" s="798"/>
      <c r="J88" s="798">
        <v>287.5</v>
      </c>
      <c r="K88" s="798">
        <v>287.5</v>
      </c>
      <c r="L88" s="1678">
        <v>8291.39</v>
      </c>
      <c r="M88" s="1441">
        <v>8229.73</v>
      </c>
      <c r="N88" s="913">
        <f t="shared" si="50"/>
        <v>8578.89</v>
      </c>
      <c r="O88" s="1441">
        <f t="shared" si="51"/>
        <v>8517.23</v>
      </c>
      <c r="P88" s="1896"/>
      <c r="Q88" s="1896"/>
      <c r="R88" s="1896"/>
      <c r="S88" s="1896"/>
      <c r="T88" s="1816">
        <f t="shared" si="52"/>
        <v>1612.0978377898045</v>
      </c>
      <c r="U88" s="1816">
        <f t="shared" si="53"/>
        <v>128.96023384461557</v>
      </c>
      <c r="V88" s="1816">
        <f t="shared" si="54"/>
        <v>1483.1376039451889</v>
      </c>
      <c r="W88" s="1816">
        <f t="shared" si="55"/>
        <v>6966.7921622101949</v>
      </c>
      <c r="X88" s="1816">
        <f t="shared" si="56"/>
        <v>99.281258997376113</v>
      </c>
      <c r="Y88" s="1816">
        <f t="shared" si="57"/>
        <v>61.659999999999854</v>
      </c>
      <c r="Z88" s="1816">
        <v>1</v>
      </c>
      <c r="AA88" s="1574"/>
      <c r="AB88" s="1574"/>
      <c r="AC88" s="1574"/>
      <c r="AD88" s="1574"/>
      <c r="AE88" s="1574"/>
      <c r="AF88" s="1574"/>
      <c r="AG88" s="1574"/>
      <c r="AH88" s="1574"/>
      <c r="AI88" s="1574"/>
      <c r="AJ88" s="1574"/>
      <c r="AK88" s="1574"/>
      <c r="AL88" s="1574"/>
      <c r="AM88" s="1574"/>
      <c r="AN88" s="1574"/>
      <c r="AO88" s="1574"/>
      <c r="AP88" s="1574"/>
      <c r="AQ88" s="1574"/>
      <c r="AR88" s="1574"/>
      <c r="AS88" s="1574"/>
      <c r="AT88" s="1574"/>
      <c r="AU88" s="1574"/>
      <c r="AV88" s="1574"/>
      <c r="AW88" s="1574"/>
      <c r="AX88" s="1574"/>
      <c r="AY88" s="1574"/>
      <c r="AZ88" s="1574"/>
      <c r="BA88" s="1574"/>
      <c r="BB88" s="1574"/>
      <c r="BC88" s="1574"/>
      <c r="BD88" s="1574"/>
      <c r="BE88" s="1574"/>
      <c r="BF88" s="1574"/>
      <c r="BG88" s="1574"/>
      <c r="BH88" s="1574"/>
      <c r="BI88" s="1574"/>
      <c r="BJ88" s="1574"/>
      <c r="BK88" s="1574"/>
      <c r="BL88" s="1574"/>
    </row>
    <row r="89" spans="1:64" ht="15.75" customHeight="1" x14ac:dyDescent="0.25">
      <c r="A89" s="19"/>
      <c r="B89" s="392" t="s">
        <v>23</v>
      </c>
      <c r="C89" s="745"/>
      <c r="D89" s="780"/>
      <c r="E89" s="781">
        <f t="shared" ref="E89:G89" si="58">SUM(E76:E88)</f>
        <v>260</v>
      </c>
      <c r="F89" s="781">
        <f t="shared" si="58"/>
        <v>709</v>
      </c>
      <c r="G89" s="810">
        <f t="shared" si="58"/>
        <v>13841.67</v>
      </c>
      <c r="H89" s="810"/>
      <c r="I89" s="810"/>
      <c r="J89" s="1898">
        <f>SUM(J77:J88)</f>
        <v>6659.57</v>
      </c>
      <c r="K89" s="1898">
        <f>SUM(K77:K88)</f>
        <v>6659.57</v>
      </c>
      <c r="L89" s="1898">
        <f>SUM(L76:L88)</f>
        <v>158585.25</v>
      </c>
      <c r="M89" s="1898">
        <f>SUM(M76:M88)</f>
        <v>156820.9</v>
      </c>
      <c r="N89" s="1674">
        <f>SUM(N76:N88)</f>
        <v>165244.82</v>
      </c>
      <c r="O89" s="1680">
        <f>SUM(O76:O88)</f>
        <v>163480.47000000003</v>
      </c>
      <c r="P89" s="1897"/>
      <c r="Q89" s="1897"/>
      <c r="R89" s="1897"/>
      <c r="S89" s="1897"/>
      <c r="T89" s="1680">
        <f t="shared" ref="T89:Y89" si="59">SUM(T76:T88)</f>
        <v>31251.840000000004</v>
      </c>
      <c r="U89" s="1680">
        <f t="shared" si="59"/>
        <v>2500.0000000000005</v>
      </c>
      <c r="V89" s="1680">
        <f t="shared" si="59"/>
        <v>28751.840000000004</v>
      </c>
      <c r="W89" s="1680">
        <f t="shared" si="59"/>
        <v>133992.97999999998</v>
      </c>
      <c r="X89" s="1818">
        <f>O89/N89*100</f>
        <v>98.932281205547028</v>
      </c>
      <c r="Y89" s="1680">
        <f t="shared" si="59"/>
        <v>1764.3499999999995</v>
      </c>
      <c r="Z89" s="1673"/>
      <c r="AA89" s="1574"/>
      <c r="AB89" s="1574"/>
      <c r="AC89" s="1574"/>
      <c r="AD89" s="1574"/>
      <c r="AE89" s="1574"/>
      <c r="AF89" s="1574"/>
      <c r="AG89" s="1574"/>
      <c r="AH89" s="1574"/>
      <c r="AI89" s="1574"/>
      <c r="AJ89" s="1574"/>
      <c r="AK89" s="1574"/>
      <c r="AL89" s="1574"/>
      <c r="AM89" s="1574"/>
      <c r="AN89" s="1574"/>
      <c r="AO89" s="1574"/>
      <c r="AP89" s="1574"/>
      <c r="AQ89" s="1574"/>
      <c r="AR89" s="1574"/>
      <c r="AS89" s="1574"/>
      <c r="AT89" s="1574"/>
      <c r="AU89" s="1574"/>
      <c r="AV89" s="1574"/>
      <c r="AW89" s="1574"/>
      <c r="AX89" s="1574"/>
      <c r="AY89" s="1574"/>
      <c r="AZ89" s="1574"/>
      <c r="BA89" s="1574"/>
      <c r="BB89" s="1574"/>
      <c r="BC89" s="1574"/>
      <c r="BD89" s="1574"/>
      <c r="BE89" s="1574"/>
      <c r="BF89" s="1574"/>
      <c r="BG89" s="1574"/>
      <c r="BH89" s="1574"/>
      <c r="BI89" s="1574"/>
      <c r="BJ89" s="1574"/>
      <c r="BK89" s="1574"/>
      <c r="BL89" s="1574"/>
    </row>
    <row r="90" spans="1:64" ht="15.75" customHeight="1" x14ac:dyDescent="0.25">
      <c r="O90" s="1574"/>
      <c r="P90" s="1574"/>
      <c r="Q90" s="1574"/>
      <c r="R90" s="1574"/>
      <c r="S90" s="1574"/>
      <c r="T90" s="1574"/>
      <c r="U90" s="1574"/>
      <c r="V90" s="1574"/>
      <c r="W90" s="1574"/>
      <c r="X90" s="1574"/>
      <c r="Y90" s="1574"/>
      <c r="Z90" s="1574"/>
      <c r="AA90" s="1574"/>
      <c r="AB90" s="1574"/>
      <c r="AC90" s="1574"/>
      <c r="AD90" s="1574"/>
      <c r="AE90" s="1574"/>
      <c r="AF90" s="1574"/>
      <c r="AG90" s="1574"/>
      <c r="AH90" s="1574"/>
      <c r="AI90" s="1574"/>
      <c r="AJ90" s="1574"/>
      <c r="AK90" s="1574"/>
      <c r="AL90" s="1574"/>
      <c r="AM90" s="1574"/>
      <c r="AN90" s="1574"/>
      <c r="AO90" s="1574"/>
      <c r="AP90" s="1574"/>
      <c r="AQ90" s="1574"/>
      <c r="AR90" s="1574"/>
      <c r="AS90" s="1574"/>
      <c r="AT90" s="1574"/>
      <c r="AU90" s="1574"/>
      <c r="AV90" s="1574"/>
      <c r="AW90" s="1574"/>
      <c r="AX90" s="1574"/>
      <c r="AY90" s="1574"/>
      <c r="AZ90" s="1574"/>
      <c r="BA90" s="1574"/>
      <c r="BB90" s="1574"/>
      <c r="BC90" s="1574"/>
      <c r="BD90" s="1574"/>
      <c r="BE90" s="1574"/>
      <c r="BF90" s="1574"/>
      <c r="BG90" s="1574"/>
      <c r="BH90" s="1574"/>
      <c r="BI90" s="1574"/>
      <c r="BJ90" s="1574"/>
      <c r="BK90" s="1574"/>
      <c r="BL90" s="1574"/>
    </row>
    <row r="91" spans="1:64" ht="15.75" customHeight="1" x14ac:dyDescent="0.25">
      <c r="Z91" s="1574"/>
      <c r="AA91" s="1574"/>
      <c r="AB91" s="1574"/>
      <c r="AC91" s="1574"/>
      <c r="AD91" s="1574"/>
      <c r="AE91" s="1574"/>
      <c r="AF91" s="1574"/>
      <c r="AG91" s="1574"/>
      <c r="AH91" s="1574"/>
      <c r="AI91" s="1574"/>
      <c r="AJ91" s="1574"/>
      <c r="AK91" s="1574"/>
      <c r="AL91" s="1574"/>
      <c r="AM91" s="1574"/>
      <c r="AN91" s="1574"/>
      <c r="AO91" s="1574"/>
      <c r="AP91" s="1574"/>
      <c r="AQ91" s="1574"/>
      <c r="AR91" s="1574"/>
      <c r="AS91" s="1574"/>
      <c r="AT91" s="1574"/>
      <c r="AU91" s="1574"/>
      <c r="AV91" s="1574"/>
      <c r="AW91" s="1574"/>
      <c r="AX91" s="1574"/>
      <c r="AY91" s="1574"/>
      <c r="AZ91" s="1574"/>
      <c r="BA91" s="1574"/>
      <c r="BB91" s="1574"/>
      <c r="BC91" s="1574"/>
      <c r="BD91" s="1574"/>
      <c r="BE91" s="1574"/>
      <c r="BF91" s="1574"/>
      <c r="BG91" s="1574"/>
      <c r="BH91" s="1574"/>
      <c r="BI91" s="1574"/>
      <c r="BJ91" s="1574"/>
      <c r="BK91" s="1574"/>
      <c r="BL91" s="1574"/>
    </row>
    <row r="92" spans="1:64" ht="15.75" customHeight="1" x14ac:dyDescent="0.25">
      <c r="Z92" s="1574"/>
      <c r="AA92" s="1574"/>
      <c r="AB92" s="1574"/>
      <c r="AC92" s="1574"/>
      <c r="AD92" s="1574"/>
      <c r="AE92" s="1574"/>
      <c r="AF92" s="1574"/>
      <c r="AG92" s="1574"/>
      <c r="AH92" s="1574"/>
      <c r="AI92" s="1574"/>
      <c r="AJ92" s="1574"/>
      <c r="AK92" s="1574"/>
      <c r="AL92" s="1574"/>
      <c r="AM92" s="1574"/>
      <c r="AN92" s="1574"/>
      <c r="AO92" s="1574"/>
      <c r="AP92" s="1574"/>
      <c r="AQ92" s="1574"/>
      <c r="AR92" s="1574"/>
      <c r="AS92" s="1574"/>
      <c r="AT92" s="1574"/>
      <c r="AU92" s="1574"/>
      <c r="AV92" s="1574"/>
      <c r="AW92" s="1574"/>
      <c r="AX92" s="1574"/>
      <c r="AY92" s="1574"/>
      <c r="AZ92" s="1574"/>
      <c r="BA92" s="1574"/>
      <c r="BB92" s="1574"/>
      <c r="BC92" s="1574"/>
      <c r="BD92" s="1574"/>
      <c r="BE92" s="1574"/>
      <c r="BF92" s="1574"/>
      <c r="BG92" s="1574"/>
      <c r="BH92" s="1574"/>
      <c r="BI92" s="1574"/>
      <c r="BJ92" s="1574"/>
      <c r="BK92" s="1574"/>
      <c r="BL92" s="1574"/>
    </row>
    <row r="94" spans="1:64" ht="18.75" customHeight="1" x14ac:dyDescent="0.25">
      <c r="A94" s="250"/>
      <c r="B94" s="250"/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</row>
    <row r="95" spans="1:64" ht="18" customHeight="1" x14ac:dyDescent="0.25">
      <c r="A95" s="250"/>
      <c r="B95" s="250"/>
      <c r="C95" s="250"/>
      <c r="D95" s="250"/>
      <c r="E95" s="250"/>
      <c r="F95" s="250"/>
      <c r="G95" s="250"/>
      <c r="H95" s="250"/>
      <c r="I95" s="250"/>
      <c r="J95" s="250"/>
      <c r="K95" s="250"/>
      <c r="L95" s="250"/>
      <c r="M95" s="250"/>
      <c r="N95" s="250"/>
      <c r="O95" s="250"/>
      <c r="P95" s="250"/>
      <c r="Q95" s="250"/>
      <c r="R95" s="250"/>
      <c r="S95" s="250"/>
      <c r="T95" s="250"/>
      <c r="U95" s="250"/>
      <c r="V95" s="250"/>
      <c r="W95" s="250"/>
      <c r="X95" s="250"/>
      <c r="Y95" s="250"/>
      <c r="Z95" s="250"/>
      <c r="AA95" s="250"/>
      <c r="AB95" s="250"/>
      <c r="AC95" s="250"/>
      <c r="AD95" s="250"/>
      <c r="AE95" s="250"/>
      <c r="AF95" s="250"/>
      <c r="AG95" s="250"/>
      <c r="AH95" s="250"/>
      <c r="AI95" s="250"/>
      <c r="AJ95" s="250"/>
      <c r="AK95" s="250"/>
      <c r="AL95" s="250"/>
      <c r="AM95" s="250"/>
      <c r="AN95" s="250"/>
      <c r="AO95" s="250"/>
      <c r="AP95" s="250"/>
      <c r="AQ95" s="250"/>
      <c r="AR95" s="250"/>
      <c r="AS95" s="250"/>
      <c r="AT95" s="250"/>
      <c r="AU95" s="250"/>
      <c r="AV95" s="250"/>
      <c r="AW95" s="250"/>
      <c r="AX95" s="250"/>
    </row>
    <row r="96" spans="1:64" ht="18" customHeight="1" x14ac:dyDescent="0.25">
      <c r="A96" s="250"/>
      <c r="B96" s="250"/>
      <c r="C96" s="250"/>
      <c r="D96" s="250"/>
      <c r="E96" s="250"/>
      <c r="F96" s="250"/>
      <c r="G96" s="250"/>
      <c r="H96" s="250"/>
      <c r="I96" s="250"/>
      <c r="J96" s="250"/>
      <c r="K96" s="250"/>
      <c r="L96" s="250"/>
      <c r="M96" s="250"/>
      <c r="N96" s="250"/>
      <c r="O96" s="250"/>
      <c r="P96" s="250"/>
      <c r="Q96" s="250"/>
      <c r="R96" s="250"/>
      <c r="S96" s="250"/>
      <c r="T96" s="250"/>
      <c r="U96" s="250"/>
      <c r="V96" s="250"/>
      <c r="W96" s="250"/>
      <c r="X96" s="250"/>
      <c r="Y96" s="250"/>
      <c r="Z96" s="250"/>
      <c r="AA96" s="250"/>
      <c r="AB96" s="250"/>
      <c r="AC96" s="250"/>
      <c r="AD96" s="250"/>
      <c r="AE96" s="250"/>
      <c r="AF96" s="250"/>
      <c r="AG96" s="250"/>
      <c r="AH96" s="250"/>
      <c r="AI96" s="250"/>
      <c r="AJ96" s="250"/>
      <c r="AK96" s="250"/>
      <c r="AL96" s="250"/>
      <c r="AM96" s="250"/>
      <c r="AN96" s="250"/>
      <c r="AO96" s="250"/>
      <c r="AP96" s="250"/>
      <c r="AQ96" s="250"/>
      <c r="AR96" s="250"/>
      <c r="AS96" s="250"/>
      <c r="AT96" s="250"/>
      <c r="AU96" s="250"/>
      <c r="AV96" s="250"/>
      <c r="AW96" s="250"/>
      <c r="AX96" s="250"/>
    </row>
    <row r="97" spans="1:50" ht="15.75" customHeight="1" x14ac:dyDescent="0.25">
      <c r="A97" s="250"/>
      <c r="B97" s="250"/>
      <c r="C97" s="250"/>
      <c r="D97" s="250"/>
      <c r="E97" s="250"/>
      <c r="F97" s="250"/>
      <c r="G97" s="250"/>
      <c r="H97" s="250"/>
      <c r="I97" s="250"/>
      <c r="J97" s="250"/>
      <c r="K97" s="250"/>
      <c r="L97" s="250"/>
      <c r="M97" s="250"/>
      <c r="N97" s="250"/>
      <c r="O97" s="250"/>
      <c r="P97" s="250"/>
      <c r="Q97" s="250"/>
      <c r="R97" s="250"/>
      <c r="S97" s="250"/>
      <c r="T97" s="250"/>
      <c r="U97" s="250"/>
      <c r="V97" s="250"/>
      <c r="W97" s="250"/>
      <c r="X97" s="250"/>
      <c r="Y97" s="250"/>
      <c r="Z97" s="250"/>
      <c r="AA97" s="250"/>
      <c r="AB97" s="250"/>
      <c r="AC97" s="250"/>
      <c r="AD97" s="250"/>
      <c r="AE97" s="250"/>
      <c r="AF97" s="250"/>
      <c r="AG97" s="250"/>
      <c r="AH97" s="250"/>
      <c r="AI97" s="250"/>
      <c r="AJ97" s="250"/>
      <c r="AK97" s="250"/>
      <c r="AL97" s="250"/>
      <c r="AM97" s="250"/>
      <c r="AN97" s="250"/>
      <c r="AO97" s="250"/>
      <c r="AP97" s="250"/>
      <c r="AQ97" s="250"/>
      <c r="AR97" s="250"/>
      <c r="AS97" s="250"/>
      <c r="AT97" s="250"/>
      <c r="AU97" s="250"/>
      <c r="AV97" s="250"/>
      <c r="AW97" s="250"/>
      <c r="AX97" s="250"/>
    </row>
    <row r="98" spans="1:50" ht="21" customHeight="1" x14ac:dyDescent="0.25">
      <c r="A98" s="250"/>
      <c r="B98" s="250"/>
      <c r="C98" s="250"/>
      <c r="D98" s="250"/>
      <c r="E98" s="250"/>
      <c r="F98" s="250"/>
      <c r="G98" s="250"/>
      <c r="H98" s="250"/>
      <c r="I98" s="250"/>
      <c r="J98" s="250"/>
      <c r="K98" s="250"/>
      <c r="L98" s="250"/>
      <c r="M98" s="250"/>
      <c r="N98" s="250"/>
      <c r="O98" s="250"/>
      <c r="P98" s="250"/>
      <c r="Q98" s="250"/>
      <c r="R98" s="250"/>
      <c r="S98" s="250"/>
      <c r="T98" s="250"/>
      <c r="U98" s="250"/>
      <c r="V98" s="250"/>
      <c r="W98" s="250"/>
      <c r="X98" s="250"/>
      <c r="Y98" s="250"/>
      <c r="Z98" s="250"/>
      <c r="AA98" s="250"/>
      <c r="AB98" s="250"/>
      <c r="AC98" s="250"/>
      <c r="AD98" s="250"/>
      <c r="AE98" s="250"/>
      <c r="AF98" s="250"/>
      <c r="AG98" s="250"/>
      <c r="AH98" s="250"/>
      <c r="AI98" s="250"/>
      <c r="AJ98" s="250"/>
      <c r="AK98" s="250"/>
      <c r="AL98" s="250"/>
      <c r="AM98" s="250"/>
      <c r="AN98" s="250"/>
      <c r="AO98" s="250"/>
      <c r="AP98" s="250"/>
      <c r="AQ98" s="250"/>
      <c r="AR98" s="250"/>
      <c r="AS98" s="250"/>
      <c r="AT98" s="250"/>
      <c r="AU98" s="250"/>
      <c r="AV98" s="250"/>
      <c r="AW98" s="250"/>
      <c r="AX98" s="250"/>
    </row>
    <row r="99" spans="1:50" x14ac:dyDescent="0.25">
      <c r="A99" s="250"/>
      <c r="B99" s="250"/>
      <c r="C99" s="250"/>
      <c r="D99" s="250"/>
      <c r="E99" s="250"/>
      <c r="F99" s="250"/>
      <c r="G99" s="250"/>
      <c r="H99" s="250"/>
      <c r="I99" s="250"/>
      <c r="J99" s="250"/>
      <c r="K99" s="250"/>
      <c r="L99" s="250"/>
      <c r="M99" s="250"/>
      <c r="N99" s="250"/>
      <c r="O99" s="250"/>
      <c r="P99" s="250"/>
      <c r="Q99" s="250"/>
      <c r="R99" s="250"/>
      <c r="S99" s="250"/>
      <c r="T99" s="250"/>
      <c r="U99" s="250"/>
      <c r="V99" s="250"/>
      <c r="W99" s="250"/>
      <c r="X99" s="250"/>
      <c r="Y99" s="250"/>
      <c r="Z99" s="250"/>
      <c r="AA99" s="250"/>
      <c r="AB99" s="250"/>
      <c r="AC99" s="250"/>
      <c r="AD99" s="250"/>
      <c r="AE99" s="250"/>
      <c r="AF99" s="250"/>
      <c r="AG99" s="250"/>
      <c r="AH99" s="250"/>
      <c r="AI99" s="250"/>
      <c r="AJ99" s="250"/>
      <c r="AK99" s="250"/>
      <c r="AL99" s="250"/>
      <c r="AM99" s="250"/>
      <c r="AN99" s="250"/>
      <c r="AO99" s="250"/>
      <c r="AP99" s="250"/>
      <c r="AQ99" s="250"/>
      <c r="AR99" s="250"/>
      <c r="AS99" s="250"/>
      <c r="AT99" s="250"/>
      <c r="AU99" s="250"/>
      <c r="AV99" s="250"/>
      <c r="AW99" s="250"/>
      <c r="AX99" s="250"/>
    </row>
    <row r="100" spans="1:50" x14ac:dyDescent="0.25">
      <c r="A100" s="250"/>
      <c r="B100" s="250"/>
      <c r="C100" s="250"/>
      <c r="D100" s="250"/>
      <c r="E100" s="250"/>
      <c r="F100" s="250"/>
      <c r="G100" s="250"/>
      <c r="H100" s="250"/>
      <c r="I100" s="250"/>
      <c r="J100" s="250"/>
      <c r="K100" s="250"/>
      <c r="L100" s="250"/>
      <c r="M100" s="250"/>
      <c r="N100" s="250"/>
      <c r="O100" s="250"/>
      <c r="P100" s="250"/>
      <c r="Q100" s="250"/>
      <c r="R100" s="250"/>
      <c r="S100" s="250"/>
      <c r="T100" s="250"/>
      <c r="U100" s="250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  <c r="AJ100" s="250"/>
      <c r="AK100" s="250"/>
      <c r="AL100" s="250"/>
      <c r="AM100" s="250"/>
      <c r="AN100" s="250"/>
      <c r="AO100" s="250"/>
      <c r="AP100" s="250"/>
      <c r="AQ100" s="250"/>
      <c r="AR100" s="250"/>
      <c r="AS100" s="250"/>
      <c r="AT100" s="250"/>
      <c r="AU100" s="250"/>
      <c r="AV100" s="250"/>
      <c r="AW100" s="250"/>
      <c r="AX100" s="250"/>
    </row>
    <row r="101" spans="1:50" x14ac:dyDescent="0.25">
      <c r="A101" s="250"/>
      <c r="B101" s="250"/>
      <c r="C101" s="250"/>
      <c r="D101" s="250"/>
      <c r="E101" s="250"/>
      <c r="F101" s="250"/>
      <c r="G101" s="250"/>
      <c r="H101" s="250"/>
      <c r="I101" s="250"/>
      <c r="J101" s="250"/>
      <c r="K101" s="250"/>
      <c r="L101" s="250"/>
      <c r="M101" s="250"/>
      <c r="N101" s="250"/>
      <c r="O101" s="250"/>
      <c r="P101" s="250"/>
      <c r="Q101" s="250"/>
      <c r="R101" s="250"/>
      <c r="S101" s="250"/>
      <c r="T101" s="250"/>
      <c r="U101" s="250"/>
      <c r="V101" s="250"/>
      <c r="W101" s="250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  <c r="AI101" s="250"/>
      <c r="AJ101" s="250"/>
      <c r="AK101" s="250"/>
      <c r="AL101" s="250"/>
      <c r="AM101" s="250"/>
      <c r="AN101" s="250"/>
      <c r="AO101" s="250"/>
      <c r="AP101" s="250"/>
      <c r="AQ101" s="250"/>
      <c r="AR101" s="250"/>
      <c r="AS101" s="250"/>
      <c r="AT101" s="250"/>
      <c r="AU101" s="250"/>
      <c r="AV101" s="250"/>
      <c r="AW101" s="250"/>
      <c r="AX101" s="250"/>
    </row>
    <row r="102" spans="1:50" x14ac:dyDescent="0.25">
      <c r="A102" s="250"/>
      <c r="B102" s="250"/>
      <c r="C102" s="250"/>
      <c r="D102" s="250"/>
      <c r="E102" s="250"/>
      <c r="F102" s="250"/>
      <c r="G102" s="250"/>
      <c r="H102" s="250"/>
      <c r="I102" s="250"/>
      <c r="J102" s="250"/>
      <c r="K102" s="250"/>
      <c r="L102" s="250"/>
      <c r="M102" s="250"/>
      <c r="N102" s="250"/>
      <c r="O102" s="250"/>
      <c r="P102" s="250"/>
      <c r="Q102" s="250"/>
      <c r="R102" s="250"/>
      <c r="S102" s="250"/>
      <c r="T102" s="250"/>
      <c r="U102" s="250"/>
      <c r="V102" s="250"/>
      <c r="W102" s="250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  <c r="AI102" s="250"/>
      <c r="AJ102" s="250"/>
      <c r="AK102" s="250"/>
      <c r="AL102" s="250"/>
      <c r="AM102" s="250"/>
      <c r="AN102" s="250"/>
      <c r="AO102" s="250"/>
      <c r="AP102" s="250"/>
      <c r="AQ102" s="250"/>
      <c r="AR102" s="250"/>
      <c r="AS102" s="250"/>
      <c r="AT102" s="250"/>
      <c r="AU102" s="250"/>
      <c r="AV102" s="250"/>
      <c r="AW102" s="250"/>
      <c r="AX102" s="250"/>
    </row>
    <row r="103" spans="1:50" x14ac:dyDescent="0.25">
      <c r="A103" s="250"/>
      <c r="B103" s="250"/>
      <c r="C103" s="250"/>
      <c r="D103" s="250"/>
      <c r="E103" s="250"/>
      <c r="F103" s="250"/>
      <c r="G103" s="250"/>
      <c r="H103" s="250"/>
      <c r="I103" s="250"/>
      <c r="J103" s="250"/>
      <c r="K103" s="250"/>
      <c r="L103" s="250"/>
      <c r="M103" s="250"/>
      <c r="N103" s="250"/>
      <c r="O103" s="250"/>
      <c r="P103" s="250"/>
      <c r="Q103" s="250"/>
      <c r="R103" s="250"/>
      <c r="S103" s="250"/>
      <c r="T103" s="250"/>
      <c r="U103" s="250"/>
      <c r="V103" s="250"/>
      <c r="W103" s="250"/>
      <c r="X103" s="250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  <c r="AI103" s="250"/>
      <c r="AJ103" s="250"/>
      <c r="AK103" s="250"/>
      <c r="AL103" s="250"/>
      <c r="AM103" s="250"/>
      <c r="AN103" s="250"/>
      <c r="AO103" s="250"/>
      <c r="AP103" s="250"/>
      <c r="AQ103" s="250"/>
      <c r="AR103" s="250"/>
      <c r="AS103" s="250"/>
      <c r="AT103" s="250"/>
      <c r="AU103" s="250"/>
      <c r="AV103" s="250"/>
      <c r="AW103" s="250"/>
      <c r="AX103" s="250"/>
    </row>
    <row r="104" spans="1:50" x14ac:dyDescent="0.25">
      <c r="A104" s="250" t="s">
        <v>180</v>
      </c>
      <c r="B104" s="250"/>
      <c r="C104" s="250"/>
      <c r="D104" s="250"/>
      <c r="E104" s="250"/>
      <c r="F104" s="250"/>
      <c r="G104" s="250"/>
      <c r="H104" s="250"/>
      <c r="I104" s="250"/>
      <c r="J104" s="250"/>
      <c r="K104" s="250"/>
      <c r="L104" s="250"/>
      <c r="M104" s="250"/>
      <c r="N104" s="250"/>
      <c r="O104" s="250"/>
      <c r="P104" s="250"/>
      <c r="Q104" s="250"/>
      <c r="R104" s="250"/>
      <c r="S104" s="250"/>
      <c r="T104" s="250"/>
      <c r="U104" s="250"/>
      <c r="V104" s="250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  <c r="AK104" s="250"/>
      <c r="AL104" s="250"/>
      <c r="AM104" s="250"/>
      <c r="AN104" s="250"/>
      <c r="AO104" s="250"/>
      <c r="AP104" s="250"/>
      <c r="AQ104" s="250"/>
      <c r="AR104" s="250"/>
      <c r="AS104" s="250"/>
      <c r="AT104" s="250"/>
      <c r="AU104" s="250"/>
      <c r="AV104" s="250"/>
      <c r="AW104" s="250"/>
      <c r="AX104" s="250"/>
    </row>
    <row r="105" spans="1:50" x14ac:dyDescent="0.25">
      <c r="A105" s="250"/>
      <c r="B105" s="250"/>
      <c r="C105" s="250"/>
      <c r="D105" s="250"/>
      <c r="E105" s="250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0"/>
      <c r="S105" s="250"/>
      <c r="T105" s="250"/>
      <c r="U105" s="250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50"/>
      <c r="AL105" s="250"/>
      <c r="AM105" s="250"/>
      <c r="AN105" s="250"/>
      <c r="AO105" s="250"/>
      <c r="AP105" s="250"/>
      <c r="AQ105" s="250"/>
      <c r="AR105" s="250"/>
      <c r="AS105" s="250"/>
      <c r="AT105" s="250"/>
      <c r="AU105" s="250"/>
      <c r="AV105" s="250"/>
      <c r="AW105" s="250"/>
      <c r="AX105" s="250"/>
    </row>
    <row r="106" spans="1:50" x14ac:dyDescent="0.25">
      <c r="A106" s="250"/>
      <c r="B106" s="250"/>
      <c r="C106" s="250"/>
      <c r="D106" s="250"/>
      <c r="E106" s="250"/>
      <c r="F106" s="250"/>
      <c r="G106" s="250"/>
      <c r="H106" s="250"/>
      <c r="I106" s="250"/>
      <c r="J106" s="250"/>
      <c r="K106" s="250"/>
      <c r="L106" s="250"/>
      <c r="M106" s="250"/>
      <c r="N106" s="250"/>
      <c r="O106" s="250"/>
      <c r="P106" s="250"/>
      <c r="Q106" s="250"/>
      <c r="R106" s="250"/>
      <c r="S106" s="250"/>
      <c r="T106" s="250"/>
      <c r="U106" s="250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50"/>
      <c r="AL106" s="250"/>
      <c r="AM106" s="250"/>
      <c r="AN106" s="250"/>
      <c r="AO106" s="250"/>
      <c r="AP106" s="250"/>
      <c r="AQ106" s="250"/>
      <c r="AR106" s="250"/>
      <c r="AS106" s="250"/>
      <c r="AT106" s="250"/>
      <c r="AU106" s="250"/>
      <c r="AV106" s="250"/>
      <c r="AW106" s="250"/>
      <c r="AX106" s="250"/>
    </row>
    <row r="107" spans="1:50" x14ac:dyDescent="0.25">
      <c r="A107" s="250"/>
      <c r="B107" s="250"/>
      <c r="C107" s="250"/>
      <c r="D107" s="250"/>
      <c r="E107" s="250"/>
      <c r="F107" s="250"/>
      <c r="G107" s="250"/>
      <c r="H107" s="250"/>
      <c r="I107" s="250"/>
      <c r="J107" s="250"/>
      <c r="K107" s="250"/>
      <c r="L107" s="250"/>
      <c r="M107" s="250"/>
      <c r="N107" s="250"/>
      <c r="O107" s="250"/>
      <c r="P107" s="250"/>
      <c r="Q107" s="250"/>
      <c r="R107" s="250"/>
      <c r="S107" s="250"/>
      <c r="T107" s="250"/>
      <c r="U107" s="250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50"/>
      <c r="AL107" s="250"/>
      <c r="AM107" s="250"/>
      <c r="AN107" s="250"/>
      <c r="AO107" s="250"/>
      <c r="AP107" s="250"/>
      <c r="AQ107" s="250"/>
      <c r="AR107" s="250"/>
      <c r="AS107" s="250"/>
      <c r="AT107" s="250"/>
      <c r="AU107" s="250"/>
      <c r="AV107" s="250"/>
      <c r="AW107" s="250"/>
      <c r="AX107" s="250"/>
    </row>
  </sheetData>
  <mergeCells count="94">
    <mergeCell ref="AC51:AC52"/>
    <mergeCell ref="AD51:AD52"/>
    <mergeCell ref="AE51:AE52"/>
    <mergeCell ref="S51:S52"/>
    <mergeCell ref="V51:V52"/>
    <mergeCell ref="W51:W52"/>
    <mergeCell ref="X51:X52"/>
    <mergeCell ref="Y51:Y52"/>
    <mergeCell ref="AA51:AA52"/>
    <mergeCell ref="F4:F5"/>
    <mergeCell ref="H4:I4"/>
    <mergeCell ref="AM4:AM5"/>
    <mergeCell ref="AQ4:AQ5"/>
    <mergeCell ref="J4:K4"/>
    <mergeCell ref="L4:M4"/>
    <mergeCell ref="P4:Q4"/>
    <mergeCell ref="R4:S4"/>
    <mergeCell ref="AN4:AN5"/>
    <mergeCell ref="V4:W4"/>
    <mergeCell ref="X4:Y4"/>
    <mergeCell ref="AB4:AC4"/>
    <mergeCell ref="AD4:AE4"/>
    <mergeCell ref="A4:A5"/>
    <mergeCell ref="B4:B5"/>
    <mergeCell ref="C4:C5"/>
    <mergeCell ref="D4:D5"/>
    <mergeCell ref="E4:E5"/>
    <mergeCell ref="AU4:AU5"/>
    <mergeCell ref="G4:G5"/>
    <mergeCell ref="N4:O4"/>
    <mergeCell ref="T4:U4"/>
    <mergeCell ref="Z4:AA4"/>
    <mergeCell ref="AF4:AG4"/>
    <mergeCell ref="AS4:AS5"/>
    <mergeCell ref="AT4:AT5"/>
    <mergeCell ref="AH4:AI4"/>
    <mergeCell ref="AJ4:AJ5"/>
    <mergeCell ref="AK4:AK5"/>
    <mergeCell ref="AL4:AL5"/>
    <mergeCell ref="AO4:AO5"/>
    <mergeCell ref="AP4:AP5"/>
    <mergeCell ref="AR4:AR5"/>
    <mergeCell ref="AY4:AY5"/>
    <mergeCell ref="AZ4:AZ5"/>
    <mergeCell ref="AV4:AV5"/>
    <mergeCell ref="AW4:AW5"/>
    <mergeCell ref="AX4:AX5"/>
    <mergeCell ref="BA4:BA5"/>
    <mergeCell ref="BB4:BB5"/>
    <mergeCell ref="BC4:BC5"/>
    <mergeCell ref="BD4:BD5"/>
    <mergeCell ref="BE4:BE5"/>
    <mergeCell ref="BF4:BF5"/>
    <mergeCell ref="BG4:BG5"/>
    <mergeCell ref="BH4:BH5"/>
    <mergeCell ref="BI4:BI5"/>
    <mergeCell ref="BJ4:BJ5"/>
    <mergeCell ref="AF51:AF52"/>
    <mergeCell ref="AG51:AG52"/>
    <mergeCell ref="AH51:AH52"/>
    <mergeCell ref="A51:A52"/>
    <mergeCell ref="B51:B52"/>
    <mergeCell ref="C51:C52"/>
    <mergeCell ref="D51:D52"/>
    <mergeCell ref="E51:E52"/>
    <mergeCell ref="F51:F52"/>
    <mergeCell ref="G51:G52"/>
    <mergeCell ref="J51:K51"/>
    <mergeCell ref="L51:M51"/>
    <mergeCell ref="N51:O51"/>
    <mergeCell ref="P51:P52"/>
    <mergeCell ref="Q51:Q52"/>
    <mergeCell ref="AB51:AB52"/>
    <mergeCell ref="F74:F75"/>
    <mergeCell ref="G74:G75"/>
    <mergeCell ref="T51:T52"/>
    <mergeCell ref="U51:U52"/>
    <mergeCell ref="Z51:Z52"/>
    <mergeCell ref="N74:O74"/>
    <mergeCell ref="V74:V75"/>
    <mergeCell ref="W74:W75"/>
    <mergeCell ref="X74:X75"/>
    <mergeCell ref="Y74:Y75"/>
    <mergeCell ref="J74:K74"/>
    <mergeCell ref="L74:M74"/>
    <mergeCell ref="T74:T75"/>
    <mergeCell ref="U74:U75"/>
    <mergeCell ref="Z74:Z75"/>
    <mergeCell ref="R51:R52"/>
    <mergeCell ref="A74:A75"/>
    <mergeCell ref="B74:B75"/>
    <mergeCell ref="C74:C75"/>
    <mergeCell ref="D74:D75"/>
    <mergeCell ref="E74:E75"/>
  </mergeCells>
  <pageMargins left="0.27559055118110237" right="0.19685039370078741" top="0.15748031496062992" bottom="0.9055118110236221" header="0.15748031496062992" footer="0.31496062992125984"/>
  <pageSetup paperSize="9" scale="74" orientation="landscape" horizontalDpi="180" verticalDpi="180" r:id="rId1"/>
  <rowBreaks count="1" manualBreakCount="1">
    <brk id="40" max="56" man="1"/>
  </rowBreaks>
  <ignoredErrors>
    <ignoredError sqref="G40 AE66 X89" formula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17"/>
  <sheetViews>
    <sheetView topLeftCell="F1" zoomScale="90" zoomScaleNormal="90" workbookViewId="0">
      <selection activeCell="A72" sqref="A72:Z96"/>
    </sheetView>
  </sheetViews>
  <sheetFormatPr defaultRowHeight="15" x14ac:dyDescent="0.25"/>
  <cols>
    <col min="1" max="1" width="4" customWidth="1"/>
    <col min="2" max="2" width="10.5703125" customWidth="1"/>
    <col min="3" max="3" width="27.28515625" customWidth="1"/>
    <col min="4" max="4" width="7.42578125" customWidth="1"/>
    <col min="5" max="5" width="8.42578125" customWidth="1"/>
    <col min="6" max="6" width="9.85546875" customWidth="1"/>
    <col min="7" max="7" width="10" customWidth="1"/>
    <col min="8" max="8" width="11.5703125" customWidth="1"/>
    <col min="9" max="11" width="11" hidden="1" customWidth="1"/>
    <col min="12" max="12" width="13.7109375" customWidth="1"/>
    <col min="13" max="13" width="13.85546875" customWidth="1"/>
    <col min="14" max="15" width="13.85546875" hidden="1" customWidth="1"/>
    <col min="16" max="16" width="14" customWidth="1"/>
    <col min="17" max="17" width="11.7109375" customWidth="1"/>
    <col min="18" max="18" width="13.85546875" customWidth="1"/>
    <col min="19" max="19" width="11.140625" hidden="1" customWidth="1"/>
    <col min="20" max="20" width="12.42578125" hidden="1" customWidth="1"/>
    <col min="21" max="21" width="12.7109375" customWidth="1"/>
    <col min="22" max="22" width="12" customWidth="1"/>
    <col min="23" max="23" width="11.42578125" customWidth="1"/>
    <col min="24" max="24" width="10.140625" customWidth="1"/>
    <col min="25" max="25" width="11.5703125" customWidth="1"/>
    <col min="26" max="26" width="12.140625" customWidth="1"/>
    <col min="27" max="27" width="12.28515625" customWidth="1"/>
    <col min="28" max="28" width="13.42578125" customWidth="1"/>
    <col min="29" max="29" width="12.42578125" customWidth="1"/>
    <col min="30" max="30" width="12.5703125" customWidth="1"/>
    <col min="31" max="31" width="10.7109375" customWidth="1"/>
    <col min="32" max="32" width="10.7109375" hidden="1" customWidth="1"/>
    <col min="33" max="33" width="8.42578125" customWidth="1"/>
    <col min="34" max="34" width="10.42578125" customWidth="1"/>
    <col min="35" max="35" width="11.28515625" customWidth="1"/>
    <col min="36" max="36" width="13.140625" customWidth="1"/>
    <col min="37" max="37" width="13.42578125" style="34" customWidth="1"/>
  </cols>
  <sheetData>
    <row r="2" spans="1:38" ht="15.75" x14ac:dyDescent="0.25">
      <c r="A2" s="10"/>
      <c r="B2" s="10"/>
      <c r="C2" s="11" t="s">
        <v>589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Z2" s="250"/>
      <c r="AA2" s="250"/>
      <c r="AB2" s="250"/>
    </row>
    <row r="3" spans="1:38" ht="15.75" x14ac:dyDescent="0.25">
      <c r="A3" s="10"/>
      <c r="B3" s="10"/>
      <c r="C3" s="11"/>
      <c r="D3" s="11" t="s">
        <v>600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Z3" s="250"/>
      <c r="AA3" s="250"/>
      <c r="AB3" s="250"/>
    </row>
    <row r="4" spans="1:38" ht="15.75" x14ac:dyDescent="0.2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Z4" s="250"/>
      <c r="AA4" s="250"/>
      <c r="AB4" s="250"/>
    </row>
    <row r="5" spans="1:38" ht="15.75" x14ac:dyDescent="0.2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Z5" s="250"/>
      <c r="AA5" s="250"/>
      <c r="AB5" s="250"/>
    </row>
    <row r="6" spans="1:38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Z6" s="167"/>
      <c r="AA6" s="167"/>
      <c r="AB6" s="167"/>
      <c r="AI6" s="403"/>
      <c r="AJ6" s="403"/>
      <c r="AK6" s="403"/>
      <c r="AL6" s="403"/>
    </row>
    <row r="7" spans="1:38" ht="27" customHeight="1" x14ac:dyDescent="0.25">
      <c r="A7" s="2017" t="s">
        <v>0</v>
      </c>
      <c r="B7" s="2020"/>
      <c r="C7" s="2017" t="s">
        <v>184</v>
      </c>
      <c r="D7" s="2017" t="s">
        <v>54</v>
      </c>
      <c r="E7" s="2017" t="s">
        <v>55</v>
      </c>
      <c r="F7" s="2017" t="s">
        <v>56</v>
      </c>
      <c r="G7" s="2017" t="s">
        <v>57</v>
      </c>
      <c r="H7" s="2017" t="s">
        <v>6</v>
      </c>
      <c r="I7" s="2020" t="s">
        <v>282</v>
      </c>
      <c r="J7" s="2097" t="s">
        <v>593</v>
      </c>
      <c r="K7" s="2060"/>
      <c r="L7" s="2249" t="s">
        <v>310</v>
      </c>
      <c r="M7" s="2250"/>
      <c r="N7" s="2017" t="s">
        <v>598</v>
      </c>
      <c r="O7" s="2017"/>
      <c r="P7" s="1987" t="s">
        <v>457</v>
      </c>
      <c r="Q7" s="2009" t="s">
        <v>370</v>
      </c>
      <c r="R7" s="1987" t="s">
        <v>333</v>
      </c>
      <c r="S7" s="2102" t="s">
        <v>542</v>
      </c>
      <c r="T7" s="2003" t="s">
        <v>578</v>
      </c>
      <c r="U7" s="2003" t="s">
        <v>604</v>
      </c>
      <c r="V7" s="2003" t="s">
        <v>602</v>
      </c>
      <c r="W7" s="2003" t="s">
        <v>603</v>
      </c>
      <c r="X7" s="2003" t="s">
        <v>319</v>
      </c>
      <c r="Y7" s="2194" t="s">
        <v>461</v>
      </c>
      <c r="Z7" s="2107" t="s">
        <v>338</v>
      </c>
      <c r="AA7" s="2009" t="s">
        <v>321</v>
      </c>
      <c r="AB7" s="2005" t="s">
        <v>569</v>
      </c>
      <c r="AC7" s="1987" t="s">
        <v>369</v>
      </c>
      <c r="AD7" s="1987" t="s">
        <v>175</v>
      </c>
      <c r="AE7" s="2005" t="s">
        <v>610</v>
      </c>
      <c r="AF7" s="2005" t="s">
        <v>611</v>
      </c>
      <c r="AG7" s="2251" t="s">
        <v>182</v>
      </c>
      <c r="AH7" s="2253" t="s">
        <v>544</v>
      </c>
      <c r="AI7" s="2257" t="s">
        <v>566</v>
      </c>
      <c r="AJ7" s="403"/>
      <c r="AK7" s="403"/>
      <c r="AL7" s="403"/>
    </row>
    <row r="8" spans="1:38" ht="55.5" customHeight="1" x14ac:dyDescent="0.25">
      <c r="A8" s="2017"/>
      <c r="B8" s="2021"/>
      <c r="C8" s="2017"/>
      <c r="D8" s="2017"/>
      <c r="E8" s="2017"/>
      <c r="F8" s="2017"/>
      <c r="G8" s="2017"/>
      <c r="H8" s="2017"/>
      <c r="I8" s="2021"/>
      <c r="J8" s="150" t="s">
        <v>15</v>
      </c>
      <c r="K8" s="612" t="s">
        <v>16</v>
      </c>
      <c r="L8" s="51" t="s">
        <v>15</v>
      </c>
      <c r="M8" s="178" t="s">
        <v>16</v>
      </c>
      <c r="N8" s="150" t="s">
        <v>15</v>
      </c>
      <c r="O8" s="612" t="s">
        <v>16</v>
      </c>
      <c r="P8" s="1988"/>
      <c r="Q8" s="2009"/>
      <c r="R8" s="1988"/>
      <c r="S8" s="2102"/>
      <c r="T8" s="2004"/>
      <c r="U8" s="2002"/>
      <c r="V8" s="2004"/>
      <c r="W8" s="2004"/>
      <c r="X8" s="2004"/>
      <c r="Y8" s="2004"/>
      <c r="Z8" s="2107"/>
      <c r="AA8" s="2009"/>
      <c r="AB8" s="2099"/>
      <c r="AC8" s="2002"/>
      <c r="AD8" s="1988"/>
      <c r="AE8" s="2006"/>
      <c r="AF8" s="2006"/>
      <c r="AG8" s="2252"/>
      <c r="AH8" s="2254"/>
      <c r="AI8" s="2258"/>
      <c r="AJ8" s="403"/>
      <c r="AK8" s="403"/>
      <c r="AL8" s="403"/>
    </row>
    <row r="9" spans="1:38" s="110" customFormat="1" x14ac:dyDescent="0.25">
      <c r="A9" s="109">
        <v>1</v>
      </c>
      <c r="B9" s="602">
        <v>42401</v>
      </c>
      <c r="C9" s="422" t="s">
        <v>210</v>
      </c>
      <c r="D9" s="671">
        <v>1975</v>
      </c>
      <c r="E9" s="671">
        <v>2</v>
      </c>
      <c r="F9" s="671">
        <v>18</v>
      </c>
      <c r="G9" s="672">
        <v>60</v>
      </c>
      <c r="H9" s="673">
        <v>783.27</v>
      </c>
      <c r="I9" s="674">
        <v>85.12</v>
      </c>
      <c r="J9" s="626">
        <v>1587.3</v>
      </c>
      <c r="K9" s="626">
        <v>750.31</v>
      </c>
      <c r="L9" s="620">
        <v>27844.560000000001</v>
      </c>
      <c r="M9" s="620">
        <v>23418.35</v>
      </c>
      <c r="N9" s="620">
        <f>J9+L9</f>
        <v>29431.86</v>
      </c>
      <c r="O9" s="620">
        <f>K9+M9</f>
        <v>24168.66</v>
      </c>
      <c r="P9" s="524">
        <f>Q9+R9+S9+T9+U9+V9+W9+X9+Y9+Z9+AA9+AB9+AC9</f>
        <v>26132.315605252646</v>
      </c>
      <c r="Q9" s="622">
        <v>218.03</v>
      </c>
      <c r="R9" s="623">
        <f>3656.82/27715.26*H9</f>
        <v>103.34658240261864</v>
      </c>
      <c r="S9" s="623">
        <v>2113.44</v>
      </c>
      <c r="T9" s="623">
        <f>14128.22/27715.26*H9</f>
        <v>399.28223222152707</v>
      </c>
      <c r="U9" s="623">
        <f>11142.67/27715.26*H9</f>
        <v>314.90663017052702</v>
      </c>
      <c r="V9" s="623">
        <f>23200/27715.26*H9</f>
        <v>655.66276484507091</v>
      </c>
      <c r="W9" s="623">
        <f>1000/27715.26*H9</f>
        <v>28.261326070908229</v>
      </c>
      <c r="X9" s="623"/>
      <c r="Y9" s="623">
        <f>313119.3/996946.55*L9</f>
        <v>8745.3726942612921</v>
      </c>
      <c r="Z9" s="624">
        <f>36095.73/27715.26*H9</f>
        <v>1020.1131952974645</v>
      </c>
      <c r="AA9" s="624">
        <f>235150.211/27445.26*H9</f>
        <v>6711.0351940542751</v>
      </c>
      <c r="AB9" s="624">
        <f>AA9*0.202</f>
        <v>1355.6291091989638</v>
      </c>
      <c r="AC9" s="624">
        <f>158068.87/27715.26*H9</f>
        <v>4467.2358767300038</v>
      </c>
      <c r="AD9" s="525">
        <f>N9-P9</f>
        <v>3299.5443947473541</v>
      </c>
      <c r="AE9" s="1031">
        <f>M9/L9*100</f>
        <v>84.103860861870317</v>
      </c>
      <c r="AF9" s="1031">
        <f>K9/J9*100</f>
        <v>47.269577269577269</v>
      </c>
      <c r="AG9" s="1032">
        <f>P9/H9/4</f>
        <v>8.3407750856194696</v>
      </c>
      <c r="AH9" s="1033">
        <v>8.9</v>
      </c>
      <c r="AI9" s="1030">
        <f>N9-O9</f>
        <v>5263.2000000000007</v>
      </c>
      <c r="AJ9" s="403"/>
      <c r="AK9" s="403"/>
      <c r="AL9" s="403"/>
    </row>
    <row r="10" spans="1:38" s="110" customFormat="1" x14ac:dyDescent="0.25">
      <c r="A10" s="13">
        <v>2</v>
      </c>
      <c r="B10" s="573"/>
      <c r="C10" s="422" t="s">
        <v>211</v>
      </c>
      <c r="D10" s="675">
        <v>1975</v>
      </c>
      <c r="E10" s="675">
        <v>2</v>
      </c>
      <c r="F10" s="675">
        <v>18</v>
      </c>
      <c r="G10" s="672">
        <v>52</v>
      </c>
      <c r="H10" s="676">
        <v>784.97</v>
      </c>
      <c r="I10" s="677">
        <v>85.12</v>
      </c>
      <c r="J10" s="678">
        <v>1587.39</v>
      </c>
      <c r="K10" s="678">
        <v>969.78</v>
      </c>
      <c r="L10" s="620">
        <v>27976.400000000001</v>
      </c>
      <c r="M10" s="620">
        <v>27589.759999999998</v>
      </c>
      <c r="N10" s="620">
        <f t="shared" ref="N10:N32" si="0">J10+L10</f>
        <v>29563.79</v>
      </c>
      <c r="O10" s="620">
        <f t="shared" ref="O10:O32" si="1">K10+M10</f>
        <v>28559.539999999997</v>
      </c>
      <c r="P10" s="524">
        <f t="shared" ref="P10:P32" si="2">Q10+R10+S10+T10+U10+V10+W10+X10+Y10+Z10+AA10+AB10+AC10</f>
        <v>26604.029912701171</v>
      </c>
      <c r="Q10" s="622">
        <v>615.66</v>
      </c>
      <c r="R10" s="623">
        <f t="shared" ref="R10:R32" si="3">3656.82/27715.26*H10</f>
        <v>103.57088461013898</v>
      </c>
      <c r="S10" s="623">
        <v>2113.44</v>
      </c>
      <c r="T10" s="623">
        <f t="shared" ref="T10:T32" si="4">14128.22/27715.26*H10</f>
        <v>400.14882968444107</v>
      </c>
      <c r="U10" s="623">
        <f t="shared" ref="U10:U32" si="5">11142.67/27715.26*H10</f>
        <v>315.59009981865586</v>
      </c>
      <c r="V10" s="623">
        <f t="shared" ref="V10:V32" si="6">23200/27715.26*H10</f>
        <v>657.08580760202142</v>
      </c>
      <c r="W10" s="623">
        <f t="shared" ref="W10:W32" si="7">1000/27715.26*H10</f>
        <v>28.322664120776786</v>
      </c>
      <c r="X10" s="623"/>
      <c r="Y10" s="623">
        <f t="shared" ref="Y10:Y32" si="8">313119.3/996946.55*L10</f>
        <v>8786.7807802935877</v>
      </c>
      <c r="Z10" s="624">
        <f t="shared" ref="Z10:Z32" si="9">36095.73/27715.26*H10</f>
        <v>1022.3272369842464</v>
      </c>
      <c r="AA10" s="624">
        <f t="shared" ref="AA10:AA23" si="10">235150.211/27445.26*H10</f>
        <v>6725.6007459455668</v>
      </c>
      <c r="AB10" s="624">
        <f t="shared" ref="AB10:AB24" si="11">AA10*0.202</f>
        <v>1358.5713506810046</v>
      </c>
      <c r="AC10" s="624">
        <f t="shared" ref="AC10:AC32" si="12">158068.87/27715.26*H10</f>
        <v>4476.9315129607303</v>
      </c>
      <c r="AD10" s="525">
        <f t="shared" ref="AD10:AD32" si="13">N10-P10</f>
        <v>2959.7600872988296</v>
      </c>
      <c r="AE10" s="1031">
        <f t="shared" ref="AE10:AE32" si="14">M10/L10*100</f>
        <v>98.617978010037021</v>
      </c>
      <c r="AF10" s="1031">
        <f t="shared" ref="AF10:AF33" si="15">K10/J10*100</f>
        <v>61.092737134541593</v>
      </c>
      <c r="AG10" s="1032">
        <f t="shared" ref="AG10:AG33" si="16">P10/H10/4</f>
        <v>8.4729447981136765</v>
      </c>
      <c r="AH10" s="1033">
        <v>8.91</v>
      </c>
      <c r="AI10" s="1030">
        <f t="shared" ref="AI10:AI33" si="17">N10-O10</f>
        <v>1004.2500000000036</v>
      </c>
      <c r="AJ10" s="403"/>
      <c r="AK10" s="403"/>
      <c r="AL10" s="403"/>
    </row>
    <row r="11" spans="1:38" s="110" customFormat="1" x14ac:dyDescent="0.25">
      <c r="A11" s="13">
        <v>3</v>
      </c>
      <c r="B11" s="573"/>
      <c r="C11" s="422" t="s">
        <v>212</v>
      </c>
      <c r="D11" s="675">
        <v>1975</v>
      </c>
      <c r="E11" s="675">
        <v>2</v>
      </c>
      <c r="F11" s="675">
        <v>18</v>
      </c>
      <c r="G11" s="679">
        <v>58</v>
      </c>
      <c r="H11" s="677">
        <v>788.23</v>
      </c>
      <c r="I11" s="677">
        <v>86.42</v>
      </c>
      <c r="J11" s="678">
        <v>1611.48</v>
      </c>
      <c r="K11" s="678">
        <v>1021.82</v>
      </c>
      <c r="L11" s="620">
        <v>28092.560000000001</v>
      </c>
      <c r="M11" s="620">
        <v>31734.71</v>
      </c>
      <c r="N11" s="620">
        <f t="shared" si="0"/>
        <v>29704.04</v>
      </c>
      <c r="O11" s="620">
        <f t="shared" si="1"/>
        <v>32756.53</v>
      </c>
      <c r="P11" s="524">
        <f t="shared" si="2"/>
        <v>26343.654710529678</v>
      </c>
      <c r="Q11" s="622">
        <v>225.06</v>
      </c>
      <c r="R11" s="623">
        <f t="shared" si="3"/>
        <v>104.00101707867798</v>
      </c>
      <c r="S11" s="623">
        <v>2144.52</v>
      </c>
      <c r="T11" s="623">
        <f t="shared" si="4"/>
        <v>401.8106577603819</v>
      </c>
      <c r="U11" s="623">
        <f t="shared" si="5"/>
        <v>316.90075337918535</v>
      </c>
      <c r="V11" s="623">
        <f t="shared" si="6"/>
        <v>659.81470135946768</v>
      </c>
      <c r="W11" s="623">
        <f t="shared" si="7"/>
        <v>28.440288851701194</v>
      </c>
      <c r="X11" s="623"/>
      <c r="Y11" s="623">
        <f t="shared" si="8"/>
        <v>8823.2641182298084</v>
      </c>
      <c r="Z11" s="624">
        <f t="shared" si="9"/>
        <v>1026.5729875130164</v>
      </c>
      <c r="AA11" s="624">
        <f t="shared" si="10"/>
        <v>6753.5323336900447</v>
      </c>
      <c r="AB11" s="624">
        <f t="shared" si="11"/>
        <v>1364.2135314053892</v>
      </c>
      <c r="AC11" s="624">
        <f t="shared" si="12"/>
        <v>4495.5243212620053</v>
      </c>
      <c r="AD11" s="525">
        <f t="shared" si="13"/>
        <v>3360.3852894703232</v>
      </c>
      <c r="AE11" s="1031">
        <f t="shared" si="14"/>
        <v>112.96482057882939</v>
      </c>
      <c r="AF11" s="1031">
        <f t="shared" si="15"/>
        <v>63.408791917988438</v>
      </c>
      <c r="AG11" s="1032">
        <f t="shared" si="16"/>
        <v>8.3553197386960907</v>
      </c>
      <c r="AH11" s="1033">
        <v>8.91</v>
      </c>
      <c r="AI11" s="1030">
        <f t="shared" si="17"/>
        <v>-3052.489999999998</v>
      </c>
      <c r="AJ11" s="403"/>
      <c r="AK11" s="403"/>
      <c r="AL11" s="403"/>
    </row>
    <row r="12" spans="1:38" s="110" customFormat="1" x14ac:dyDescent="0.25">
      <c r="A12" s="13">
        <v>4</v>
      </c>
      <c r="B12" s="573"/>
      <c r="C12" s="422" t="s">
        <v>213</v>
      </c>
      <c r="D12" s="675">
        <v>1975</v>
      </c>
      <c r="E12" s="675">
        <v>2</v>
      </c>
      <c r="F12" s="675">
        <v>18</v>
      </c>
      <c r="G12" s="680">
        <v>42</v>
      </c>
      <c r="H12" s="677">
        <v>789.57</v>
      </c>
      <c r="I12" s="677">
        <v>86.42</v>
      </c>
      <c r="J12" s="678">
        <v>1611.57</v>
      </c>
      <c r="K12" s="678">
        <v>823.7</v>
      </c>
      <c r="L12" s="620">
        <v>28171.88</v>
      </c>
      <c r="M12" s="620">
        <v>25965.11</v>
      </c>
      <c r="N12" s="620">
        <f t="shared" si="0"/>
        <v>29783.45</v>
      </c>
      <c r="O12" s="620">
        <f t="shared" si="1"/>
        <v>26788.81</v>
      </c>
      <c r="P12" s="524">
        <f t="shared" si="2"/>
        <v>26458.603954065373</v>
      </c>
      <c r="Q12" s="622">
        <v>289.33999999999997</v>
      </c>
      <c r="R12" s="623">
        <f t="shared" si="3"/>
        <v>104.177819995194</v>
      </c>
      <c r="S12" s="623">
        <v>2144.52</v>
      </c>
      <c r="T12" s="623">
        <f t="shared" si="4"/>
        <v>402.49374046644346</v>
      </c>
      <c r="U12" s="623">
        <f t="shared" si="5"/>
        <v>317.43948827829871</v>
      </c>
      <c r="V12" s="623">
        <f t="shared" si="6"/>
        <v>660.93639388553459</v>
      </c>
      <c r="W12" s="623">
        <f t="shared" si="7"/>
        <v>28.488637667479939</v>
      </c>
      <c r="X12" s="623"/>
      <c r="Y12" s="623">
        <f t="shared" si="8"/>
        <v>8848.1768107668358</v>
      </c>
      <c r="Z12" s="624">
        <f t="shared" si="9"/>
        <v>1028.3181733131858</v>
      </c>
      <c r="AA12" s="624">
        <f t="shared" si="10"/>
        <v>6765.0134157690636</v>
      </c>
      <c r="AB12" s="624">
        <f t="shared" si="11"/>
        <v>1366.5327099853509</v>
      </c>
      <c r="AC12" s="624">
        <f t="shared" si="12"/>
        <v>4503.1667639379903</v>
      </c>
      <c r="AD12" s="525">
        <f t="shared" si="13"/>
        <v>3324.8460459346279</v>
      </c>
      <c r="AE12" s="1031">
        <f t="shared" si="14"/>
        <v>92.16676345348624</v>
      </c>
      <c r="AF12" s="1031">
        <f t="shared" si="15"/>
        <v>51.111648888971629</v>
      </c>
      <c r="AG12" s="1032">
        <f t="shared" si="16"/>
        <v>8.3775358594125198</v>
      </c>
      <c r="AH12" s="1033">
        <v>8.92</v>
      </c>
      <c r="AI12" s="1030">
        <f t="shared" si="17"/>
        <v>2994.6399999999994</v>
      </c>
      <c r="AJ12" s="403"/>
      <c r="AK12" s="403"/>
      <c r="AL12" s="403"/>
    </row>
    <row r="13" spans="1:38" s="110" customFormat="1" x14ac:dyDescent="0.25">
      <c r="A13" s="13">
        <v>5</v>
      </c>
      <c r="B13" s="573"/>
      <c r="C13" s="422" t="s">
        <v>214</v>
      </c>
      <c r="D13" s="675">
        <v>1975</v>
      </c>
      <c r="E13" s="675">
        <v>5</v>
      </c>
      <c r="F13" s="675">
        <v>90</v>
      </c>
      <c r="G13" s="679">
        <v>268</v>
      </c>
      <c r="H13" s="677">
        <v>4496.09</v>
      </c>
      <c r="I13" s="677">
        <v>423.6</v>
      </c>
      <c r="J13" s="678">
        <v>7899.39</v>
      </c>
      <c r="K13" s="678">
        <v>4415.3100000000004</v>
      </c>
      <c r="L13" s="620">
        <v>159669.88</v>
      </c>
      <c r="M13" s="620">
        <v>145821.46</v>
      </c>
      <c r="N13" s="620">
        <f t="shared" si="0"/>
        <v>167569.27000000002</v>
      </c>
      <c r="O13" s="620">
        <f t="shared" si="1"/>
        <v>150236.76999999999</v>
      </c>
      <c r="P13" s="524">
        <f t="shared" si="2"/>
        <v>141333.31296694058</v>
      </c>
      <c r="Q13" s="622">
        <v>1995.03</v>
      </c>
      <c r="R13" s="623">
        <f t="shared" si="3"/>
        <v>593.22524247652746</v>
      </c>
      <c r="S13" s="623">
        <v>2768.71</v>
      </c>
      <c r="T13" s="623">
        <f t="shared" si="4"/>
        <v>2291.9412864898259</v>
      </c>
      <c r="U13" s="623">
        <f t="shared" si="5"/>
        <v>1807.6123825033574</v>
      </c>
      <c r="V13" s="623">
        <f t="shared" si="6"/>
        <v>3763.6048877044632</v>
      </c>
      <c r="W13" s="623">
        <f t="shared" si="7"/>
        <v>162.22434860795099</v>
      </c>
      <c r="X13" s="623"/>
      <c r="Y13" s="623">
        <f t="shared" si="8"/>
        <v>50148.848056782983</v>
      </c>
      <c r="Z13" s="624">
        <f t="shared" si="9"/>
        <v>5855.6062867784758</v>
      </c>
      <c r="AA13" s="624">
        <f t="shared" si="10"/>
        <v>38522.371884069973</v>
      </c>
      <c r="AB13" s="624">
        <f t="shared" si="11"/>
        <v>7781.5191205821347</v>
      </c>
      <c r="AC13" s="624">
        <f t="shared" si="12"/>
        <v>25642.61947094489</v>
      </c>
      <c r="AD13" s="525">
        <f t="shared" si="13"/>
        <v>26235.957033059443</v>
      </c>
      <c r="AE13" s="1031">
        <f t="shared" si="14"/>
        <v>91.326842608010978</v>
      </c>
      <c r="AF13" s="1031">
        <f t="shared" si="15"/>
        <v>55.894315890214308</v>
      </c>
      <c r="AG13" s="1032">
        <f t="shared" si="16"/>
        <v>7.8586790392841657</v>
      </c>
      <c r="AH13" s="1031">
        <v>8.8800000000000008</v>
      </c>
      <c r="AI13" s="1030">
        <f t="shared" si="17"/>
        <v>17332.500000000029</v>
      </c>
      <c r="AJ13" s="403"/>
      <c r="AK13" s="403"/>
      <c r="AL13" s="403"/>
    </row>
    <row r="14" spans="1:38" s="110" customFormat="1" x14ac:dyDescent="0.25">
      <c r="A14" s="13">
        <v>6</v>
      </c>
      <c r="B14" s="573"/>
      <c r="C14" s="422" t="s">
        <v>215</v>
      </c>
      <c r="D14" s="675">
        <v>1963</v>
      </c>
      <c r="E14" s="675">
        <v>2</v>
      </c>
      <c r="F14" s="675">
        <v>12</v>
      </c>
      <c r="G14" s="680">
        <v>39</v>
      </c>
      <c r="H14" s="677">
        <v>515.1</v>
      </c>
      <c r="I14" s="677">
        <v>49.6</v>
      </c>
      <c r="J14" s="678">
        <v>924.87</v>
      </c>
      <c r="K14" s="678">
        <v>498.96</v>
      </c>
      <c r="L14" s="620">
        <v>18399.400000000001</v>
      </c>
      <c r="M14" s="620">
        <v>14719.08</v>
      </c>
      <c r="N14" s="620">
        <f t="shared" si="0"/>
        <v>19324.27</v>
      </c>
      <c r="O14" s="620">
        <f t="shared" si="1"/>
        <v>15218.039999999999</v>
      </c>
      <c r="P14" s="524">
        <f t="shared" si="2"/>
        <v>17435.017775270233</v>
      </c>
      <c r="Q14" s="622">
        <v>522.42999999999995</v>
      </c>
      <c r="R14" s="623">
        <f t="shared" si="3"/>
        <v>67.963568878661079</v>
      </c>
      <c r="S14" s="623">
        <v>1232.8399999999999</v>
      </c>
      <c r="T14" s="623">
        <f t="shared" si="4"/>
        <v>262.5790312629216</v>
      </c>
      <c r="U14" s="623">
        <f t="shared" si="5"/>
        <v>207.09130338304604</v>
      </c>
      <c r="V14" s="623">
        <f t="shared" si="6"/>
        <v>431.18195535600245</v>
      </c>
      <c r="W14" s="623">
        <f t="shared" si="7"/>
        <v>18.58542911017252</v>
      </c>
      <c r="X14" s="623"/>
      <c r="Y14" s="623">
        <f t="shared" si="8"/>
        <v>5778.8526861545388</v>
      </c>
      <c r="Z14" s="624">
        <f t="shared" si="9"/>
        <v>670.85463109492764</v>
      </c>
      <c r="AA14" s="624">
        <f t="shared" si="10"/>
        <v>4413.3622230614692</v>
      </c>
      <c r="AB14" s="624">
        <f t="shared" si="11"/>
        <v>891.49916905841678</v>
      </c>
      <c r="AC14" s="624">
        <f t="shared" si="12"/>
        <v>2937.7777779100757</v>
      </c>
      <c r="AD14" s="525">
        <f t="shared" si="13"/>
        <v>1889.2522247297675</v>
      </c>
      <c r="AE14" s="1031">
        <f t="shared" si="14"/>
        <v>79.997608617672313</v>
      </c>
      <c r="AF14" s="1031">
        <f t="shared" si="15"/>
        <v>53.949203671867394</v>
      </c>
      <c r="AG14" s="1032">
        <f t="shared" si="16"/>
        <v>8.4619577631868719</v>
      </c>
      <c r="AH14" s="1031">
        <v>8.93</v>
      </c>
      <c r="AI14" s="1030">
        <f t="shared" si="17"/>
        <v>4106.2300000000014</v>
      </c>
      <c r="AJ14" s="403"/>
      <c r="AK14" s="403"/>
      <c r="AL14" s="403"/>
    </row>
    <row r="15" spans="1:38" s="110" customFormat="1" x14ac:dyDescent="0.25">
      <c r="A15" s="13">
        <v>7</v>
      </c>
      <c r="B15" s="573"/>
      <c r="C15" s="422" t="s">
        <v>216</v>
      </c>
      <c r="D15" s="675">
        <v>1963</v>
      </c>
      <c r="E15" s="675">
        <v>2</v>
      </c>
      <c r="F15" s="675">
        <v>16</v>
      </c>
      <c r="G15" s="679">
        <v>43</v>
      </c>
      <c r="H15" s="677">
        <v>624.4</v>
      </c>
      <c r="I15" s="677">
        <v>76</v>
      </c>
      <c r="J15" s="678">
        <v>1417.17</v>
      </c>
      <c r="K15" s="678">
        <v>765.28</v>
      </c>
      <c r="L15" s="620">
        <v>22157.32</v>
      </c>
      <c r="M15" s="620">
        <v>20189.759999999998</v>
      </c>
      <c r="N15" s="620">
        <f t="shared" si="0"/>
        <v>23574.489999999998</v>
      </c>
      <c r="O15" s="620">
        <f t="shared" si="1"/>
        <v>20955.039999999997</v>
      </c>
      <c r="P15" s="524">
        <f t="shared" si="2"/>
        <v>21483.917808781436</v>
      </c>
      <c r="Q15" s="622">
        <v>637.48</v>
      </c>
      <c r="R15" s="623">
        <f t="shared" si="3"/>
        <v>82.384881397468405</v>
      </c>
      <c r="S15" s="623">
        <v>1885.52</v>
      </c>
      <c r="T15" s="623">
        <f t="shared" si="4"/>
        <v>318.29615049615268</v>
      </c>
      <c r="U15" s="623">
        <f t="shared" si="5"/>
        <v>251.03438134803716</v>
      </c>
      <c r="V15" s="623">
        <f t="shared" si="6"/>
        <v>522.67523378817305</v>
      </c>
      <c r="W15" s="623">
        <f t="shared" si="7"/>
        <v>22.529104904662628</v>
      </c>
      <c r="X15" s="623"/>
      <c r="Y15" s="623">
        <f t="shared" si="8"/>
        <v>6959.1338956697318</v>
      </c>
      <c r="Z15" s="624">
        <f t="shared" si="9"/>
        <v>813.20448778037814</v>
      </c>
      <c r="AA15" s="624">
        <f t="shared" si="10"/>
        <v>5349.8415299545359</v>
      </c>
      <c r="AB15" s="624">
        <f t="shared" si="11"/>
        <v>1080.6679890508162</v>
      </c>
      <c r="AC15" s="624">
        <f t="shared" si="12"/>
        <v>3561.1501543914796</v>
      </c>
      <c r="AD15" s="525">
        <f t="shared" si="13"/>
        <v>2090.5721912185618</v>
      </c>
      <c r="AE15" s="1031">
        <f t="shared" si="14"/>
        <v>91.120045204022858</v>
      </c>
      <c r="AF15" s="1031">
        <f t="shared" si="15"/>
        <v>54.000578617949856</v>
      </c>
      <c r="AG15" s="1032">
        <f t="shared" si="16"/>
        <v>8.6018248753929516</v>
      </c>
      <c r="AH15" s="1031">
        <v>8.91</v>
      </c>
      <c r="AI15" s="1030">
        <f t="shared" si="17"/>
        <v>2619.4500000000007</v>
      </c>
      <c r="AJ15" s="403"/>
      <c r="AK15" s="403"/>
      <c r="AL15" s="403"/>
    </row>
    <row r="16" spans="1:38" s="110" customFormat="1" x14ac:dyDescent="0.25">
      <c r="A16" s="13">
        <v>8</v>
      </c>
      <c r="B16" s="573"/>
      <c r="C16" s="422" t="s">
        <v>217</v>
      </c>
      <c r="D16" s="675">
        <v>1963</v>
      </c>
      <c r="E16" s="675">
        <v>2</v>
      </c>
      <c r="F16" s="675">
        <v>16</v>
      </c>
      <c r="G16" s="680">
        <v>27</v>
      </c>
      <c r="H16" s="677">
        <v>630.29999999999995</v>
      </c>
      <c r="I16" s="677">
        <v>76</v>
      </c>
      <c r="J16" s="678">
        <v>1417.11</v>
      </c>
      <c r="K16" s="678">
        <v>629.47</v>
      </c>
      <c r="L16" s="620">
        <v>22463.919999999998</v>
      </c>
      <c r="M16" s="620">
        <v>16317.3</v>
      </c>
      <c r="N16" s="620">
        <f t="shared" si="0"/>
        <v>23881.03</v>
      </c>
      <c r="O16" s="620">
        <f t="shared" si="1"/>
        <v>16946.77</v>
      </c>
      <c r="P16" s="524">
        <f t="shared" si="2"/>
        <v>21335.499932066748</v>
      </c>
      <c r="Q16" s="622">
        <v>279.36</v>
      </c>
      <c r="R16" s="623">
        <f t="shared" si="3"/>
        <v>83.163342000038966</v>
      </c>
      <c r="S16" s="623">
        <v>1885.52</v>
      </c>
      <c r="T16" s="623">
        <f t="shared" si="4"/>
        <v>321.30375345567751</v>
      </c>
      <c r="U16" s="623">
        <f t="shared" si="5"/>
        <v>253.40642306801379</v>
      </c>
      <c r="V16" s="623">
        <f t="shared" si="6"/>
        <v>527.61402923876597</v>
      </c>
      <c r="W16" s="623">
        <f t="shared" si="7"/>
        <v>22.741984018912323</v>
      </c>
      <c r="X16" s="623"/>
      <c r="Y16" s="623">
        <f t="shared" si="8"/>
        <v>7055.430309334035</v>
      </c>
      <c r="Z16" s="624">
        <f t="shared" si="9"/>
        <v>820.88851481097424</v>
      </c>
      <c r="AA16" s="624">
        <f t="shared" si="10"/>
        <v>5400.3925629890191</v>
      </c>
      <c r="AB16" s="624">
        <f t="shared" si="11"/>
        <v>1090.879297723782</v>
      </c>
      <c r="AC16" s="624">
        <f t="shared" si="12"/>
        <v>3594.7997154275299</v>
      </c>
      <c r="AD16" s="525">
        <f t="shared" si="13"/>
        <v>2545.5300679332504</v>
      </c>
      <c r="AE16" s="1031">
        <f t="shared" si="14"/>
        <v>72.637812100470441</v>
      </c>
      <c r="AF16" s="1031">
        <f t="shared" si="15"/>
        <v>44.419275850145723</v>
      </c>
      <c r="AG16" s="1032">
        <f t="shared" si="16"/>
        <v>8.4624384943942363</v>
      </c>
      <c r="AH16" s="1031">
        <v>8.91</v>
      </c>
      <c r="AI16" s="1030">
        <f t="shared" si="17"/>
        <v>6934.2599999999984</v>
      </c>
      <c r="AJ16" s="403"/>
      <c r="AK16" s="403"/>
      <c r="AL16" s="403"/>
    </row>
    <row r="17" spans="1:38" s="110" customFormat="1" x14ac:dyDescent="0.25">
      <c r="A17" s="13">
        <v>9</v>
      </c>
      <c r="B17" s="573"/>
      <c r="C17" s="422" t="s">
        <v>218</v>
      </c>
      <c r="D17" s="675">
        <v>1963</v>
      </c>
      <c r="E17" s="675">
        <v>2</v>
      </c>
      <c r="F17" s="675">
        <v>8</v>
      </c>
      <c r="G17" s="679">
        <v>18</v>
      </c>
      <c r="H17" s="677">
        <v>313</v>
      </c>
      <c r="I17" s="677">
        <v>73.5</v>
      </c>
      <c r="J17" s="678">
        <v>685.26</v>
      </c>
      <c r="K17" s="678">
        <v>304.45999999999998</v>
      </c>
      <c r="L17" s="620">
        <v>11117.72</v>
      </c>
      <c r="M17" s="620">
        <v>8821.89</v>
      </c>
      <c r="N17" s="620">
        <f t="shared" si="0"/>
        <v>11802.98</v>
      </c>
      <c r="O17" s="620">
        <f t="shared" si="1"/>
        <v>9126.3499999999985</v>
      </c>
      <c r="P17" s="524">
        <f t="shared" si="2"/>
        <v>11837.963849038098</v>
      </c>
      <c r="Q17" s="622">
        <v>506.5</v>
      </c>
      <c r="R17" s="623">
        <f t="shared" si="3"/>
        <v>41.29799467874377</v>
      </c>
      <c r="S17" s="623">
        <v>1823.36</v>
      </c>
      <c r="T17" s="623">
        <f t="shared" si="4"/>
        <v>159.55588581885937</v>
      </c>
      <c r="U17" s="623">
        <f t="shared" si="5"/>
        <v>125.83882344960863</v>
      </c>
      <c r="V17" s="623">
        <f t="shared" si="6"/>
        <v>262.00728407382792</v>
      </c>
      <c r="W17" s="623">
        <f t="shared" si="7"/>
        <v>11.293417416975341</v>
      </c>
      <c r="X17" s="623"/>
      <c r="Y17" s="623">
        <f t="shared" si="8"/>
        <v>3491.8348471099071</v>
      </c>
      <c r="Z17" s="624">
        <f t="shared" si="9"/>
        <v>407.64414586043938</v>
      </c>
      <c r="AA17" s="624">
        <f t="shared" si="10"/>
        <v>2681.7751423378759</v>
      </c>
      <c r="AB17" s="624">
        <f t="shared" si="11"/>
        <v>541.71857875225101</v>
      </c>
      <c r="AC17" s="624">
        <f t="shared" si="12"/>
        <v>1785.1377295396112</v>
      </c>
      <c r="AD17" s="525">
        <f t="shared" si="13"/>
        <v>-34.983849038098924</v>
      </c>
      <c r="AE17" s="1031">
        <f t="shared" si="14"/>
        <v>79.349812731387374</v>
      </c>
      <c r="AF17" s="1031">
        <f t="shared" si="15"/>
        <v>44.429851443247813</v>
      </c>
      <c r="AG17" s="1032">
        <f t="shared" si="16"/>
        <v>9.4552426909249991</v>
      </c>
      <c r="AH17" s="1031">
        <v>8.8800000000000008</v>
      </c>
      <c r="AI17" s="1030">
        <f t="shared" si="17"/>
        <v>2676.630000000001</v>
      </c>
      <c r="AJ17" s="403"/>
      <c r="AK17" s="403"/>
      <c r="AL17" s="403"/>
    </row>
    <row r="18" spans="1:38" s="226" customFormat="1" x14ac:dyDescent="0.25">
      <c r="A18" s="36">
        <v>10</v>
      </c>
      <c r="B18" s="575"/>
      <c r="C18" s="423" t="s">
        <v>219</v>
      </c>
      <c r="D18" s="681">
        <v>1977</v>
      </c>
      <c r="E18" s="681">
        <v>5</v>
      </c>
      <c r="F18" s="681">
        <v>90</v>
      </c>
      <c r="G18" s="682">
        <v>231</v>
      </c>
      <c r="H18" s="677">
        <v>4846.6000000000004</v>
      </c>
      <c r="I18" s="677">
        <v>585</v>
      </c>
      <c r="J18" s="678">
        <v>10909.53</v>
      </c>
      <c r="K18" s="678">
        <v>6383.51</v>
      </c>
      <c r="L18" s="626">
        <v>171957.48</v>
      </c>
      <c r="M18" s="626">
        <v>163577.16</v>
      </c>
      <c r="N18" s="620">
        <f t="shared" si="0"/>
        <v>182867.01</v>
      </c>
      <c r="O18" s="620">
        <f t="shared" si="1"/>
        <v>169960.67</v>
      </c>
      <c r="P18" s="524">
        <f t="shared" si="2"/>
        <v>152694.32197874642</v>
      </c>
      <c r="Q18" s="591">
        <v>2847.57</v>
      </c>
      <c r="R18" s="623">
        <f t="shared" si="3"/>
        <v>639.47239939296992</v>
      </c>
      <c r="S18" s="623">
        <v>2680.65</v>
      </c>
      <c r="T18" s="623">
        <f t="shared" si="4"/>
        <v>2470.6183904462746</v>
      </c>
      <c r="U18" s="623">
        <f t="shared" si="5"/>
        <v>1948.531762718445</v>
      </c>
      <c r="V18" s="623">
        <f t="shared" si="6"/>
        <v>4057.0111916684168</v>
      </c>
      <c r="W18" s="623">
        <f t="shared" si="7"/>
        <v>174.87117205467314</v>
      </c>
      <c r="X18" s="623"/>
      <c r="Y18" s="623">
        <f t="shared" si="8"/>
        <v>54008.116851765022</v>
      </c>
      <c r="Z18" s="624">
        <f t="shared" si="9"/>
        <v>6312.1026112690279</v>
      </c>
      <c r="AA18" s="624">
        <f t="shared" si="10"/>
        <v>41525.531644903356</v>
      </c>
      <c r="AB18" s="624">
        <f t="shared" si="11"/>
        <v>8388.1573922704792</v>
      </c>
      <c r="AC18" s="624">
        <f t="shared" si="12"/>
        <v>27641.688562257765</v>
      </c>
      <c r="AD18" s="525">
        <f t="shared" si="13"/>
        <v>30172.688021253591</v>
      </c>
      <c r="AE18" s="1031">
        <f t="shared" si="14"/>
        <v>95.1265161596925</v>
      </c>
      <c r="AF18" s="1031">
        <f t="shared" si="15"/>
        <v>58.513153178917875</v>
      </c>
      <c r="AG18" s="1032">
        <f t="shared" si="16"/>
        <v>7.876362913111584</v>
      </c>
      <c r="AH18" s="893">
        <v>8.8699999999999992</v>
      </c>
      <c r="AI18" s="1030">
        <f t="shared" si="17"/>
        <v>12906.339999999997</v>
      </c>
      <c r="AJ18" s="403"/>
      <c r="AK18" s="403"/>
      <c r="AL18" s="403"/>
    </row>
    <row r="19" spans="1:38" s="110" customFormat="1" x14ac:dyDescent="0.25">
      <c r="A19" s="13">
        <v>11</v>
      </c>
      <c r="B19" s="573"/>
      <c r="C19" s="422" t="s">
        <v>220</v>
      </c>
      <c r="D19" s="675">
        <v>1983</v>
      </c>
      <c r="E19" s="675">
        <v>4</v>
      </c>
      <c r="F19" s="675">
        <v>48</v>
      </c>
      <c r="G19" s="679">
        <v>143</v>
      </c>
      <c r="H19" s="677">
        <v>2619.02</v>
      </c>
      <c r="I19" s="677">
        <v>317.89999999999998</v>
      </c>
      <c r="J19" s="678">
        <v>5928.36</v>
      </c>
      <c r="K19" s="678">
        <v>3669.49</v>
      </c>
      <c r="L19" s="620">
        <v>93761.44</v>
      </c>
      <c r="M19" s="620">
        <v>88861.89</v>
      </c>
      <c r="N19" s="620">
        <f t="shared" si="0"/>
        <v>99689.8</v>
      </c>
      <c r="O19" s="620">
        <f t="shared" si="1"/>
        <v>92531.38</v>
      </c>
      <c r="P19" s="524">
        <f t="shared" si="2"/>
        <v>82490.88249987668</v>
      </c>
      <c r="Q19" s="622">
        <v>639.82000000000005</v>
      </c>
      <c r="R19" s="623">
        <f t="shared" si="3"/>
        <v>345.55998090582591</v>
      </c>
      <c r="S19" s="623">
        <v>2061.64</v>
      </c>
      <c r="T19" s="623">
        <f t="shared" si="4"/>
        <v>1335.0800513652048</v>
      </c>
      <c r="U19" s="623">
        <f t="shared" si="5"/>
        <v>1052.9533399073291</v>
      </c>
      <c r="V19" s="623">
        <f t="shared" si="6"/>
        <v>2192.339671357945</v>
      </c>
      <c r="W19" s="623">
        <f t="shared" si="7"/>
        <v>94.497399627497629</v>
      </c>
      <c r="X19" s="623"/>
      <c r="Y19" s="623">
        <f t="shared" si="8"/>
        <v>29448.43578604289</v>
      </c>
      <c r="Z19" s="624">
        <f t="shared" si="9"/>
        <v>3410.9526226562557</v>
      </c>
      <c r="AA19" s="624">
        <f t="shared" si="10"/>
        <v>22439.689243724421</v>
      </c>
      <c r="AB19" s="624">
        <f t="shared" si="11"/>
        <v>4532.8172272323336</v>
      </c>
      <c r="AC19" s="624">
        <f t="shared" si="12"/>
        <v>14937.097177056972</v>
      </c>
      <c r="AD19" s="525">
        <f t="shared" si="13"/>
        <v>17198.917500123323</v>
      </c>
      <c r="AE19" s="1031">
        <f t="shared" si="14"/>
        <v>94.774450989660565</v>
      </c>
      <c r="AF19" s="1031">
        <f t="shared" si="15"/>
        <v>61.897219467103895</v>
      </c>
      <c r="AG19" s="1032">
        <f t="shared" si="16"/>
        <v>7.8742127303224754</v>
      </c>
      <c r="AH19" s="1031">
        <v>8.9499999999999993</v>
      </c>
      <c r="AI19" s="1030">
        <f t="shared" si="17"/>
        <v>7158.4199999999983</v>
      </c>
      <c r="AJ19" s="403"/>
      <c r="AK19" s="403"/>
      <c r="AL19" s="403"/>
    </row>
    <row r="20" spans="1:38" s="110" customFormat="1" x14ac:dyDescent="0.25">
      <c r="A20" s="13">
        <v>12</v>
      </c>
      <c r="B20" s="573"/>
      <c r="C20" s="422" t="s">
        <v>221</v>
      </c>
      <c r="D20" s="675">
        <v>1983</v>
      </c>
      <c r="E20" s="675">
        <v>4</v>
      </c>
      <c r="F20" s="675">
        <v>48</v>
      </c>
      <c r="G20" s="680">
        <v>137</v>
      </c>
      <c r="H20" s="677">
        <v>2614.1999999999998</v>
      </c>
      <c r="I20" s="677">
        <v>317.89999999999998</v>
      </c>
      <c r="J20" s="678">
        <v>5928.21</v>
      </c>
      <c r="K20" s="678">
        <v>3603.71</v>
      </c>
      <c r="L20" s="620">
        <v>93448.04</v>
      </c>
      <c r="M20" s="620">
        <v>94413.01</v>
      </c>
      <c r="N20" s="620">
        <f t="shared" si="0"/>
        <v>99376.25</v>
      </c>
      <c r="O20" s="620">
        <f t="shared" si="1"/>
        <v>98016.72</v>
      </c>
      <c r="P20" s="524">
        <f t="shared" si="2"/>
        <v>83977.673655251318</v>
      </c>
      <c r="Q20" s="622">
        <v>584.98</v>
      </c>
      <c r="R20" s="623">
        <f t="shared" si="3"/>
        <v>344.92401817626825</v>
      </c>
      <c r="S20" s="623">
        <v>3794.35</v>
      </c>
      <c r="T20" s="623">
        <f t="shared" si="4"/>
        <v>1332.6229926762369</v>
      </c>
      <c r="U20" s="623">
        <f t="shared" si="5"/>
        <v>1051.015502434399</v>
      </c>
      <c r="V20" s="623">
        <f t="shared" si="6"/>
        <v>2188.304926600003</v>
      </c>
      <c r="W20" s="623">
        <f t="shared" si="7"/>
        <v>94.323488215517358</v>
      </c>
      <c r="X20" s="623"/>
      <c r="Y20" s="623">
        <f t="shared" si="8"/>
        <v>29350.0036397859</v>
      </c>
      <c r="Z20" s="624">
        <f t="shared" si="9"/>
        <v>3404.6751632854971</v>
      </c>
      <c r="AA20" s="624">
        <f t="shared" si="10"/>
        <v>22398.391620126757</v>
      </c>
      <c r="AB20" s="624">
        <f t="shared" si="11"/>
        <v>4524.4751072656054</v>
      </c>
      <c r="AC20" s="624">
        <f t="shared" si="12"/>
        <v>14909.607196685147</v>
      </c>
      <c r="AD20" s="525">
        <f t="shared" si="13"/>
        <v>15398.576344748682</v>
      </c>
      <c r="AE20" s="1031">
        <f t="shared" si="14"/>
        <v>101.03262732958338</v>
      </c>
      <c r="AF20" s="1031">
        <f t="shared" si="15"/>
        <v>60.789175822044093</v>
      </c>
      <c r="AG20" s="1032">
        <f t="shared" si="16"/>
        <v>8.0309151609719347</v>
      </c>
      <c r="AH20" s="1031">
        <v>8.94</v>
      </c>
      <c r="AI20" s="1030">
        <f t="shared" si="17"/>
        <v>1359.5299999999988</v>
      </c>
      <c r="AJ20" s="403"/>
      <c r="AK20" s="403"/>
      <c r="AL20" s="403"/>
    </row>
    <row r="21" spans="1:38" s="110" customFormat="1" x14ac:dyDescent="0.25">
      <c r="A21" s="13">
        <v>13</v>
      </c>
      <c r="B21" s="573"/>
      <c r="C21" s="424" t="s">
        <v>222</v>
      </c>
      <c r="D21" s="675">
        <v>1975</v>
      </c>
      <c r="E21" s="675">
        <v>2</v>
      </c>
      <c r="F21" s="675">
        <v>12</v>
      </c>
      <c r="G21" s="679">
        <v>30</v>
      </c>
      <c r="H21" s="677">
        <v>503.62</v>
      </c>
      <c r="I21" s="677">
        <v>58.2</v>
      </c>
      <c r="J21" s="678">
        <v>1085.4000000000001</v>
      </c>
      <c r="K21" s="678">
        <v>546.24</v>
      </c>
      <c r="L21" s="620">
        <v>18029.64</v>
      </c>
      <c r="M21" s="620">
        <v>16165.19</v>
      </c>
      <c r="N21" s="620">
        <f t="shared" si="0"/>
        <v>19115.04</v>
      </c>
      <c r="O21" s="620">
        <f t="shared" si="1"/>
        <v>16711.43</v>
      </c>
      <c r="P21" s="524">
        <f t="shared" si="2"/>
        <v>17102.273573666669</v>
      </c>
      <c r="Q21" s="622">
        <v>308.92</v>
      </c>
      <c r="R21" s="623">
        <f t="shared" si="3"/>
        <v>66.448869265523768</v>
      </c>
      <c r="S21" s="623">
        <v>1450.4</v>
      </c>
      <c r="T21" s="623">
        <f t="shared" si="4"/>
        <v>256.72694957218516</v>
      </c>
      <c r="U21" s="623">
        <f t="shared" si="5"/>
        <v>202.47587305332874</v>
      </c>
      <c r="V21" s="623">
        <f t="shared" si="6"/>
        <v>421.57223132671317</v>
      </c>
      <c r="W21" s="623">
        <f t="shared" si="7"/>
        <v>18.171216867530738</v>
      </c>
      <c r="X21" s="623"/>
      <c r="Y21" s="623">
        <f t="shared" si="8"/>
        <v>5662.7190856440593</v>
      </c>
      <c r="Z21" s="624">
        <f t="shared" si="9"/>
        <v>655.90333782183541</v>
      </c>
      <c r="AA21" s="624">
        <f t="shared" si="10"/>
        <v>4315.0019079367448</v>
      </c>
      <c r="AB21" s="624">
        <f t="shared" si="11"/>
        <v>871.63038540322248</v>
      </c>
      <c r="AC21" s="624">
        <f t="shared" si="12"/>
        <v>2872.3037167755238</v>
      </c>
      <c r="AD21" s="525">
        <f t="shared" si="13"/>
        <v>2012.7664263333318</v>
      </c>
      <c r="AE21" s="1031">
        <f t="shared" si="14"/>
        <v>89.658972669448758</v>
      </c>
      <c r="AF21" s="1031">
        <f t="shared" si="15"/>
        <v>50.326147042564948</v>
      </c>
      <c r="AG21" s="1032">
        <f t="shared" si="16"/>
        <v>8.4896715647048708</v>
      </c>
      <c r="AH21" s="1031">
        <v>8.98</v>
      </c>
      <c r="AI21" s="1030">
        <f t="shared" si="17"/>
        <v>2403.6100000000006</v>
      </c>
      <c r="AJ21" s="403"/>
      <c r="AK21" s="403"/>
      <c r="AL21" s="403"/>
    </row>
    <row r="22" spans="1:38" s="110" customFormat="1" x14ac:dyDescent="0.25">
      <c r="A22" s="13">
        <v>14</v>
      </c>
      <c r="B22" s="573"/>
      <c r="C22" s="424" t="s">
        <v>122</v>
      </c>
      <c r="D22" s="675">
        <v>1975</v>
      </c>
      <c r="E22" s="675">
        <v>2</v>
      </c>
      <c r="F22" s="675">
        <v>12</v>
      </c>
      <c r="G22" s="680">
        <v>31</v>
      </c>
      <c r="H22" s="677">
        <v>528.76</v>
      </c>
      <c r="I22" s="677">
        <v>52.8</v>
      </c>
      <c r="J22" s="678">
        <v>1085.31</v>
      </c>
      <c r="K22" s="678">
        <v>723.54</v>
      </c>
      <c r="L22" s="620">
        <v>18715.04</v>
      </c>
      <c r="M22" s="620">
        <v>20453.36</v>
      </c>
      <c r="N22" s="620">
        <f t="shared" si="0"/>
        <v>19800.350000000002</v>
      </c>
      <c r="O22" s="620">
        <f t="shared" si="1"/>
        <v>21176.9</v>
      </c>
      <c r="P22" s="524">
        <f t="shared" si="2"/>
        <v>17741.586506702228</v>
      </c>
      <c r="Q22" s="622">
        <v>384.42</v>
      </c>
      <c r="R22" s="623">
        <f t="shared" si="3"/>
        <v>69.76590308732446</v>
      </c>
      <c r="S22" s="623">
        <v>1315.72</v>
      </c>
      <c r="T22" s="623">
        <f t="shared" si="4"/>
        <v>269.54239675904182</v>
      </c>
      <c r="U22" s="623">
        <f t="shared" si="5"/>
        <v>212.58318302624619</v>
      </c>
      <c r="V22" s="623">
        <f t="shared" si="6"/>
        <v>442.61652245008707</v>
      </c>
      <c r="W22" s="623">
        <f t="shared" si="7"/>
        <v>19.078298381469271</v>
      </c>
      <c r="X22" s="623"/>
      <c r="Y22" s="623">
        <f t="shared" si="8"/>
        <v>5877.9883678538226</v>
      </c>
      <c r="Z22" s="624">
        <f t="shared" si="9"/>
        <v>688.64510723695184</v>
      </c>
      <c r="AA22" s="624">
        <f t="shared" si="10"/>
        <v>4530.4007164938503</v>
      </c>
      <c r="AB22" s="624">
        <f t="shared" si="11"/>
        <v>915.14094473175783</v>
      </c>
      <c r="AC22" s="624">
        <f t="shared" si="12"/>
        <v>3015.6850666816767</v>
      </c>
      <c r="AD22" s="525">
        <f t="shared" si="13"/>
        <v>2058.7634932977744</v>
      </c>
      <c r="AE22" s="1031">
        <f t="shared" si="14"/>
        <v>109.28835845394933</v>
      </c>
      <c r="AF22" s="1031">
        <f t="shared" si="15"/>
        <v>66.666666666666657</v>
      </c>
      <c r="AG22" s="1032">
        <f t="shared" si="16"/>
        <v>8.3882983332240659</v>
      </c>
      <c r="AH22" s="1031">
        <v>8.94</v>
      </c>
      <c r="AI22" s="1030">
        <f t="shared" si="17"/>
        <v>-1376.5499999999993</v>
      </c>
      <c r="AJ22" s="403"/>
      <c r="AK22" s="403"/>
      <c r="AL22" s="403"/>
    </row>
    <row r="23" spans="1:38" s="110" customFormat="1" x14ac:dyDescent="0.25">
      <c r="A23" s="13">
        <v>15</v>
      </c>
      <c r="B23" s="573"/>
      <c r="C23" s="424" t="s">
        <v>223</v>
      </c>
      <c r="D23" s="675">
        <v>1975</v>
      </c>
      <c r="E23" s="675">
        <v>2</v>
      </c>
      <c r="F23" s="675">
        <v>12</v>
      </c>
      <c r="G23" s="679">
        <v>23</v>
      </c>
      <c r="H23" s="677">
        <v>528.33000000000004</v>
      </c>
      <c r="I23" s="677">
        <v>52.4</v>
      </c>
      <c r="J23" s="678">
        <v>1085.3399999999999</v>
      </c>
      <c r="K23" s="678">
        <v>592.16</v>
      </c>
      <c r="L23" s="620">
        <v>18833.72</v>
      </c>
      <c r="M23" s="620">
        <v>16816.580000000002</v>
      </c>
      <c r="N23" s="620">
        <f t="shared" si="0"/>
        <v>19919.060000000001</v>
      </c>
      <c r="O23" s="620">
        <f t="shared" si="1"/>
        <v>17408.740000000002</v>
      </c>
      <c r="P23" s="524">
        <f t="shared" si="2"/>
        <v>17589.746160123403</v>
      </c>
      <c r="Q23" s="622">
        <v>213.93</v>
      </c>
      <c r="R23" s="623">
        <f t="shared" si="3"/>
        <v>69.709167823069322</v>
      </c>
      <c r="S23" s="623">
        <v>1305.3599999999999</v>
      </c>
      <c r="T23" s="623">
        <f t="shared" si="4"/>
        <v>269.32319857724593</v>
      </c>
      <c r="U23" s="623">
        <f t="shared" si="5"/>
        <v>212.41030540936657</v>
      </c>
      <c r="V23" s="623">
        <f t="shared" si="6"/>
        <v>442.2565763409761</v>
      </c>
      <c r="W23" s="623">
        <f t="shared" si="7"/>
        <v>19.062783462973108</v>
      </c>
      <c r="X23" s="623"/>
      <c r="Y23" s="623">
        <f t="shared" si="8"/>
        <v>5915.2631831626277</v>
      </c>
      <c r="Z23" s="624">
        <f t="shared" si="9"/>
        <v>688.08508492794238</v>
      </c>
      <c r="AA23" s="624">
        <f t="shared" si="10"/>
        <v>4526.7164886625242</v>
      </c>
      <c r="AB23" s="624">
        <f t="shared" si="11"/>
        <v>914.39673070982997</v>
      </c>
      <c r="AC23" s="624">
        <f t="shared" si="12"/>
        <v>3013.2326410468459</v>
      </c>
      <c r="AD23" s="525">
        <f t="shared" si="13"/>
        <v>2329.3138398765986</v>
      </c>
      <c r="AE23" s="1031">
        <f t="shared" si="14"/>
        <v>89.289742015916147</v>
      </c>
      <c r="AF23" s="1031">
        <f t="shared" si="15"/>
        <v>54.559861425912615</v>
      </c>
      <c r="AG23" s="1032">
        <f t="shared" si="16"/>
        <v>8.3232762478580629</v>
      </c>
      <c r="AH23" s="1031">
        <v>8.94</v>
      </c>
      <c r="AI23" s="1030">
        <f t="shared" si="17"/>
        <v>2510.3199999999997</v>
      </c>
      <c r="AJ23" s="403"/>
      <c r="AK23" s="403"/>
      <c r="AL23" s="403"/>
    </row>
    <row r="24" spans="1:38" s="110" customFormat="1" x14ac:dyDescent="0.25">
      <c r="A24" s="13">
        <v>16</v>
      </c>
      <c r="B24" s="573"/>
      <c r="C24" s="424" t="s">
        <v>224</v>
      </c>
      <c r="D24" s="675">
        <v>1968</v>
      </c>
      <c r="E24" s="675">
        <v>2</v>
      </c>
      <c r="F24" s="675">
        <v>16</v>
      </c>
      <c r="G24" s="680">
        <v>35</v>
      </c>
      <c r="H24" s="677">
        <v>715.87</v>
      </c>
      <c r="I24" s="677">
        <v>76</v>
      </c>
      <c r="J24" s="678">
        <v>1417.23</v>
      </c>
      <c r="K24" s="678">
        <v>841.53</v>
      </c>
      <c r="L24" s="620">
        <v>25570.880000000001</v>
      </c>
      <c r="M24" s="620">
        <v>23446.39</v>
      </c>
      <c r="N24" s="620">
        <f t="shared" si="0"/>
        <v>26988.11</v>
      </c>
      <c r="O24" s="620">
        <f t="shared" si="1"/>
        <v>24287.919999999998</v>
      </c>
      <c r="P24" s="524">
        <f t="shared" si="2"/>
        <v>23676.735932436448</v>
      </c>
      <c r="Q24" s="622"/>
      <c r="R24" s="623">
        <f t="shared" si="3"/>
        <v>94.453659586812478</v>
      </c>
      <c r="S24" s="623">
        <v>1885.52</v>
      </c>
      <c r="T24" s="623">
        <f t="shared" si="4"/>
        <v>364.92419163305709</v>
      </c>
      <c r="U24" s="623">
        <f t="shared" si="5"/>
        <v>287.80906882706495</v>
      </c>
      <c r="V24" s="623">
        <f t="shared" si="6"/>
        <v>599.24330495185689</v>
      </c>
      <c r="W24" s="623">
        <f t="shared" si="7"/>
        <v>25.829452799649001</v>
      </c>
      <c r="X24" s="623"/>
      <c r="Y24" s="623">
        <f t="shared" si="8"/>
        <v>8031.2590940647715</v>
      </c>
      <c r="Z24" s="624">
        <f t="shared" si="9"/>
        <v>932.33295430387466</v>
      </c>
      <c r="AA24" s="624">
        <f>235150.211/27445.26*H24</f>
        <v>6133.5539014230517</v>
      </c>
      <c r="AB24" s="624">
        <f t="shared" si="11"/>
        <v>1238.9778880874564</v>
      </c>
      <c r="AC24" s="624">
        <f t="shared" si="12"/>
        <v>4082.8324167588544</v>
      </c>
      <c r="AD24" s="525">
        <f t="shared" si="13"/>
        <v>3311.3740675635527</v>
      </c>
      <c r="AE24" s="1031">
        <f t="shared" si="14"/>
        <v>91.691760314858158</v>
      </c>
      <c r="AF24" s="1031">
        <f t="shared" si="15"/>
        <v>59.378505958806969</v>
      </c>
      <c r="AG24" s="1032">
        <f t="shared" si="16"/>
        <v>8.2685180034211694</v>
      </c>
      <c r="AH24" s="1031">
        <v>8.93</v>
      </c>
      <c r="AI24" s="1030">
        <f t="shared" si="17"/>
        <v>2700.1900000000023</v>
      </c>
      <c r="AJ24" s="403"/>
      <c r="AK24" s="403"/>
      <c r="AL24" s="403"/>
    </row>
    <row r="25" spans="1:38" s="110" customFormat="1" x14ac:dyDescent="0.25">
      <c r="A25" s="36">
        <v>17</v>
      </c>
      <c r="B25" s="575"/>
      <c r="C25" s="425" t="s">
        <v>225</v>
      </c>
      <c r="D25" s="681">
        <v>1989</v>
      </c>
      <c r="E25" s="683">
        <v>1</v>
      </c>
      <c r="F25" s="681">
        <v>2</v>
      </c>
      <c r="G25" s="684">
        <v>5</v>
      </c>
      <c r="H25" s="685">
        <v>108</v>
      </c>
      <c r="I25" s="686"/>
      <c r="J25" s="687">
        <v>0</v>
      </c>
      <c r="K25" s="687">
        <v>0</v>
      </c>
      <c r="L25" s="621">
        <v>2177.2800000000002</v>
      </c>
      <c r="M25" s="621">
        <v>2177.04</v>
      </c>
      <c r="N25" s="621">
        <f t="shared" si="0"/>
        <v>2177.2800000000002</v>
      </c>
      <c r="O25" s="621">
        <f t="shared" si="1"/>
        <v>2177.04</v>
      </c>
      <c r="P25" s="649">
        <f t="shared" si="2"/>
        <v>1647.4777608720831</v>
      </c>
      <c r="Q25" s="649"/>
      <c r="R25" s="650">
        <f t="shared" si="3"/>
        <v>14.24978730129178</v>
      </c>
      <c r="S25" s="650"/>
      <c r="T25" s="623">
        <f t="shared" si="4"/>
        <v>55.054427055708665</v>
      </c>
      <c r="U25" s="650">
        <f t="shared" si="5"/>
        <v>43.420424704657293</v>
      </c>
      <c r="V25" s="650">
        <f t="shared" si="6"/>
        <v>90.405069265090788</v>
      </c>
      <c r="W25" s="650">
        <f t="shared" si="7"/>
        <v>3.896770226943568</v>
      </c>
      <c r="X25" s="650"/>
      <c r="Y25" s="650">
        <f t="shared" si="8"/>
        <v>683.83644991198378</v>
      </c>
      <c r="Z25" s="651">
        <f t="shared" si="9"/>
        <v>140.65676598379378</v>
      </c>
      <c r="AA25" s="651"/>
      <c r="AB25" s="651"/>
      <c r="AC25" s="624">
        <f t="shared" si="12"/>
        <v>615.95806642261346</v>
      </c>
      <c r="AD25" s="652">
        <f t="shared" si="13"/>
        <v>529.80223912791712</v>
      </c>
      <c r="AE25" s="1031">
        <f t="shared" si="14"/>
        <v>99.988977072310391</v>
      </c>
      <c r="AF25" s="1031">
        <v>0</v>
      </c>
      <c r="AG25" s="1034">
        <f t="shared" si="16"/>
        <v>3.8136059279446366</v>
      </c>
      <c r="AH25" s="1035">
        <v>5.04</v>
      </c>
      <c r="AI25" s="1030">
        <f t="shared" si="17"/>
        <v>0.24000000000023647</v>
      </c>
      <c r="AJ25" s="403"/>
      <c r="AK25" s="403"/>
      <c r="AL25" s="403"/>
    </row>
    <row r="26" spans="1:38" s="110" customFormat="1" x14ac:dyDescent="0.25">
      <c r="A26" s="36">
        <v>18</v>
      </c>
      <c r="B26" s="580">
        <v>42648</v>
      </c>
      <c r="C26" s="425" t="s">
        <v>226</v>
      </c>
      <c r="D26" s="681">
        <v>1989</v>
      </c>
      <c r="E26" s="683">
        <v>1</v>
      </c>
      <c r="F26" s="681">
        <v>2</v>
      </c>
      <c r="G26" s="681">
        <v>6</v>
      </c>
      <c r="H26" s="685">
        <v>54</v>
      </c>
      <c r="I26" s="686"/>
      <c r="J26" s="687">
        <v>0</v>
      </c>
      <c r="K26" s="687">
        <v>0</v>
      </c>
      <c r="L26" s="621">
        <v>1088.6400000000001</v>
      </c>
      <c r="M26" s="621">
        <v>1088.6400000000001</v>
      </c>
      <c r="N26" s="621">
        <f t="shared" si="0"/>
        <v>1088.6400000000001</v>
      </c>
      <c r="O26" s="621">
        <f t="shared" si="1"/>
        <v>1088.6400000000001</v>
      </c>
      <c r="P26" s="649">
        <f t="shared" si="2"/>
        <v>823.73888043604154</v>
      </c>
      <c r="Q26" s="649"/>
      <c r="R26" s="650">
        <f t="shared" si="3"/>
        <v>7.1248936506458902</v>
      </c>
      <c r="S26" s="650"/>
      <c r="T26" s="623">
        <f t="shared" si="4"/>
        <v>27.527213527854332</v>
      </c>
      <c r="U26" s="650">
        <f t="shared" si="5"/>
        <v>21.710212352328647</v>
      </c>
      <c r="V26" s="650">
        <f t="shared" si="6"/>
        <v>45.202534632545394</v>
      </c>
      <c r="W26" s="650">
        <f t="shared" si="7"/>
        <v>1.948385113471784</v>
      </c>
      <c r="X26" s="650"/>
      <c r="Y26" s="650">
        <f t="shared" si="8"/>
        <v>341.91822495599189</v>
      </c>
      <c r="Z26" s="651">
        <f t="shared" si="9"/>
        <v>70.328382991896888</v>
      </c>
      <c r="AA26" s="651"/>
      <c r="AB26" s="651"/>
      <c r="AC26" s="624">
        <f t="shared" si="12"/>
        <v>307.97903321130673</v>
      </c>
      <c r="AD26" s="652">
        <f t="shared" si="13"/>
        <v>264.90111956395856</v>
      </c>
      <c r="AE26" s="1031">
        <f t="shared" si="14"/>
        <v>100</v>
      </c>
      <c r="AF26" s="1031">
        <v>0</v>
      </c>
      <c r="AG26" s="1034">
        <f t="shared" si="16"/>
        <v>3.8136059279446366</v>
      </c>
      <c r="AH26" s="1035">
        <v>5.04</v>
      </c>
      <c r="AI26" s="1030">
        <f t="shared" si="17"/>
        <v>0</v>
      </c>
      <c r="AJ26" s="403"/>
      <c r="AK26" s="403"/>
      <c r="AL26" s="403"/>
    </row>
    <row r="27" spans="1:38" s="124" customFormat="1" x14ac:dyDescent="0.25">
      <c r="A27" s="36">
        <v>19</v>
      </c>
      <c r="B27" s="580">
        <v>42648</v>
      </c>
      <c r="C27" s="425" t="s">
        <v>592</v>
      </c>
      <c r="D27" s="681">
        <v>1989</v>
      </c>
      <c r="E27" s="683">
        <v>1</v>
      </c>
      <c r="F27" s="681">
        <v>2</v>
      </c>
      <c r="G27" s="681"/>
      <c r="H27" s="685">
        <v>108</v>
      </c>
      <c r="I27" s="686"/>
      <c r="J27" s="687">
        <v>0</v>
      </c>
      <c r="K27" s="687">
        <v>0</v>
      </c>
      <c r="L27" s="621">
        <v>3740</v>
      </c>
      <c r="M27" s="621">
        <v>1597.84</v>
      </c>
      <c r="N27" s="621">
        <f t="shared" si="0"/>
        <v>3740</v>
      </c>
      <c r="O27" s="621">
        <f t="shared" si="1"/>
        <v>1597.84</v>
      </c>
      <c r="P27" s="649">
        <f t="shared" si="2"/>
        <v>2138.294236936923</v>
      </c>
      <c r="Q27" s="649"/>
      <c r="R27" s="650">
        <f t="shared" si="3"/>
        <v>14.24978730129178</v>
      </c>
      <c r="S27" s="650"/>
      <c r="T27" s="623">
        <f t="shared" si="4"/>
        <v>55.054427055708665</v>
      </c>
      <c r="U27" s="650">
        <f t="shared" si="5"/>
        <v>43.420424704657293</v>
      </c>
      <c r="V27" s="650">
        <f t="shared" si="6"/>
        <v>90.405069265090788</v>
      </c>
      <c r="W27" s="650">
        <f t="shared" si="7"/>
        <v>3.896770226943568</v>
      </c>
      <c r="X27" s="650"/>
      <c r="Y27" s="650">
        <f t="shared" si="8"/>
        <v>1174.6529259768238</v>
      </c>
      <c r="Z27" s="651">
        <f t="shared" si="9"/>
        <v>140.65676598379378</v>
      </c>
      <c r="AA27" s="651"/>
      <c r="AB27" s="651"/>
      <c r="AC27" s="624">
        <f t="shared" si="12"/>
        <v>615.95806642261346</v>
      </c>
      <c r="AD27" s="652">
        <f t="shared" si="13"/>
        <v>1601.705763063077</v>
      </c>
      <c r="AE27" s="1031">
        <f t="shared" si="14"/>
        <v>42.722994652406413</v>
      </c>
      <c r="AF27" s="1031">
        <v>0</v>
      </c>
      <c r="AG27" s="1034">
        <f t="shared" si="16"/>
        <v>4.9497551780947289</v>
      </c>
      <c r="AH27" s="1035">
        <v>5.04</v>
      </c>
      <c r="AI27" s="1030">
        <f t="shared" si="17"/>
        <v>2142.16</v>
      </c>
      <c r="AJ27" s="403"/>
      <c r="AK27" s="403"/>
      <c r="AL27" s="403"/>
    </row>
    <row r="28" spans="1:38" s="110" customFormat="1" x14ac:dyDescent="0.25">
      <c r="A28" s="13">
        <v>20</v>
      </c>
      <c r="B28" s="573"/>
      <c r="C28" s="425" t="s">
        <v>227</v>
      </c>
      <c r="D28" s="681">
        <v>2010</v>
      </c>
      <c r="E28" s="681">
        <v>2</v>
      </c>
      <c r="F28" s="681">
        <v>10</v>
      </c>
      <c r="G28" s="681">
        <v>30</v>
      </c>
      <c r="H28" s="676">
        <v>637.20000000000005</v>
      </c>
      <c r="I28" s="676"/>
      <c r="J28" s="591">
        <v>2069.91</v>
      </c>
      <c r="K28" s="591">
        <v>1318.79</v>
      </c>
      <c r="L28" s="628">
        <v>22251.119999999999</v>
      </c>
      <c r="M28" s="628">
        <v>21872.53</v>
      </c>
      <c r="N28" s="620">
        <f t="shared" si="0"/>
        <v>24321.03</v>
      </c>
      <c r="O28" s="620">
        <f t="shared" si="1"/>
        <v>23191.32</v>
      </c>
      <c r="P28" s="524">
        <f t="shared" si="2"/>
        <v>19276.33108138504</v>
      </c>
      <c r="Q28" s="591">
        <v>39.92</v>
      </c>
      <c r="R28" s="623">
        <f t="shared" si="3"/>
        <v>84.07374507762151</v>
      </c>
      <c r="S28" s="623"/>
      <c r="T28" s="623">
        <f t="shared" si="4"/>
        <v>324.82111962868117</v>
      </c>
      <c r="U28" s="623">
        <f t="shared" si="5"/>
        <v>256.18050575747804</v>
      </c>
      <c r="V28" s="623">
        <f t="shared" si="6"/>
        <v>533.38990866403572</v>
      </c>
      <c r="W28" s="623">
        <f t="shared" si="7"/>
        <v>22.990944338967054</v>
      </c>
      <c r="X28" s="623"/>
      <c r="Y28" s="623">
        <f t="shared" si="8"/>
        <v>6988.594442315889</v>
      </c>
      <c r="Z28" s="624">
        <f t="shared" si="9"/>
        <v>829.87491930438341</v>
      </c>
      <c r="AA28" s="624">
        <f>235150.211/27445.26*H28</f>
        <v>5459.5115677242638</v>
      </c>
      <c r="AB28" s="624">
        <f t="shared" ref="AB28:AB32" si="18">AA28*0.202</f>
        <v>1102.8213366803013</v>
      </c>
      <c r="AC28" s="624">
        <f t="shared" si="12"/>
        <v>3634.1525918934194</v>
      </c>
      <c r="AD28" s="525">
        <f t="shared" si="13"/>
        <v>5044.6989186149585</v>
      </c>
      <c r="AE28" s="1031">
        <f t="shared" si="14"/>
        <v>98.298557555754499</v>
      </c>
      <c r="AF28" s="1031">
        <f t="shared" si="15"/>
        <v>63.712431941485384</v>
      </c>
      <c r="AG28" s="1032">
        <f t="shared" si="16"/>
        <v>7.5629045360110796</v>
      </c>
      <c r="AH28" s="1031">
        <v>8.73</v>
      </c>
      <c r="AI28" s="1030">
        <f t="shared" si="17"/>
        <v>1129.7099999999991</v>
      </c>
      <c r="AJ28" s="403"/>
      <c r="AK28" s="403"/>
      <c r="AL28" s="403"/>
    </row>
    <row r="29" spans="1:38" s="124" customFormat="1" x14ac:dyDescent="0.25">
      <c r="A29" s="13">
        <v>21</v>
      </c>
      <c r="B29" s="573"/>
      <c r="C29" s="425" t="s">
        <v>329</v>
      </c>
      <c r="D29" s="681">
        <v>2012</v>
      </c>
      <c r="E29" s="681">
        <v>2</v>
      </c>
      <c r="F29" s="681"/>
      <c r="G29" s="681"/>
      <c r="H29" s="676">
        <v>1179.9000000000001</v>
      </c>
      <c r="I29" s="676"/>
      <c r="J29" s="591">
        <v>753.42</v>
      </c>
      <c r="K29" s="591">
        <v>352.62</v>
      </c>
      <c r="L29" s="628">
        <v>41202.15</v>
      </c>
      <c r="M29" s="628">
        <v>31756.37</v>
      </c>
      <c r="N29" s="620">
        <f t="shared" si="0"/>
        <v>41955.57</v>
      </c>
      <c r="O29" s="620">
        <f t="shared" si="1"/>
        <v>32108.989999999998</v>
      </c>
      <c r="P29" s="524">
        <f t="shared" si="2"/>
        <v>38461.151947016151</v>
      </c>
      <c r="Q29" s="591"/>
      <c r="R29" s="623">
        <f t="shared" si="3"/>
        <v>155.67892626661273</v>
      </c>
      <c r="S29" s="623">
        <v>2841.23</v>
      </c>
      <c r="T29" s="623">
        <f t="shared" si="4"/>
        <v>601.46961558361727</v>
      </c>
      <c r="U29" s="623">
        <f t="shared" si="5"/>
        <v>474.36813989838095</v>
      </c>
      <c r="V29" s="623">
        <f t="shared" si="6"/>
        <v>987.67538172111688</v>
      </c>
      <c r="W29" s="623">
        <f t="shared" si="7"/>
        <v>42.572214729358485</v>
      </c>
      <c r="X29" s="623"/>
      <c r="Y29" s="623">
        <f t="shared" si="8"/>
        <v>12940.702153485559</v>
      </c>
      <c r="Z29" s="624">
        <f t="shared" si="9"/>
        <v>1536.6751683729472</v>
      </c>
      <c r="AA29" s="624">
        <f t="shared" ref="AA29:AA32" si="19">235150.211/27445.26*H29</f>
        <v>10109.349809726709</v>
      </c>
      <c r="AB29" s="624">
        <f t="shared" si="18"/>
        <v>2042.0886615647953</v>
      </c>
      <c r="AC29" s="624">
        <f t="shared" si="12"/>
        <v>6729.3418756670526</v>
      </c>
      <c r="AD29" s="525">
        <f t="shared" si="13"/>
        <v>3494.4180529838486</v>
      </c>
      <c r="AE29" s="1031">
        <f t="shared" si="14"/>
        <v>77.074545867145275</v>
      </c>
      <c r="AF29" s="1031">
        <f t="shared" si="15"/>
        <v>46.802580234132357</v>
      </c>
      <c r="AG29" s="1032">
        <f t="shared" si="16"/>
        <v>8.1492397548555271</v>
      </c>
      <c r="AH29" s="1031">
        <v>8.73</v>
      </c>
      <c r="AI29" s="1030">
        <f t="shared" si="17"/>
        <v>9846.5800000000017</v>
      </c>
      <c r="AJ29" s="403"/>
      <c r="AK29" s="403"/>
      <c r="AL29" s="403"/>
    </row>
    <row r="30" spans="1:38" s="124" customFormat="1" x14ac:dyDescent="0.25">
      <c r="A30" s="13">
        <v>22</v>
      </c>
      <c r="B30" s="576"/>
      <c r="C30" s="426" t="s">
        <v>330</v>
      </c>
      <c r="D30" s="688">
        <v>2012</v>
      </c>
      <c r="E30" s="688">
        <v>3</v>
      </c>
      <c r="F30" s="688">
        <v>28</v>
      </c>
      <c r="G30" s="688"/>
      <c r="H30" s="689">
        <v>1588.6</v>
      </c>
      <c r="I30" s="689"/>
      <c r="J30" s="632">
        <v>2329.17</v>
      </c>
      <c r="K30" s="632">
        <v>1210.95</v>
      </c>
      <c r="L30" s="630">
        <v>40245.800000000003</v>
      </c>
      <c r="M30" s="630">
        <v>35688.370000000003</v>
      </c>
      <c r="N30" s="620">
        <f t="shared" si="0"/>
        <v>42574.97</v>
      </c>
      <c r="O30" s="620">
        <f t="shared" si="1"/>
        <v>36899.32</v>
      </c>
      <c r="P30" s="524">
        <f t="shared" si="2"/>
        <v>48143.94119793197</v>
      </c>
      <c r="Q30" s="632">
        <v>164.19</v>
      </c>
      <c r="R30" s="623">
        <f t="shared" si="3"/>
        <v>209.60381580400113</v>
      </c>
      <c r="S30" s="633">
        <v>4804.45</v>
      </c>
      <c r="T30" s="623">
        <f t="shared" si="4"/>
        <v>809.80984093239613</v>
      </c>
      <c r="U30" s="623">
        <f t="shared" si="5"/>
        <v>638.68228412794974</v>
      </c>
      <c r="V30" s="623">
        <f t="shared" si="6"/>
        <v>1329.7916021715112</v>
      </c>
      <c r="W30" s="623">
        <f t="shared" si="7"/>
        <v>57.318603541875483</v>
      </c>
      <c r="X30" s="623"/>
      <c r="Y30" s="623">
        <f t="shared" si="8"/>
        <v>12640.333349806968</v>
      </c>
      <c r="Z30" s="624">
        <f t="shared" si="9"/>
        <v>2068.9568374245814</v>
      </c>
      <c r="AA30" s="624">
        <f t="shared" si="19"/>
        <v>13611.079843827314</v>
      </c>
      <c r="AB30" s="624">
        <f t="shared" si="18"/>
        <v>2749.4381284531178</v>
      </c>
      <c r="AC30" s="624">
        <f t="shared" si="12"/>
        <v>9060.2868918422555</v>
      </c>
      <c r="AD30" s="525">
        <f t="shared" si="13"/>
        <v>-5568.9711979319691</v>
      </c>
      <c r="AE30" s="1031">
        <f t="shared" si="14"/>
        <v>88.676010912939986</v>
      </c>
      <c r="AF30" s="1031">
        <f t="shared" si="15"/>
        <v>51.990623269233247</v>
      </c>
      <c r="AG30" s="1032">
        <f t="shared" si="16"/>
        <v>7.5764731836100925</v>
      </c>
      <c r="AH30" s="1036">
        <v>6.68</v>
      </c>
      <c r="AI30" s="1030">
        <f t="shared" si="17"/>
        <v>5675.6500000000015</v>
      </c>
      <c r="AJ30" s="403"/>
      <c r="AK30" s="403"/>
      <c r="AL30" s="403"/>
    </row>
    <row r="31" spans="1:38" s="124" customFormat="1" x14ac:dyDescent="0.25">
      <c r="A31" s="13">
        <v>23</v>
      </c>
      <c r="B31" s="576"/>
      <c r="C31" s="426" t="s">
        <v>474</v>
      </c>
      <c r="D31" s="681"/>
      <c r="E31" s="681">
        <v>2</v>
      </c>
      <c r="F31" s="681"/>
      <c r="G31" s="681"/>
      <c r="H31" s="676">
        <v>586.1</v>
      </c>
      <c r="I31" s="676"/>
      <c r="J31" s="591">
        <v>1594.44</v>
      </c>
      <c r="K31" s="591">
        <v>736.52</v>
      </c>
      <c r="L31" s="628">
        <v>29437.200000000001</v>
      </c>
      <c r="M31" s="628">
        <v>24326.11</v>
      </c>
      <c r="N31" s="620">
        <f t="shared" si="0"/>
        <v>31031.64</v>
      </c>
      <c r="O31" s="620">
        <f t="shared" si="1"/>
        <v>25062.63</v>
      </c>
      <c r="P31" s="524">
        <f t="shared" si="2"/>
        <v>21461.724259644856</v>
      </c>
      <c r="Q31" s="591"/>
      <c r="R31" s="623">
        <f t="shared" si="3"/>
        <v>77.331484604510308</v>
      </c>
      <c r="S31" s="622">
        <v>950.53</v>
      </c>
      <c r="T31" s="623">
        <f t="shared" si="4"/>
        <v>298.7722194199153</v>
      </c>
      <c r="U31" s="623">
        <f t="shared" si="5"/>
        <v>235.63621221666332</v>
      </c>
      <c r="V31" s="623">
        <f t="shared" si="6"/>
        <v>490.61491755805287</v>
      </c>
      <c r="W31" s="623">
        <f t="shared" si="7"/>
        <v>21.147194722329864</v>
      </c>
      <c r="X31" s="623"/>
      <c r="Y31" s="623">
        <f t="shared" si="8"/>
        <v>9245.5863937339473</v>
      </c>
      <c r="Z31" s="624">
        <f t="shared" si="9"/>
        <v>763.32343095464387</v>
      </c>
      <c r="AA31" s="624">
        <f t="shared" si="19"/>
        <v>5021.6882138154288</v>
      </c>
      <c r="AB31" s="624">
        <f t="shared" si="18"/>
        <v>1014.3810191907166</v>
      </c>
      <c r="AC31" s="624">
        <f t="shared" si="12"/>
        <v>3342.7131734286459</v>
      </c>
      <c r="AD31" s="525">
        <f t="shared" si="13"/>
        <v>9569.9157403551435</v>
      </c>
      <c r="AE31" s="1031">
        <f t="shared" si="14"/>
        <v>82.637309254956321</v>
      </c>
      <c r="AF31" s="1031">
        <f t="shared" si="15"/>
        <v>46.193020747096156</v>
      </c>
      <c r="AG31" s="1032">
        <f t="shared" si="16"/>
        <v>9.1544635129008931</v>
      </c>
      <c r="AH31" s="1031">
        <v>13</v>
      </c>
      <c r="AI31" s="1030">
        <f t="shared" si="17"/>
        <v>5969.0099999999984</v>
      </c>
      <c r="AJ31" s="403"/>
      <c r="AK31" s="403"/>
      <c r="AL31" s="403"/>
    </row>
    <row r="32" spans="1:38" s="124" customFormat="1" ht="14.25" customHeight="1" x14ac:dyDescent="0.25">
      <c r="A32" s="13">
        <v>24</v>
      </c>
      <c r="B32" s="580">
        <v>42648</v>
      </c>
      <c r="C32" s="426" t="s">
        <v>543</v>
      </c>
      <c r="D32" s="688"/>
      <c r="E32" s="688">
        <v>3</v>
      </c>
      <c r="F32" s="688"/>
      <c r="G32" s="688"/>
      <c r="H32" s="689">
        <v>1372.13</v>
      </c>
      <c r="I32" s="689"/>
      <c r="J32" s="632">
        <v>2834.54</v>
      </c>
      <c r="K32" s="632">
        <v>738.3</v>
      </c>
      <c r="L32" s="630">
        <v>70594.48</v>
      </c>
      <c r="M32" s="630">
        <v>30092.23</v>
      </c>
      <c r="N32" s="620">
        <f t="shared" si="0"/>
        <v>73429.01999999999</v>
      </c>
      <c r="O32" s="620">
        <f t="shared" si="1"/>
        <v>30830.53</v>
      </c>
      <c r="P32" s="524">
        <f t="shared" si="2"/>
        <v>51100.967436327846</v>
      </c>
      <c r="Q32" s="632">
        <v>2554.64</v>
      </c>
      <c r="R32" s="623">
        <f t="shared" si="3"/>
        <v>181.04222823816198</v>
      </c>
      <c r="S32" s="634"/>
      <c r="T32" s="623">
        <f t="shared" si="4"/>
        <v>699.46139811064393</v>
      </c>
      <c r="U32" s="623">
        <f t="shared" si="5"/>
        <v>551.6524754629761</v>
      </c>
      <c r="V32" s="623">
        <f t="shared" si="6"/>
        <v>1148.5880341732318</v>
      </c>
      <c r="W32" s="623">
        <f t="shared" si="7"/>
        <v>49.508104921259985</v>
      </c>
      <c r="X32" s="633"/>
      <c r="Y32" s="623">
        <f t="shared" si="8"/>
        <v>22172.195852891007</v>
      </c>
      <c r="Z32" s="624">
        <f t="shared" si="9"/>
        <v>1787.0311880494721</v>
      </c>
      <c r="AA32" s="624">
        <f t="shared" si="19"/>
        <v>11756.371009763801</v>
      </c>
      <c r="AB32" s="624">
        <f t="shared" si="18"/>
        <v>2374.7869439722881</v>
      </c>
      <c r="AC32" s="624">
        <f t="shared" si="12"/>
        <v>7825.6902007450062</v>
      </c>
      <c r="AD32" s="525">
        <f t="shared" si="13"/>
        <v>22328.052563672143</v>
      </c>
      <c r="AE32" s="1031">
        <f t="shared" si="14"/>
        <v>42.626888107965385</v>
      </c>
      <c r="AF32" s="1031">
        <f t="shared" si="15"/>
        <v>26.04655429099607</v>
      </c>
      <c r="AG32" s="1032">
        <f t="shared" si="16"/>
        <v>9.3105185799319017</v>
      </c>
      <c r="AH32" s="1036">
        <v>13</v>
      </c>
      <c r="AI32" s="1030">
        <f t="shared" si="17"/>
        <v>42598.489999999991</v>
      </c>
      <c r="AJ32" s="403"/>
      <c r="AK32" s="403"/>
      <c r="AL32" s="403"/>
    </row>
    <row r="33" spans="1:38" s="124" customFormat="1" x14ac:dyDescent="0.25">
      <c r="A33" s="13"/>
      <c r="B33" s="13"/>
      <c r="C33" s="417" t="s">
        <v>296</v>
      </c>
      <c r="D33" s="690"/>
      <c r="E33" s="690"/>
      <c r="F33" s="691">
        <f>SUM(F9:F28)</f>
        <v>468</v>
      </c>
      <c r="G33" s="691">
        <f>SUM(G9:G28)</f>
        <v>1278</v>
      </c>
      <c r="H33" s="653">
        <f>SUM(H9:H32)</f>
        <v>27715.26</v>
      </c>
      <c r="I33" s="653">
        <f>SUM(I9:I32)</f>
        <v>2501.9800000000005</v>
      </c>
      <c r="J33" s="637">
        <f>SUM(J9:J32)</f>
        <v>55762.400000000001</v>
      </c>
      <c r="K33" s="637">
        <f>SUM(K9:K32)</f>
        <v>30896.449999999997</v>
      </c>
      <c r="L33" s="653">
        <f t="shared" ref="L33:O33" si="20">SUM(L9:L32)</f>
        <v>996946.55000000016</v>
      </c>
      <c r="M33" s="653">
        <f t="shared" si="20"/>
        <v>886910.13</v>
      </c>
      <c r="N33" s="653">
        <f t="shared" si="20"/>
        <v>1052708.9500000002</v>
      </c>
      <c r="O33" s="653">
        <f t="shared" si="20"/>
        <v>917806.58</v>
      </c>
      <c r="P33" s="639">
        <f t="shared" ref="P33:U33" si="21">SUM(P9:P32)</f>
        <v>897291.16362200002</v>
      </c>
      <c r="Q33" s="637">
        <f t="shared" si="21"/>
        <v>13027.279999999999</v>
      </c>
      <c r="R33" s="640">
        <f t="shared" si="21"/>
        <v>3656.8200000000011</v>
      </c>
      <c r="S33" s="640">
        <f t="shared" si="21"/>
        <v>41201.72</v>
      </c>
      <c r="T33" s="641">
        <f t="shared" si="21"/>
        <v>14128.220000000003</v>
      </c>
      <c r="U33" s="641">
        <f t="shared" si="21"/>
        <v>11142.669999999998</v>
      </c>
      <c r="V33" s="637">
        <f t="shared" ref="V33:AC33" si="22">SUM(V9:V32)</f>
        <v>23200.000000000007</v>
      </c>
      <c r="W33" s="641">
        <f t="shared" si="22"/>
        <v>1000</v>
      </c>
      <c r="X33" s="641">
        <f t="shared" si="22"/>
        <v>0</v>
      </c>
      <c r="Y33" s="641">
        <f t="shared" si="22"/>
        <v>313119.3</v>
      </c>
      <c r="Z33" s="641">
        <f t="shared" si="22"/>
        <v>36095.730000000003</v>
      </c>
      <c r="AA33" s="641">
        <f t="shared" si="22"/>
        <v>235150.21099999998</v>
      </c>
      <c r="AB33" s="641">
        <f t="shared" si="22"/>
        <v>47500.342622000026</v>
      </c>
      <c r="AC33" s="641">
        <f t="shared" si="22"/>
        <v>158068.87</v>
      </c>
      <c r="AD33" s="644">
        <f>SUM(AD9:AD32)</f>
        <v>155417.78637799999</v>
      </c>
      <c r="AE33" s="639">
        <f>M33/L33*100</f>
        <v>88.962656022030444</v>
      </c>
      <c r="AF33" s="639">
        <f t="shared" si="15"/>
        <v>55.407317475574935</v>
      </c>
      <c r="AG33" s="762">
        <f t="shared" si="16"/>
        <v>8.0938367854207396</v>
      </c>
      <c r="AH33" s="639"/>
      <c r="AI33" s="644">
        <f t="shared" si="17"/>
        <v>134902.37000000023</v>
      </c>
      <c r="AJ33" s="403"/>
      <c r="AK33" s="403"/>
      <c r="AL33" s="403"/>
    </row>
    <row r="34" spans="1:38" s="124" customFormat="1" x14ac:dyDescent="0.25">
      <c r="A34" s="13"/>
      <c r="B34" s="13"/>
      <c r="C34" s="561" t="s">
        <v>605</v>
      </c>
      <c r="D34" s="690"/>
      <c r="E34" s="690"/>
      <c r="F34" s="691"/>
      <c r="G34" s="691"/>
      <c r="H34" s="692"/>
      <c r="I34" s="692"/>
      <c r="J34" s="692"/>
      <c r="K34" s="692"/>
      <c r="L34" s="163" t="s">
        <v>180</v>
      </c>
      <c r="M34" s="163"/>
      <c r="N34" s="163"/>
      <c r="O34" s="163"/>
      <c r="P34" s="418" t="s">
        <v>180</v>
      </c>
      <c r="Q34" s="419">
        <f>Q33+R33</f>
        <v>16684.099999999999</v>
      </c>
      <c r="R34" s="420"/>
      <c r="S34" s="420"/>
      <c r="T34" s="421"/>
      <c r="U34" s="419"/>
      <c r="V34" s="419"/>
      <c r="W34" s="421"/>
      <c r="X34" s="421"/>
      <c r="Y34" s="421"/>
      <c r="Z34" s="421"/>
      <c r="AA34" s="421">
        <f>AA33+AB33</f>
        <v>282650.55362200004</v>
      </c>
      <c r="AB34" s="421"/>
      <c r="AC34" s="421"/>
      <c r="AD34" s="294"/>
      <c r="AE34" s="49"/>
      <c r="AF34" s="49"/>
      <c r="AG34" s="294"/>
      <c r="AH34" s="49"/>
      <c r="AI34" s="614"/>
      <c r="AJ34" s="403"/>
      <c r="AK34" s="403"/>
      <c r="AL34" s="403"/>
    </row>
    <row r="35" spans="1:38" s="124" customFormat="1" x14ac:dyDescent="0.25">
      <c r="A35" s="13"/>
      <c r="B35" s="13"/>
      <c r="C35" s="417"/>
      <c r="D35" s="690"/>
      <c r="E35" s="690"/>
      <c r="F35" s="691"/>
      <c r="G35" s="691"/>
      <c r="H35" s="692"/>
      <c r="I35" s="692"/>
      <c r="J35" s="692"/>
      <c r="K35" s="692"/>
      <c r="L35" s="163"/>
      <c r="M35" s="163"/>
      <c r="N35" s="163"/>
      <c r="O35" s="163"/>
      <c r="P35" s="418"/>
      <c r="Q35" s="419"/>
      <c r="R35" s="420"/>
      <c r="S35" s="420"/>
      <c r="T35" s="421"/>
      <c r="U35" s="419"/>
      <c r="V35" s="419"/>
      <c r="W35" s="421"/>
      <c r="X35" s="421"/>
      <c r="Y35" s="421"/>
      <c r="Z35" s="421"/>
      <c r="AA35" s="421"/>
      <c r="AB35" s="421"/>
      <c r="AC35" s="421"/>
      <c r="AD35" s="294"/>
      <c r="AE35" s="49"/>
      <c r="AF35" s="49"/>
      <c r="AG35" s="294"/>
      <c r="AH35" s="49"/>
      <c r="AI35" s="614"/>
      <c r="AJ35" s="403"/>
      <c r="AK35" s="403"/>
      <c r="AL35" s="403"/>
    </row>
    <row r="36" spans="1:38" s="124" customFormat="1" x14ac:dyDescent="0.25">
      <c r="A36" s="13"/>
      <c r="B36" s="13"/>
      <c r="C36" s="417"/>
      <c r="D36" s="690"/>
      <c r="E36" s="690"/>
      <c r="F36" s="691"/>
      <c r="G36" s="691"/>
      <c r="H36" s="692"/>
      <c r="I36" s="692"/>
      <c r="J36" s="692"/>
      <c r="K36" s="692"/>
      <c r="L36" s="163"/>
      <c r="M36" s="163"/>
      <c r="N36" s="163"/>
      <c r="O36" s="163"/>
      <c r="P36" s="418"/>
      <c r="Q36" s="419"/>
      <c r="R36" s="420"/>
      <c r="S36" s="420"/>
      <c r="T36" s="421"/>
      <c r="U36" s="419"/>
      <c r="V36" s="419"/>
      <c r="W36" s="421"/>
      <c r="X36" s="421"/>
      <c r="Y36" s="421"/>
      <c r="Z36" s="421"/>
      <c r="AA36" s="421"/>
      <c r="AB36" s="421"/>
      <c r="AC36" s="421"/>
      <c r="AD36" s="294"/>
      <c r="AE36" s="49"/>
      <c r="AF36" s="49"/>
      <c r="AG36" s="294"/>
      <c r="AH36" s="49"/>
      <c r="AI36" s="614"/>
      <c r="AJ36" s="403"/>
      <c r="AK36" s="403"/>
      <c r="AL36" s="403"/>
    </row>
    <row r="37" spans="1:38" s="124" customFormat="1" x14ac:dyDescent="0.25">
      <c r="A37" s="13"/>
      <c r="B37" s="13"/>
      <c r="C37" s="417"/>
      <c r="D37" s="690"/>
      <c r="E37" s="690"/>
      <c r="F37" s="691"/>
      <c r="G37" s="691"/>
      <c r="H37" s="692"/>
      <c r="I37" s="692"/>
      <c r="J37" s="692"/>
      <c r="K37" s="692"/>
      <c r="L37" s="163"/>
      <c r="M37" s="163"/>
      <c r="N37" s="163"/>
      <c r="O37" s="163"/>
      <c r="P37" s="418"/>
      <c r="Q37" s="419"/>
      <c r="R37" s="420"/>
      <c r="S37" s="420"/>
      <c r="T37" s="421"/>
      <c r="U37" s="419"/>
      <c r="V37" s="419"/>
      <c r="W37" s="421"/>
      <c r="X37" s="421"/>
      <c r="Y37" s="421"/>
      <c r="Z37" s="421"/>
      <c r="AA37" s="421"/>
      <c r="AB37" s="421"/>
      <c r="AC37" s="421"/>
      <c r="AD37" s="294"/>
      <c r="AE37" s="49"/>
      <c r="AF37" s="49"/>
      <c r="AG37" s="294"/>
      <c r="AH37" s="49"/>
      <c r="AI37" s="614"/>
      <c r="AJ37" s="403"/>
      <c r="AK37" s="403"/>
      <c r="AL37" s="403"/>
    </row>
    <row r="38" spans="1:38" s="124" customFormat="1" x14ac:dyDescent="0.25">
      <c r="A38" s="13"/>
      <c r="B38" s="13"/>
      <c r="C38" s="417"/>
      <c r="D38" s="690"/>
      <c r="E38" s="690"/>
      <c r="F38" s="691"/>
      <c r="G38" s="691"/>
      <c r="H38" s="692"/>
      <c r="I38" s="692"/>
      <c r="J38" s="692"/>
      <c r="K38" s="692"/>
      <c r="L38" s="163"/>
      <c r="M38" s="163"/>
      <c r="N38" s="163"/>
      <c r="O38" s="163"/>
      <c r="P38" s="418"/>
      <c r="Q38" s="419"/>
      <c r="R38" s="420"/>
      <c r="S38" s="420"/>
      <c r="T38" s="421"/>
      <c r="U38" s="419"/>
      <c r="V38" s="419"/>
      <c r="W38" s="421"/>
      <c r="X38" s="421"/>
      <c r="Y38" s="421"/>
      <c r="Z38" s="421"/>
      <c r="AA38" s="421"/>
      <c r="AB38" s="421"/>
      <c r="AC38" s="421"/>
      <c r="AD38" s="294"/>
      <c r="AE38" s="49"/>
      <c r="AF38" s="49"/>
      <c r="AG38" s="294"/>
      <c r="AH38" s="49"/>
      <c r="AI38" s="614"/>
      <c r="AJ38" s="403"/>
      <c r="AK38" s="403"/>
      <c r="AL38" s="403"/>
    </row>
    <row r="39" spans="1:38" s="124" customFormat="1" x14ac:dyDescent="0.25">
      <c r="A39" s="13"/>
      <c r="B39" s="13"/>
      <c r="C39" s="417" t="s">
        <v>590</v>
      </c>
      <c r="D39" s="690"/>
      <c r="E39" s="690"/>
      <c r="F39" s="691"/>
      <c r="G39" s="691"/>
      <c r="H39" s="692"/>
      <c r="I39" s="692"/>
      <c r="J39" s="692"/>
      <c r="K39" s="692"/>
      <c r="L39" s="163"/>
      <c r="M39" s="163"/>
      <c r="N39" s="163"/>
      <c r="O39" s="163"/>
      <c r="P39" s="418"/>
      <c r="Q39" s="419"/>
      <c r="R39" s="420"/>
      <c r="S39" s="420"/>
      <c r="T39" s="421"/>
      <c r="U39" s="419"/>
      <c r="V39" s="419"/>
      <c r="W39" s="421"/>
      <c r="X39" s="421"/>
      <c r="Y39" s="421"/>
      <c r="Z39" s="421"/>
      <c r="AA39" s="421"/>
      <c r="AB39" s="421"/>
      <c r="AC39" s="421"/>
      <c r="AD39" s="294"/>
      <c r="AE39" s="49"/>
      <c r="AF39" s="49"/>
      <c r="AG39" s="294"/>
      <c r="AH39" s="49"/>
      <c r="AI39" s="614"/>
      <c r="AJ39" s="403"/>
      <c r="AK39" s="403"/>
      <c r="AL39" s="403"/>
    </row>
    <row r="40" spans="1:38" s="124" customFormat="1" x14ac:dyDescent="0.25">
      <c r="A40" s="13"/>
      <c r="B40" s="13"/>
      <c r="C40" s="417"/>
      <c r="D40" s="690"/>
      <c r="E40" s="690"/>
      <c r="F40" s="691"/>
      <c r="G40" s="691"/>
      <c r="H40" s="692"/>
      <c r="I40" s="692"/>
      <c r="J40" s="692"/>
      <c r="K40" s="692"/>
      <c r="L40" s="163"/>
      <c r="M40" s="163"/>
      <c r="N40" s="163"/>
      <c r="O40" s="163"/>
      <c r="P40" s="418"/>
      <c r="Q40" s="419"/>
      <c r="R40" s="420"/>
      <c r="S40" s="420"/>
      <c r="T40" s="421"/>
      <c r="U40" s="419"/>
      <c r="V40" s="419"/>
      <c r="W40" s="421"/>
      <c r="X40" s="421"/>
      <c r="Y40" s="421"/>
      <c r="Z40" s="421"/>
      <c r="AA40" s="421"/>
      <c r="AB40" s="421"/>
      <c r="AC40" s="421"/>
      <c r="AD40" s="294"/>
      <c r="AE40" s="49"/>
      <c r="AF40" s="49"/>
      <c r="AG40" s="294"/>
      <c r="AH40" s="49"/>
      <c r="AI40" s="614"/>
      <c r="AJ40" s="403"/>
      <c r="AK40" s="403"/>
      <c r="AL40" s="403"/>
    </row>
    <row r="41" spans="1:38" s="124" customFormat="1" x14ac:dyDescent="0.25">
      <c r="A41" s="13"/>
      <c r="B41" s="13"/>
      <c r="C41" s="417"/>
      <c r="D41" s="690"/>
      <c r="E41" s="690"/>
      <c r="F41" s="691"/>
      <c r="G41" s="691"/>
      <c r="H41" s="692"/>
      <c r="I41" s="692"/>
      <c r="J41" s="692"/>
      <c r="K41" s="692"/>
      <c r="L41" s="163"/>
      <c r="M41" s="163"/>
      <c r="N41" s="163"/>
      <c r="O41" s="163"/>
      <c r="P41" s="418"/>
      <c r="Q41" s="419"/>
      <c r="R41" s="420"/>
      <c r="S41" s="420"/>
      <c r="T41" s="421"/>
      <c r="U41" s="419"/>
      <c r="V41" s="419"/>
      <c r="W41" s="421"/>
      <c r="X41" s="421"/>
      <c r="Y41" s="421"/>
      <c r="Z41" s="421"/>
      <c r="AA41" s="421"/>
      <c r="AB41" s="421"/>
      <c r="AC41" s="421"/>
      <c r="AD41" s="294"/>
      <c r="AE41" s="49"/>
      <c r="AF41" s="49"/>
      <c r="AG41" s="294"/>
      <c r="AH41" s="49"/>
      <c r="AI41" s="614"/>
      <c r="AJ41" s="403"/>
      <c r="AK41" s="403"/>
      <c r="AL41" s="403"/>
    </row>
    <row r="42" spans="1:38" s="124" customFormat="1" x14ac:dyDescent="0.25">
      <c r="A42" s="13"/>
      <c r="B42" s="13"/>
      <c r="C42" s="417"/>
      <c r="D42" s="690"/>
      <c r="E42" s="690"/>
      <c r="F42" s="691"/>
      <c r="G42" s="691"/>
      <c r="H42" s="692"/>
      <c r="I42" s="692"/>
      <c r="J42" s="692"/>
      <c r="K42" s="692"/>
      <c r="L42" s="163"/>
      <c r="M42" s="163"/>
      <c r="N42" s="163"/>
      <c r="O42" s="163"/>
      <c r="P42" s="418"/>
      <c r="Q42" s="419"/>
      <c r="R42" s="420"/>
      <c r="S42" s="420"/>
      <c r="T42" s="421"/>
      <c r="U42" s="419"/>
      <c r="V42" s="419"/>
      <c r="W42" s="421"/>
      <c r="X42" s="421"/>
      <c r="Y42" s="421"/>
      <c r="Z42" s="421"/>
      <c r="AA42" s="421"/>
      <c r="AB42" s="421"/>
      <c r="AC42" s="421"/>
      <c r="AD42" s="294"/>
      <c r="AE42" s="49"/>
      <c r="AF42" s="49"/>
      <c r="AG42" s="294"/>
      <c r="AH42" s="49"/>
      <c r="AI42" s="614"/>
      <c r="AJ42" s="403"/>
      <c r="AK42" s="403"/>
      <c r="AL42" s="403"/>
    </row>
    <row r="43" spans="1:38" s="124" customFormat="1" x14ac:dyDescent="0.25">
      <c r="A43" s="13"/>
      <c r="B43" s="13"/>
      <c r="C43" s="417"/>
      <c r="D43" s="690"/>
      <c r="E43" s="690"/>
      <c r="F43" s="691"/>
      <c r="G43" s="691"/>
      <c r="H43" s="692"/>
      <c r="I43" s="692"/>
      <c r="J43" s="692"/>
      <c r="K43" s="692"/>
      <c r="L43" s="163"/>
      <c r="M43" s="163"/>
      <c r="N43" s="163"/>
      <c r="O43" s="163"/>
      <c r="P43" s="418"/>
      <c r="Q43" s="419"/>
      <c r="R43" s="420"/>
      <c r="S43" s="420"/>
      <c r="T43" s="421"/>
      <c r="U43" s="419"/>
      <c r="V43" s="419"/>
      <c r="W43" s="421"/>
      <c r="X43" s="421"/>
      <c r="Y43" s="421"/>
      <c r="Z43" s="421"/>
      <c r="AA43" s="421"/>
      <c r="AB43" s="421"/>
      <c r="AC43" s="421"/>
      <c r="AD43" s="294"/>
      <c r="AE43" s="49"/>
      <c r="AF43" s="49"/>
      <c r="AG43" s="294"/>
      <c r="AH43" s="49"/>
      <c r="AI43" s="614"/>
      <c r="AJ43" s="403"/>
      <c r="AK43" s="403"/>
      <c r="AL43" s="403"/>
    </row>
    <row r="44" spans="1:38" s="124" customFormat="1" ht="15" customHeight="1" x14ac:dyDescent="0.25">
      <c r="A44" s="2017" t="s">
        <v>0</v>
      </c>
      <c r="B44" s="2020"/>
      <c r="C44" s="2017" t="s">
        <v>184</v>
      </c>
      <c r="D44" s="2163" t="s">
        <v>54</v>
      </c>
      <c r="E44" s="2163" t="s">
        <v>55</v>
      </c>
      <c r="F44" s="2163" t="s">
        <v>56</v>
      </c>
      <c r="G44" s="2163" t="s">
        <v>57</v>
      </c>
      <c r="H44" s="2163" t="s">
        <v>6</v>
      </c>
      <c r="I44" s="2228" t="s">
        <v>282</v>
      </c>
      <c r="J44" s="693"/>
      <c r="K44" s="693"/>
      <c r="L44" s="2249" t="s">
        <v>284</v>
      </c>
      <c r="M44" s="2250"/>
      <c r="N44" s="615"/>
      <c r="O44" s="615"/>
      <c r="P44" s="1987" t="s">
        <v>457</v>
      </c>
      <c r="Q44" s="2009" t="s">
        <v>370</v>
      </c>
      <c r="R44" s="1987" t="s">
        <v>333</v>
      </c>
      <c r="S44" s="2102" t="s">
        <v>606</v>
      </c>
      <c r="T44" s="2003" t="s">
        <v>475</v>
      </c>
      <c r="U44" s="2003" t="s">
        <v>10</v>
      </c>
      <c r="V44" s="2003" t="s">
        <v>476</v>
      </c>
      <c r="W44" s="2003" t="s">
        <v>309</v>
      </c>
      <c r="X44" s="2003" t="s">
        <v>319</v>
      </c>
      <c r="Y44" s="2194" t="s">
        <v>461</v>
      </c>
      <c r="Z44" s="2107" t="s">
        <v>338</v>
      </c>
      <c r="AA44" s="2009" t="s">
        <v>321</v>
      </c>
      <c r="AB44" s="2005" t="s">
        <v>569</v>
      </c>
      <c r="AC44" s="1987" t="s">
        <v>369</v>
      </c>
      <c r="AD44" s="1987" t="s">
        <v>175</v>
      </c>
      <c r="AE44" s="1987" t="s">
        <v>183</v>
      </c>
      <c r="AF44" s="1018"/>
      <c r="AG44" s="2251" t="s">
        <v>182</v>
      </c>
      <c r="AH44" s="2253" t="s">
        <v>544</v>
      </c>
      <c r="AI44" s="2257" t="s">
        <v>566</v>
      </c>
      <c r="AJ44" s="403"/>
      <c r="AK44" s="403"/>
      <c r="AL44" s="403"/>
    </row>
    <row r="45" spans="1:38" s="110" customFormat="1" ht="30" customHeight="1" x14ac:dyDescent="0.25">
      <c r="A45" s="2017"/>
      <c r="B45" s="2021"/>
      <c r="C45" s="2017"/>
      <c r="D45" s="2163"/>
      <c r="E45" s="2163"/>
      <c r="F45" s="2163"/>
      <c r="G45" s="2163"/>
      <c r="H45" s="2163"/>
      <c r="I45" s="2229"/>
      <c r="J45" s="694"/>
      <c r="K45" s="694"/>
      <c r="L45" s="51" t="s">
        <v>15</v>
      </c>
      <c r="M45" s="510" t="s">
        <v>16</v>
      </c>
      <c r="N45" s="616"/>
      <c r="O45" s="616"/>
      <c r="P45" s="1988"/>
      <c r="Q45" s="2009"/>
      <c r="R45" s="1988"/>
      <c r="S45" s="2102"/>
      <c r="T45" s="2004"/>
      <c r="U45" s="2002"/>
      <c r="V45" s="2004"/>
      <c r="W45" s="2004"/>
      <c r="X45" s="2004"/>
      <c r="Y45" s="2004"/>
      <c r="Z45" s="2107"/>
      <c r="AA45" s="2009"/>
      <c r="AB45" s="2099"/>
      <c r="AC45" s="2002"/>
      <c r="AD45" s="1988"/>
      <c r="AE45" s="1988"/>
      <c r="AF45" s="1019"/>
      <c r="AG45" s="2252"/>
      <c r="AH45" s="2254"/>
      <c r="AI45" s="2258"/>
      <c r="AJ45" s="403"/>
      <c r="AK45" s="403"/>
      <c r="AL45" s="403"/>
    </row>
    <row r="46" spans="1:38" s="110" customFormat="1" x14ac:dyDescent="0.25">
      <c r="A46" s="112">
        <v>1</v>
      </c>
      <c r="B46" s="112"/>
      <c r="C46" s="422" t="s">
        <v>210</v>
      </c>
      <c r="D46" s="671">
        <v>1975</v>
      </c>
      <c r="E46" s="671">
        <v>2</v>
      </c>
      <c r="F46" s="671">
        <v>18</v>
      </c>
      <c r="G46" s="672">
        <v>60</v>
      </c>
      <c r="H46" s="673">
        <v>783.27</v>
      </c>
      <c r="I46" s="674">
        <v>85.12</v>
      </c>
      <c r="J46" s="695"/>
      <c r="K46" s="695"/>
      <c r="L46" s="620">
        <v>5881.64</v>
      </c>
      <c r="M46" s="620">
        <v>4946.7</v>
      </c>
      <c r="N46" s="621"/>
      <c r="O46" s="621"/>
      <c r="P46" s="524">
        <f t="shared" ref="P46:P66" si="23">Q46+R46+S46+T46+U46+V46+W46+X46+Y46+Z46+AA46+AB46+AC46</f>
        <v>0</v>
      </c>
      <c r="Q46" s="622"/>
      <c r="R46" s="623"/>
      <c r="S46" s="623"/>
      <c r="T46" s="623"/>
      <c r="U46" s="623"/>
      <c r="V46" s="623"/>
      <c r="W46" s="623"/>
      <c r="X46" s="623"/>
      <c r="Y46" s="623"/>
      <c r="Z46" s="624"/>
      <c r="AA46" s="624"/>
      <c r="AB46" s="624"/>
      <c r="AC46" s="624"/>
      <c r="AD46" s="525">
        <f>L46-P46</f>
        <v>5881.64</v>
      </c>
      <c r="AE46" s="524">
        <f>M46/L46*100</f>
        <v>84.104093416122026</v>
      </c>
      <c r="AF46" s="524"/>
      <c r="AG46" s="525">
        <f>P46/H46/4</f>
        <v>0</v>
      </c>
      <c r="AH46" s="622">
        <v>1.88</v>
      </c>
      <c r="AI46" s="625">
        <f>L46-M46</f>
        <v>934.94000000000051</v>
      </c>
      <c r="AJ46" s="403"/>
      <c r="AK46" s="403"/>
      <c r="AL46" s="403"/>
    </row>
    <row r="47" spans="1:38" s="110" customFormat="1" x14ac:dyDescent="0.25">
      <c r="A47" s="13">
        <v>2</v>
      </c>
      <c r="B47" s="13"/>
      <c r="C47" s="422" t="s">
        <v>211</v>
      </c>
      <c r="D47" s="675">
        <v>1975</v>
      </c>
      <c r="E47" s="675">
        <v>2</v>
      </c>
      <c r="F47" s="675">
        <v>18</v>
      </c>
      <c r="G47" s="672">
        <v>52</v>
      </c>
      <c r="H47" s="676">
        <v>784.97</v>
      </c>
      <c r="I47" s="677">
        <v>85.12</v>
      </c>
      <c r="J47" s="686"/>
      <c r="K47" s="686"/>
      <c r="L47" s="620">
        <v>5871.6</v>
      </c>
      <c r="M47" s="620">
        <v>5790.48</v>
      </c>
      <c r="N47" s="621"/>
      <c r="O47" s="621"/>
      <c r="P47" s="524">
        <f t="shared" si="23"/>
        <v>0</v>
      </c>
      <c r="Q47" s="622"/>
      <c r="R47" s="623"/>
      <c r="S47" s="623"/>
      <c r="T47" s="623"/>
      <c r="U47" s="623"/>
      <c r="V47" s="623"/>
      <c r="W47" s="623"/>
      <c r="X47" s="623"/>
      <c r="Y47" s="623"/>
      <c r="Z47" s="624"/>
      <c r="AA47" s="624"/>
      <c r="AB47" s="624"/>
      <c r="AC47" s="624"/>
      <c r="AD47" s="525">
        <f t="shared" ref="AD47:AD66" si="24">L47-P47</f>
        <v>5871.6</v>
      </c>
      <c r="AE47" s="524">
        <f t="shared" ref="AE47:AE67" si="25">M47/L47*100</f>
        <v>98.618434498262815</v>
      </c>
      <c r="AF47" s="524"/>
      <c r="AG47" s="525">
        <f t="shared" ref="AG47:AG66" si="26">P47/H47/4</f>
        <v>0</v>
      </c>
      <c r="AH47" s="622">
        <v>1.87</v>
      </c>
      <c r="AI47" s="625">
        <f t="shared" ref="AI47:AI66" si="27">L47-M47</f>
        <v>81.1200000000008</v>
      </c>
      <c r="AJ47" s="403"/>
      <c r="AK47" s="403"/>
      <c r="AL47" s="403"/>
    </row>
    <row r="48" spans="1:38" s="110" customFormat="1" x14ac:dyDescent="0.25">
      <c r="A48" s="13">
        <v>3</v>
      </c>
      <c r="B48" s="13"/>
      <c r="C48" s="422" t="s">
        <v>212</v>
      </c>
      <c r="D48" s="675">
        <v>1975</v>
      </c>
      <c r="E48" s="675">
        <v>2</v>
      </c>
      <c r="F48" s="675">
        <v>18</v>
      </c>
      <c r="G48" s="679">
        <v>58</v>
      </c>
      <c r="H48" s="677">
        <v>788.23</v>
      </c>
      <c r="I48" s="677">
        <v>86.42</v>
      </c>
      <c r="J48" s="686"/>
      <c r="K48" s="686"/>
      <c r="L48" s="620">
        <v>5896.04</v>
      </c>
      <c r="M48" s="620">
        <v>6660.43</v>
      </c>
      <c r="N48" s="621"/>
      <c r="O48" s="621"/>
      <c r="P48" s="524">
        <f t="shared" si="23"/>
        <v>0</v>
      </c>
      <c r="Q48" s="622"/>
      <c r="R48" s="623"/>
      <c r="S48" s="623"/>
      <c r="T48" s="623"/>
      <c r="U48" s="623"/>
      <c r="V48" s="623"/>
      <c r="W48" s="623"/>
      <c r="X48" s="623"/>
      <c r="Y48" s="623"/>
      <c r="Z48" s="624"/>
      <c r="AA48" s="624"/>
      <c r="AB48" s="624"/>
      <c r="AC48" s="624"/>
      <c r="AD48" s="525">
        <f t="shared" si="24"/>
        <v>5896.04</v>
      </c>
      <c r="AE48" s="524">
        <f t="shared" si="25"/>
        <v>112.96446428450282</v>
      </c>
      <c r="AF48" s="524"/>
      <c r="AG48" s="525">
        <f t="shared" si="26"/>
        <v>0</v>
      </c>
      <c r="AH48" s="622">
        <v>1.87</v>
      </c>
      <c r="AI48" s="625">
        <f t="shared" si="27"/>
        <v>-764.39000000000033</v>
      </c>
      <c r="AJ48" s="403"/>
      <c r="AK48" s="403"/>
      <c r="AL48" s="403"/>
    </row>
    <row r="49" spans="1:38" s="110" customFormat="1" x14ac:dyDescent="0.25">
      <c r="A49" s="13">
        <v>4</v>
      </c>
      <c r="B49" s="13"/>
      <c r="C49" s="422" t="s">
        <v>213</v>
      </c>
      <c r="D49" s="675">
        <v>1975</v>
      </c>
      <c r="E49" s="675">
        <v>2</v>
      </c>
      <c r="F49" s="675">
        <v>18</v>
      </c>
      <c r="G49" s="680">
        <v>42</v>
      </c>
      <c r="H49" s="677">
        <v>789.57</v>
      </c>
      <c r="I49" s="677">
        <v>86.42</v>
      </c>
      <c r="J49" s="686"/>
      <c r="K49" s="686"/>
      <c r="L49" s="620">
        <v>8053.76</v>
      </c>
      <c r="M49" s="620">
        <v>7422.91</v>
      </c>
      <c r="N49" s="621"/>
      <c r="O49" s="621"/>
      <c r="P49" s="524">
        <f t="shared" si="23"/>
        <v>0</v>
      </c>
      <c r="Q49" s="622"/>
      <c r="R49" s="623"/>
      <c r="S49" s="623"/>
      <c r="T49" s="623"/>
      <c r="U49" s="623"/>
      <c r="V49" s="623"/>
      <c r="W49" s="623"/>
      <c r="X49" s="623"/>
      <c r="Y49" s="623"/>
      <c r="Z49" s="624"/>
      <c r="AA49" s="624"/>
      <c r="AB49" s="624"/>
      <c r="AC49" s="624"/>
      <c r="AD49" s="525">
        <f t="shared" si="24"/>
        <v>8053.76</v>
      </c>
      <c r="AE49" s="524">
        <f t="shared" si="25"/>
        <v>92.167012674825173</v>
      </c>
      <c r="AF49" s="524"/>
      <c r="AG49" s="525">
        <f t="shared" si="26"/>
        <v>0</v>
      </c>
      <c r="AH49" s="622">
        <v>2.5499999999999998</v>
      </c>
      <c r="AI49" s="625">
        <f t="shared" si="27"/>
        <v>630.85000000000036</v>
      </c>
      <c r="AJ49" s="403"/>
      <c r="AK49" s="403"/>
      <c r="AL49" s="403"/>
    </row>
    <row r="50" spans="1:38" s="110" customFormat="1" ht="17.25" customHeight="1" x14ac:dyDescent="0.25">
      <c r="A50" s="13">
        <v>5</v>
      </c>
      <c r="B50" s="13"/>
      <c r="C50" s="422" t="s">
        <v>214</v>
      </c>
      <c r="D50" s="675">
        <v>1975</v>
      </c>
      <c r="E50" s="675">
        <v>5</v>
      </c>
      <c r="F50" s="675">
        <v>90</v>
      </c>
      <c r="G50" s="679">
        <v>268</v>
      </c>
      <c r="H50" s="677">
        <v>4496.09</v>
      </c>
      <c r="I50" s="677">
        <v>423.6</v>
      </c>
      <c r="J50" s="686"/>
      <c r="K50" s="686"/>
      <c r="L50" s="620">
        <v>43513.64</v>
      </c>
      <c r="M50" s="620">
        <v>39739.56</v>
      </c>
      <c r="N50" s="621"/>
      <c r="O50" s="621"/>
      <c r="P50" s="524">
        <f t="shared" si="23"/>
        <v>0</v>
      </c>
      <c r="Q50" s="622"/>
      <c r="R50" s="623"/>
      <c r="S50" s="623"/>
      <c r="T50" s="623"/>
      <c r="U50" s="623"/>
      <c r="V50" s="623"/>
      <c r="W50" s="623"/>
      <c r="X50" s="623"/>
      <c r="Y50" s="623"/>
      <c r="Z50" s="624"/>
      <c r="AA50" s="624"/>
      <c r="AB50" s="624"/>
      <c r="AC50" s="624"/>
      <c r="AD50" s="525">
        <f t="shared" si="24"/>
        <v>43513.64</v>
      </c>
      <c r="AE50" s="524">
        <f t="shared" si="25"/>
        <v>91.326673659110099</v>
      </c>
      <c r="AF50" s="524"/>
      <c r="AG50" s="525">
        <f t="shared" si="26"/>
        <v>0</v>
      </c>
      <c r="AH50" s="524">
        <v>2.42</v>
      </c>
      <c r="AI50" s="625">
        <f t="shared" si="27"/>
        <v>3774.0800000000017</v>
      </c>
      <c r="AJ50" s="403"/>
      <c r="AK50" s="403"/>
      <c r="AL50" s="403"/>
    </row>
    <row r="51" spans="1:38" s="110" customFormat="1" x14ac:dyDescent="0.25">
      <c r="A51" s="13">
        <v>6</v>
      </c>
      <c r="B51" s="13"/>
      <c r="C51" s="422" t="s">
        <v>215</v>
      </c>
      <c r="D51" s="675">
        <v>1963</v>
      </c>
      <c r="E51" s="675">
        <v>2</v>
      </c>
      <c r="F51" s="675">
        <v>12</v>
      </c>
      <c r="G51" s="680">
        <v>39</v>
      </c>
      <c r="H51" s="677">
        <v>515.1</v>
      </c>
      <c r="I51" s="677">
        <v>49.6</v>
      </c>
      <c r="J51" s="686"/>
      <c r="K51" s="686"/>
      <c r="L51" s="620">
        <v>3791.08</v>
      </c>
      <c r="M51" s="620">
        <v>3032.78</v>
      </c>
      <c r="N51" s="621"/>
      <c r="O51" s="621"/>
      <c r="P51" s="524">
        <f t="shared" si="23"/>
        <v>0</v>
      </c>
      <c r="Q51" s="622"/>
      <c r="R51" s="623"/>
      <c r="S51" s="623"/>
      <c r="T51" s="623"/>
      <c r="U51" s="623"/>
      <c r="V51" s="623"/>
      <c r="W51" s="623"/>
      <c r="X51" s="623"/>
      <c r="Y51" s="623"/>
      <c r="Z51" s="624"/>
      <c r="AA51" s="624"/>
      <c r="AB51" s="624"/>
      <c r="AC51" s="624"/>
      <c r="AD51" s="525">
        <f t="shared" si="24"/>
        <v>3791.08</v>
      </c>
      <c r="AE51" s="524">
        <f t="shared" si="25"/>
        <v>79.997784272555577</v>
      </c>
      <c r="AF51" s="524"/>
      <c r="AG51" s="525">
        <f t="shared" si="26"/>
        <v>0</v>
      </c>
      <c r="AH51" s="524">
        <v>1.84</v>
      </c>
      <c r="AI51" s="625">
        <f t="shared" si="27"/>
        <v>758.29999999999973</v>
      </c>
      <c r="AJ51" s="403"/>
      <c r="AK51" s="403"/>
      <c r="AL51" s="403"/>
    </row>
    <row r="52" spans="1:38" s="124" customFormat="1" x14ac:dyDescent="0.25">
      <c r="A52" s="13">
        <v>7</v>
      </c>
      <c r="B52" s="13"/>
      <c r="C52" s="422" t="s">
        <v>216</v>
      </c>
      <c r="D52" s="675">
        <v>1963</v>
      </c>
      <c r="E52" s="675">
        <v>2</v>
      </c>
      <c r="F52" s="675">
        <v>16</v>
      </c>
      <c r="G52" s="679">
        <v>43</v>
      </c>
      <c r="H52" s="677">
        <v>624.4</v>
      </c>
      <c r="I52" s="677">
        <v>76</v>
      </c>
      <c r="J52" s="686"/>
      <c r="K52" s="686"/>
      <c r="L52" s="620">
        <v>4600.76</v>
      </c>
      <c r="M52" s="620">
        <v>4192.2700000000004</v>
      </c>
      <c r="N52" s="621"/>
      <c r="O52" s="621"/>
      <c r="P52" s="524">
        <f t="shared" si="23"/>
        <v>0</v>
      </c>
      <c r="Q52" s="622"/>
      <c r="R52" s="623"/>
      <c r="S52" s="623"/>
      <c r="T52" s="623"/>
      <c r="U52" s="623"/>
      <c r="V52" s="623"/>
      <c r="W52" s="623"/>
      <c r="X52" s="623"/>
      <c r="Y52" s="623"/>
      <c r="Z52" s="624"/>
      <c r="AA52" s="624"/>
      <c r="AB52" s="624"/>
      <c r="AC52" s="624"/>
      <c r="AD52" s="525">
        <f t="shared" si="24"/>
        <v>4600.76</v>
      </c>
      <c r="AE52" s="524">
        <f t="shared" si="25"/>
        <v>91.121249532685908</v>
      </c>
      <c r="AF52" s="524"/>
      <c r="AG52" s="525">
        <f t="shared" si="26"/>
        <v>0</v>
      </c>
      <c r="AH52" s="524">
        <v>1.85</v>
      </c>
      <c r="AI52" s="625">
        <f t="shared" si="27"/>
        <v>408.48999999999978</v>
      </c>
      <c r="AJ52" s="403"/>
      <c r="AK52" s="403"/>
      <c r="AL52" s="403"/>
    </row>
    <row r="53" spans="1:38" s="124" customFormat="1" x14ac:dyDescent="0.25">
      <c r="A53" s="13">
        <v>8</v>
      </c>
      <c r="B53" s="13"/>
      <c r="C53" s="422" t="s">
        <v>217</v>
      </c>
      <c r="D53" s="675">
        <v>1963</v>
      </c>
      <c r="E53" s="675">
        <v>2</v>
      </c>
      <c r="F53" s="675">
        <v>16</v>
      </c>
      <c r="G53" s="680">
        <v>27</v>
      </c>
      <c r="H53" s="677">
        <v>630.29999999999995</v>
      </c>
      <c r="I53" s="677">
        <v>76</v>
      </c>
      <c r="J53" s="686"/>
      <c r="K53" s="686"/>
      <c r="L53" s="620">
        <v>4664.3599999999997</v>
      </c>
      <c r="M53" s="620">
        <v>3388.08</v>
      </c>
      <c r="N53" s="621"/>
      <c r="O53" s="621"/>
      <c r="P53" s="524">
        <f t="shared" si="23"/>
        <v>0</v>
      </c>
      <c r="Q53" s="622"/>
      <c r="R53" s="623"/>
      <c r="S53" s="623"/>
      <c r="T53" s="623"/>
      <c r="U53" s="623"/>
      <c r="V53" s="623"/>
      <c r="W53" s="623"/>
      <c r="X53" s="623"/>
      <c r="Y53" s="623"/>
      <c r="Z53" s="624"/>
      <c r="AA53" s="624"/>
      <c r="AB53" s="624"/>
      <c r="AC53" s="624"/>
      <c r="AD53" s="525">
        <f t="shared" si="24"/>
        <v>4664.3599999999997</v>
      </c>
      <c r="AE53" s="524">
        <f t="shared" si="25"/>
        <v>72.637618022622618</v>
      </c>
      <c r="AF53" s="524"/>
      <c r="AG53" s="525">
        <f t="shared" si="26"/>
        <v>0</v>
      </c>
      <c r="AH53" s="524">
        <v>1.85</v>
      </c>
      <c r="AI53" s="625">
        <f t="shared" si="27"/>
        <v>1276.2799999999997</v>
      </c>
      <c r="AJ53" s="403"/>
      <c r="AK53" s="403"/>
      <c r="AL53" s="403"/>
    </row>
    <row r="54" spans="1:38" s="110" customFormat="1" ht="14.25" customHeight="1" x14ac:dyDescent="0.25">
      <c r="A54" s="13">
        <v>9</v>
      </c>
      <c r="B54" s="13"/>
      <c r="C54" s="422" t="s">
        <v>218</v>
      </c>
      <c r="D54" s="675">
        <v>1963</v>
      </c>
      <c r="E54" s="675">
        <v>2</v>
      </c>
      <c r="F54" s="675">
        <v>8</v>
      </c>
      <c r="G54" s="679">
        <v>18</v>
      </c>
      <c r="H54" s="677">
        <v>313</v>
      </c>
      <c r="I54" s="677">
        <v>73.5</v>
      </c>
      <c r="J54" s="686"/>
      <c r="K54" s="686"/>
      <c r="L54" s="620">
        <v>2353.7199999999998</v>
      </c>
      <c r="M54" s="620">
        <v>1867.67</v>
      </c>
      <c r="N54" s="621"/>
      <c r="O54" s="621"/>
      <c r="P54" s="524">
        <f t="shared" si="23"/>
        <v>0</v>
      </c>
      <c r="Q54" s="622"/>
      <c r="R54" s="623"/>
      <c r="S54" s="623"/>
      <c r="T54" s="623"/>
      <c r="U54" s="623"/>
      <c r="V54" s="623"/>
      <c r="W54" s="623"/>
      <c r="X54" s="623"/>
      <c r="Y54" s="623"/>
      <c r="Z54" s="624"/>
      <c r="AA54" s="624"/>
      <c r="AB54" s="624"/>
      <c r="AC54" s="624"/>
      <c r="AD54" s="525">
        <f t="shared" si="24"/>
        <v>2353.7199999999998</v>
      </c>
      <c r="AE54" s="524">
        <f t="shared" si="25"/>
        <v>79.349710245908611</v>
      </c>
      <c r="AF54" s="524"/>
      <c r="AG54" s="525">
        <f t="shared" si="26"/>
        <v>0</v>
      </c>
      <c r="AH54" s="524">
        <v>1.88</v>
      </c>
      <c r="AI54" s="625">
        <f t="shared" si="27"/>
        <v>486.04999999999973</v>
      </c>
      <c r="AJ54" s="403"/>
      <c r="AK54" s="403"/>
      <c r="AL54" s="403"/>
    </row>
    <row r="55" spans="1:38" s="124" customFormat="1" ht="14.25" customHeight="1" x14ac:dyDescent="0.25">
      <c r="A55" s="36">
        <v>10</v>
      </c>
      <c r="B55" s="36"/>
      <c r="C55" s="423" t="s">
        <v>219</v>
      </c>
      <c r="D55" s="681">
        <v>1977</v>
      </c>
      <c r="E55" s="681">
        <v>5</v>
      </c>
      <c r="F55" s="681">
        <v>90</v>
      </c>
      <c r="G55" s="682">
        <v>231</v>
      </c>
      <c r="H55" s="677">
        <v>4846.6000000000004</v>
      </c>
      <c r="I55" s="677">
        <v>585</v>
      </c>
      <c r="J55" s="686"/>
      <c r="K55" s="686"/>
      <c r="L55" s="626">
        <v>44782.68</v>
      </c>
      <c r="M55" s="626">
        <v>42600.21</v>
      </c>
      <c r="N55" s="621"/>
      <c r="O55" s="621"/>
      <c r="P55" s="524">
        <f t="shared" si="23"/>
        <v>1535</v>
      </c>
      <c r="Q55" s="591">
        <v>1535</v>
      </c>
      <c r="R55" s="623"/>
      <c r="S55" s="623"/>
      <c r="T55" s="623"/>
      <c r="U55" s="627"/>
      <c r="V55" s="627"/>
      <c r="W55" s="623"/>
      <c r="X55" s="623"/>
      <c r="Y55" s="623"/>
      <c r="Z55" s="624"/>
      <c r="AA55" s="624"/>
      <c r="AB55" s="624"/>
      <c r="AC55" s="624"/>
      <c r="AD55" s="525">
        <f t="shared" si="24"/>
        <v>43247.68</v>
      </c>
      <c r="AE55" s="524">
        <f t="shared" si="25"/>
        <v>95.126531060668981</v>
      </c>
      <c r="AF55" s="524"/>
      <c r="AG55" s="525">
        <f t="shared" si="26"/>
        <v>7.9179218421161227E-2</v>
      </c>
      <c r="AH55" s="591">
        <v>2.31</v>
      </c>
      <c r="AI55" s="625">
        <f t="shared" si="27"/>
        <v>2182.4700000000012</v>
      </c>
      <c r="AJ55" s="403"/>
      <c r="AK55" s="403"/>
      <c r="AL55" s="403"/>
    </row>
    <row r="56" spans="1:38" s="124" customFormat="1" ht="14.25" customHeight="1" x14ac:dyDescent="0.25">
      <c r="A56" s="13">
        <v>11</v>
      </c>
      <c r="B56" s="13"/>
      <c r="C56" s="422" t="s">
        <v>220</v>
      </c>
      <c r="D56" s="675">
        <v>1983</v>
      </c>
      <c r="E56" s="675">
        <v>4</v>
      </c>
      <c r="F56" s="675">
        <v>48</v>
      </c>
      <c r="G56" s="679">
        <v>143</v>
      </c>
      <c r="H56" s="677">
        <v>2619.02</v>
      </c>
      <c r="I56" s="677">
        <v>317.89999999999998</v>
      </c>
      <c r="J56" s="686"/>
      <c r="K56" s="686"/>
      <c r="L56" s="620">
        <v>23361.599999999999</v>
      </c>
      <c r="M56" s="620">
        <v>22140.86</v>
      </c>
      <c r="N56" s="621"/>
      <c r="O56" s="621"/>
      <c r="P56" s="524">
        <f t="shared" si="23"/>
        <v>0</v>
      </c>
      <c r="Q56" s="622"/>
      <c r="R56" s="623"/>
      <c r="S56" s="623"/>
      <c r="T56" s="623"/>
      <c r="U56" s="623"/>
      <c r="V56" s="623"/>
      <c r="W56" s="623"/>
      <c r="X56" s="623"/>
      <c r="Y56" s="623"/>
      <c r="Z56" s="624"/>
      <c r="AA56" s="624"/>
      <c r="AB56" s="624"/>
      <c r="AC56" s="624"/>
      <c r="AD56" s="525">
        <f t="shared" si="24"/>
        <v>23361.599999999999</v>
      </c>
      <c r="AE56" s="524">
        <f t="shared" si="25"/>
        <v>94.774587357030356</v>
      </c>
      <c r="AF56" s="524"/>
      <c r="AG56" s="525">
        <f t="shared" si="26"/>
        <v>0</v>
      </c>
      <c r="AH56" s="524">
        <v>2.23</v>
      </c>
      <c r="AI56" s="625">
        <f t="shared" si="27"/>
        <v>1220.739999999998</v>
      </c>
      <c r="AJ56" s="403"/>
      <c r="AK56" s="403"/>
      <c r="AL56" s="403"/>
    </row>
    <row r="57" spans="1:38" s="110" customFormat="1" ht="14.25" customHeight="1" x14ac:dyDescent="0.25">
      <c r="A57" s="13">
        <v>12</v>
      </c>
      <c r="B57" s="13"/>
      <c r="C57" s="422" t="s">
        <v>221</v>
      </c>
      <c r="D57" s="675">
        <v>1983</v>
      </c>
      <c r="E57" s="675">
        <v>4</v>
      </c>
      <c r="F57" s="675">
        <v>48</v>
      </c>
      <c r="G57" s="680">
        <v>137</v>
      </c>
      <c r="H57" s="677">
        <v>2614.1999999999998</v>
      </c>
      <c r="I57" s="677">
        <v>317.89999999999998</v>
      </c>
      <c r="J57" s="686"/>
      <c r="K57" s="686"/>
      <c r="L57" s="620">
        <v>25400.32</v>
      </c>
      <c r="M57" s="620">
        <v>25662.66</v>
      </c>
      <c r="N57" s="621"/>
      <c r="O57" s="621"/>
      <c r="P57" s="524">
        <f t="shared" si="23"/>
        <v>0</v>
      </c>
      <c r="Q57" s="622"/>
      <c r="R57" s="623"/>
      <c r="S57" s="623"/>
      <c r="T57" s="623"/>
      <c r="U57" s="623"/>
      <c r="V57" s="623"/>
      <c r="W57" s="623"/>
      <c r="X57" s="623"/>
      <c r="Y57" s="623"/>
      <c r="Z57" s="624"/>
      <c r="AA57" s="624"/>
      <c r="AB57" s="624"/>
      <c r="AC57" s="624"/>
      <c r="AD57" s="525">
        <f t="shared" si="24"/>
        <v>25400.32</v>
      </c>
      <c r="AE57" s="524">
        <f t="shared" si="25"/>
        <v>101.03282163374321</v>
      </c>
      <c r="AF57" s="524"/>
      <c r="AG57" s="525">
        <f t="shared" si="26"/>
        <v>0</v>
      </c>
      <c r="AH57" s="524">
        <v>2.4300000000000002</v>
      </c>
      <c r="AI57" s="625">
        <f t="shared" si="27"/>
        <v>-262.34000000000015</v>
      </c>
      <c r="AJ57" s="403"/>
      <c r="AK57" s="403"/>
      <c r="AL57" s="403"/>
    </row>
    <row r="58" spans="1:38" s="111" customFormat="1" ht="15" customHeight="1" x14ac:dyDescent="0.25">
      <c r="A58" s="13">
        <v>13</v>
      </c>
      <c r="B58" s="13"/>
      <c r="C58" s="424" t="s">
        <v>222</v>
      </c>
      <c r="D58" s="675">
        <v>1975</v>
      </c>
      <c r="E58" s="675">
        <v>2</v>
      </c>
      <c r="F58" s="675">
        <v>12</v>
      </c>
      <c r="G58" s="679">
        <v>30</v>
      </c>
      <c r="H58" s="677">
        <v>503.62</v>
      </c>
      <c r="I58" s="677">
        <v>58.2</v>
      </c>
      <c r="J58" s="686"/>
      <c r="K58" s="686"/>
      <c r="L58" s="620">
        <v>4008.88</v>
      </c>
      <c r="M58" s="620">
        <v>3594.27</v>
      </c>
      <c r="N58" s="621"/>
      <c r="O58" s="621"/>
      <c r="P58" s="524">
        <f t="shared" si="23"/>
        <v>831.15</v>
      </c>
      <c r="Q58" s="622">
        <v>831.15</v>
      </c>
      <c r="R58" s="623"/>
      <c r="S58" s="623"/>
      <c r="T58" s="623"/>
      <c r="U58" s="623"/>
      <c r="V58" s="623"/>
      <c r="W58" s="623"/>
      <c r="X58" s="623"/>
      <c r="Y58" s="623"/>
      <c r="Z58" s="624"/>
      <c r="AA58" s="624"/>
      <c r="AB58" s="624"/>
      <c r="AC58" s="624"/>
      <c r="AD58" s="525">
        <f t="shared" si="24"/>
        <v>3177.73</v>
      </c>
      <c r="AE58" s="524">
        <f t="shared" si="25"/>
        <v>89.657709884057397</v>
      </c>
      <c r="AF58" s="524"/>
      <c r="AG58" s="525">
        <f t="shared" si="26"/>
        <v>0.41258786386561297</v>
      </c>
      <c r="AH58" s="524">
        <v>1.99</v>
      </c>
      <c r="AI58" s="625">
        <f t="shared" si="27"/>
        <v>414.61000000000013</v>
      </c>
      <c r="AJ58" s="403"/>
      <c r="AK58" s="403"/>
      <c r="AL58" s="403"/>
    </row>
    <row r="59" spans="1:38" s="124" customFormat="1" x14ac:dyDescent="0.25">
      <c r="A59" s="13">
        <v>14</v>
      </c>
      <c r="B59" s="13"/>
      <c r="C59" s="424" t="s">
        <v>122</v>
      </c>
      <c r="D59" s="675">
        <v>1975</v>
      </c>
      <c r="E59" s="675">
        <v>2</v>
      </c>
      <c r="F59" s="675">
        <v>12</v>
      </c>
      <c r="G59" s="680">
        <v>31</v>
      </c>
      <c r="H59" s="677">
        <v>528.76</v>
      </c>
      <c r="I59" s="677">
        <v>52.8</v>
      </c>
      <c r="J59" s="686"/>
      <c r="K59" s="686"/>
      <c r="L59" s="620">
        <v>4207.76</v>
      </c>
      <c r="M59" s="620">
        <v>4598.6000000000004</v>
      </c>
      <c r="N59" s="621"/>
      <c r="O59" s="621"/>
      <c r="P59" s="524">
        <f t="shared" si="23"/>
        <v>0</v>
      </c>
      <c r="Q59" s="622"/>
      <c r="R59" s="623"/>
      <c r="S59" s="623"/>
      <c r="T59" s="623"/>
      <c r="U59" s="623"/>
      <c r="V59" s="623"/>
      <c r="W59" s="623"/>
      <c r="X59" s="623"/>
      <c r="Y59" s="623"/>
      <c r="Z59" s="624"/>
      <c r="AA59" s="624"/>
      <c r="AB59" s="624"/>
      <c r="AC59" s="624"/>
      <c r="AD59" s="525">
        <f t="shared" si="24"/>
        <v>4207.76</v>
      </c>
      <c r="AE59" s="524">
        <f t="shared" si="25"/>
        <v>109.28855257904443</v>
      </c>
      <c r="AF59" s="524"/>
      <c r="AG59" s="525">
        <f t="shared" si="26"/>
        <v>0</v>
      </c>
      <c r="AH59" s="524">
        <v>2.0099999999999998</v>
      </c>
      <c r="AI59" s="625">
        <f t="shared" si="27"/>
        <v>-390.84000000000015</v>
      </c>
      <c r="AJ59" s="403"/>
      <c r="AK59" s="403"/>
      <c r="AL59" s="403"/>
    </row>
    <row r="60" spans="1:38" s="124" customFormat="1" x14ac:dyDescent="0.25">
      <c r="A60" s="13">
        <v>15</v>
      </c>
      <c r="B60" s="13"/>
      <c r="C60" s="424" t="s">
        <v>223</v>
      </c>
      <c r="D60" s="675">
        <v>1975</v>
      </c>
      <c r="E60" s="675">
        <v>2</v>
      </c>
      <c r="F60" s="675">
        <v>12</v>
      </c>
      <c r="G60" s="679">
        <v>23</v>
      </c>
      <c r="H60" s="677">
        <v>528.33000000000004</v>
      </c>
      <c r="I60" s="677">
        <v>52.4</v>
      </c>
      <c r="J60" s="686"/>
      <c r="K60" s="686"/>
      <c r="L60" s="620">
        <v>4234.4799999999996</v>
      </c>
      <c r="M60" s="620">
        <v>3780.98</v>
      </c>
      <c r="N60" s="621"/>
      <c r="O60" s="621"/>
      <c r="P60" s="524">
        <f t="shared" si="23"/>
        <v>0</v>
      </c>
      <c r="Q60" s="622"/>
      <c r="R60" s="623"/>
      <c r="S60" s="623"/>
      <c r="T60" s="623"/>
      <c r="U60" s="623"/>
      <c r="V60" s="623"/>
      <c r="W60" s="623"/>
      <c r="X60" s="623"/>
      <c r="Y60" s="623"/>
      <c r="Z60" s="624"/>
      <c r="AA60" s="624"/>
      <c r="AB60" s="624"/>
      <c r="AC60" s="624"/>
      <c r="AD60" s="525">
        <f t="shared" si="24"/>
        <v>4234.4799999999996</v>
      </c>
      <c r="AE60" s="524">
        <f t="shared" si="25"/>
        <v>89.290302469252438</v>
      </c>
      <c r="AF60" s="524"/>
      <c r="AG60" s="525">
        <f t="shared" si="26"/>
        <v>0</v>
      </c>
      <c r="AH60" s="524">
        <v>2.0099999999999998</v>
      </c>
      <c r="AI60" s="625">
        <f t="shared" si="27"/>
        <v>453.49999999999955</v>
      </c>
      <c r="AJ60" s="403"/>
      <c r="AK60" s="403"/>
      <c r="AL60" s="403"/>
    </row>
    <row r="61" spans="1:38" s="111" customFormat="1" x14ac:dyDescent="0.25">
      <c r="A61" s="13">
        <v>16</v>
      </c>
      <c r="B61" s="13"/>
      <c r="C61" s="424" t="s">
        <v>224</v>
      </c>
      <c r="D61" s="675">
        <v>1968</v>
      </c>
      <c r="E61" s="675">
        <v>2</v>
      </c>
      <c r="F61" s="675">
        <v>16</v>
      </c>
      <c r="G61" s="680">
        <v>35</v>
      </c>
      <c r="H61" s="677">
        <v>715.87</v>
      </c>
      <c r="I61" s="677">
        <v>76</v>
      </c>
      <c r="J61" s="686"/>
      <c r="K61" s="686"/>
      <c r="L61" s="620">
        <v>5812.84</v>
      </c>
      <c r="M61" s="620">
        <v>5329.9</v>
      </c>
      <c r="N61" s="621"/>
      <c r="O61" s="621"/>
      <c r="P61" s="524">
        <f t="shared" si="23"/>
        <v>0</v>
      </c>
      <c r="Q61" s="622"/>
      <c r="R61" s="623"/>
      <c r="S61" s="623"/>
      <c r="T61" s="623"/>
      <c r="U61" s="623"/>
      <c r="V61" s="623"/>
      <c r="W61" s="623"/>
      <c r="X61" s="623"/>
      <c r="Y61" s="623"/>
      <c r="Z61" s="624"/>
      <c r="AA61" s="624"/>
      <c r="AB61" s="624"/>
      <c r="AC61" s="624"/>
      <c r="AD61" s="525">
        <f t="shared" si="24"/>
        <v>5812.84</v>
      </c>
      <c r="AE61" s="524">
        <f t="shared" si="25"/>
        <v>91.691840821354091</v>
      </c>
      <c r="AF61" s="524"/>
      <c r="AG61" s="525">
        <f t="shared" si="26"/>
        <v>0</v>
      </c>
      <c r="AH61" s="524">
        <v>2.0299999999999998</v>
      </c>
      <c r="AI61" s="625">
        <f t="shared" si="27"/>
        <v>482.94000000000051</v>
      </c>
      <c r="AJ61" s="403"/>
      <c r="AK61" s="403"/>
      <c r="AL61" s="403"/>
    </row>
    <row r="62" spans="1:38" ht="16.5" customHeight="1" x14ac:dyDescent="0.25">
      <c r="A62" s="13">
        <v>17</v>
      </c>
      <c r="B62" s="13"/>
      <c r="C62" s="425" t="s">
        <v>227</v>
      </c>
      <c r="D62" s="681">
        <v>2010</v>
      </c>
      <c r="E62" s="681">
        <v>2</v>
      </c>
      <c r="F62" s="681">
        <v>10</v>
      </c>
      <c r="G62" s="681">
        <v>30</v>
      </c>
      <c r="H62" s="676">
        <v>637.20000000000005</v>
      </c>
      <c r="I62" s="676"/>
      <c r="J62" s="696"/>
      <c r="K62" s="696"/>
      <c r="L62" s="628">
        <v>790.24</v>
      </c>
      <c r="M62" s="628">
        <v>776.8</v>
      </c>
      <c r="N62" s="629"/>
      <c r="O62" s="629"/>
      <c r="P62" s="524">
        <f t="shared" si="23"/>
        <v>0</v>
      </c>
      <c r="Q62" s="591"/>
      <c r="R62" s="623"/>
      <c r="S62" s="623"/>
      <c r="T62" s="623"/>
      <c r="U62" s="591"/>
      <c r="V62" s="591"/>
      <c r="W62" s="623"/>
      <c r="X62" s="623"/>
      <c r="Y62" s="623"/>
      <c r="Z62" s="624"/>
      <c r="AA62" s="624"/>
      <c r="AB62" s="624"/>
      <c r="AC62" s="624"/>
      <c r="AD62" s="525">
        <f t="shared" si="24"/>
        <v>790.24</v>
      </c>
      <c r="AE62" s="524">
        <f t="shared" si="25"/>
        <v>98.299250860498063</v>
      </c>
      <c r="AF62" s="524"/>
      <c r="AG62" s="525">
        <f t="shared" si="26"/>
        <v>0</v>
      </c>
      <c r="AH62" s="524">
        <v>0.31</v>
      </c>
      <c r="AI62" s="625">
        <f t="shared" si="27"/>
        <v>13.440000000000055</v>
      </c>
      <c r="AJ62" s="403"/>
      <c r="AK62" s="403"/>
      <c r="AL62" s="403"/>
    </row>
    <row r="63" spans="1:38" ht="14.25" customHeight="1" x14ac:dyDescent="0.25">
      <c r="A63" s="13">
        <v>18</v>
      </c>
      <c r="B63" s="13"/>
      <c r="C63" s="425" t="s">
        <v>329</v>
      </c>
      <c r="D63" s="681">
        <v>2013</v>
      </c>
      <c r="E63" s="681">
        <v>2</v>
      </c>
      <c r="F63" s="681"/>
      <c r="G63" s="681"/>
      <c r="H63" s="676">
        <v>1179.9000000000001</v>
      </c>
      <c r="I63" s="676"/>
      <c r="J63" s="696"/>
      <c r="K63" s="696"/>
      <c r="L63" s="628">
        <v>8967.24</v>
      </c>
      <c r="M63" s="628">
        <v>6911.48</v>
      </c>
      <c r="N63" s="629"/>
      <c r="O63" s="629"/>
      <c r="P63" s="524">
        <f t="shared" si="23"/>
        <v>0</v>
      </c>
      <c r="Q63" s="591"/>
      <c r="R63" s="623"/>
      <c r="S63" s="623"/>
      <c r="T63" s="623"/>
      <c r="U63" s="591"/>
      <c r="V63" s="591"/>
      <c r="W63" s="623"/>
      <c r="X63" s="623"/>
      <c r="Y63" s="623"/>
      <c r="Z63" s="624"/>
      <c r="AA63" s="624"/>
      <c r="AB63" s="624"/>
      <c r="AC63" s="624"/>
      <c r="AD63" s="525">
        <f t="shared" si="24"/>
        <v>8967.24</v>
      </c>
      <c r="AE63" s="524">
        <f t="shared" si="25"/>
        <v>77.074774401042006</v>
      </c>
      <c r="AF63" s="524"/>
      <c r="AG63" s="525">
        <f t="shared" si="26"/>
        <v>0</v>
      </c>
      <c r="AH63" s="524">
        <v>1.9</v>
      </c>
      <c r="AI63" s="625">
        <f t="shared" si="27"/>
        <v>2055.7600000000002</v>
      </c>
      <c r="AJ63" s="403"/>
      <c r="AK63" s="403"/>
      <c r="AL63" s="403"/>
    </row>
    <row r="64" spans="1:38" ht="15.75" customHeight="1" x14ac:dyDescent="0.25">
      <c r="A64" s="13">
        <v>19</v>
      </c>
      <c r="B64" s="187"/>
      <c r="C64" s="426" t="s">
        <v>330</v>
      </c>
      <c r="D64" s="688">
        <v>2013</v>
      </c>
      <c r="E64" s="688">
        <v>3</v>
      </c>
      <c r="F64" s="688">
        <v>28</v>
      </c>
      <c r="G64" s="688"/>
      <c r="H64" s="689">
        <v>1588.6</v>
      </c>
      <c r="I64" s="689"/>
      <c r="J64" s="697"/>
      <c r="K64" s="697"/>
      <c r="L64" s="630">
        <v>12049.6</v>
      </c>
      <c r="M64" s="630">
        <v>10725.11</v>
      </c>
      <c r="N64" s="631"/>
      <c r="O64" s="631"/>
      <c r="P64" s="524">
        <f t="shared" si="23"/>
        <v>6000</v>
      </c>
      <c r="Q64" s="632"/>
      <c r="R64" s="623"/>
      <c r="S64" s="633">
        <v>6000</v>
      </c>
      <c r="T64" s="623"/>
      <c r="U64" s="632"/>
      <c r="V64" s="632"/>
      <c r="W64" s="623"/>
      <c r="X64" s="623"/>
      <c r="Y64" s="623"/>
      <c r="Z64" s="624"/>
      <c r="AA64" s="624"/>
      <c r="AB64" s="624"/>
      <c r="AC64" s="624"/>
      <c r="AD64" s="525">
        <f t="shared" si="24"/>
        <v>6049.6</v>
      </c>
      <c r="AE64" s="524">
        <f t="shared" si="25"/>
        <v>89.008016863630331</v>
      </c>
      <c r="AF64" s="524"/>
      <c r="AG64" s="525">
        <f t="shared" si="26"/>
        <v>0.94422762180536324</v>
      </c>
      <c r="AH64" s="528">
        <v>2</v>
      </c>
      <c r="AI64" s="625">
        <f t="shared" si="27"/>
        <v>1324.4899999999998</v>
      </c>
      <c r="AJ64" s="403"/>
      <c r="AK64" s="403"/>
      <c r="AL64" s="403"/>
    </row>
    <row r="65" spans="1:38" s="110" customFormat="1" x14ac:dyDescent="0.25">
      <c r="A65" s="13">
        <v>20</v>
      </c>
      <c r="B65" s="187"/>
      <c r="C65" s="426" t="s">
        <v>474</v>
      </c>
      <c r="D65" s="681"/>
      <c r="E65" s="681"/>
      <c r="F65" s="681"/>
      <c r="G65" s="681"/>
      <c r="H65" s="696">
        <v>586.1</v>
      </c>
      <c r="I65" s="676"/>
      <c r="J65" s="696"/>
      <c r="K65" s="696"/>
      <c r="L65" s="628">
        <v>4528.8</v>
      </c>
      <c r="M65" s="628">
        <v>3742.48</v>
      </c>
      <c r="N65" s="629"/>
      <c r="O65" s="629"/>
      <c r="P65" s="524">
        <f t="shared" si="23"/>
        <v>0</v>
      </c>
      <c r="Q65" s="591"/>
      <c r="R65" s="623"/>
      <c r="S65" s="622"/>
      <c r="T65" s="623"/>
      <c r="U65" s="591"/>
      <c r="V65" s="591"/>
      <c r="W65" s="623"/>
      <c r="X65" s="623"/>
      <c r="Y65" s="623"/>
      <c r="Z65" s="624"/>
      <c r="AA65" s="525"/>
      <c r="AB65" s="624"/>
      <c r="AC65" s="624"/>
      <c r="AD65" s="525">
        <f t="shared" si="24"/>
        <v>4528.8</v>
      </c>
      <c r="AE65" s="524">
        <f t="shared" si="25"/>
        <v>82.637343225578519</v>
      </c>
      <c r="AF65" s="524"/>
      <c r="AG65" s="525">
        <f t="shared" si="26"/>
        <v>0</v>
      </c>
      <c r="AH65" s="524">
        <v>2</v>
      </c>
      <c r="AI65" s="625">
        <f t="shared" si="27"/>
        <v>786.32000000000016</v>
      </c>
      <c r="AJ65" s="403"/>
      <c r="AK65" s="403"/>
      <c r="AL65" s="403"/>
    </row>
    <row r="66" spans="1:38" s="110" customFormat="1" ht="15.75" customHeight="1" x14ac:dyDescent="0.25">
      <c r="A66" s="13">
        <v>21</v>
      </c>
      <c r="B66" s="580">
        <v>42648</v>
      </c>
      <c r="C66" s="426" t="s">
        <v>473</v>
      </c>
      <c r="D66" s="688"/>
      <c r="E66" s="688"/>
      <c r="F66" s="688"/>
      <c r="G66" s="688"/>
      <c r="H66" s="697">
        <v>1372.13</v>
      </c>
      <c r="I66" s="689"/>
      <c r="J66" s="697"/>
      <c r="K66" s="697"/>
      <c r="L66" s="630">
        <v>13575.88</v>
      </c>
      <c r="M66" s="630">
        <v>5786.95</v>
      </c>
      <c r="N66" s="631"/>
      <c r="O66" s="631"/>
      <c r="P66" s="524">
        <f t="shared" si="23"/>
        <v>12543.01</v>
      </c>
      <c r="Q66" s="632">
        <v>6543.01</v>
      </c>
      <c r="R66" s="623"/>
      <c r="S66" s="634">
        <v>6000</v>
      </c>
      <c r="T66" s="633"/>
      <c r="U66" s="632"/>
      <c r="V66" s="632"/>
      <c r="W66" s="633"/>
      <c r="X66" s="633"/>
      <c r="Y66" s="633"/>
      <c r="Z66" s="635"/>
      <c r="AA66" s="636"/>
      <c r="AB66" s="624"/>
      <c r="AC66" s="624"/>
      <c r="AD66" s="525">
        <f t="shared" si="24"/>
        <v>1032.869999999999</v>
      </c>
      <c r="AE66" s="524">
        <f t="shared" si="25"/>
        <v>42.626702652056444</v>
      </c>
      <c r="AF66" s="524"/>
      <c r="AG66" s="525">
        <f t="shared" si="26"/>
        <v>2.2853173533120037</v>
      </c>
      <c r="AH66" s="528">
        <v>2.5</v>
      </c>
      <c r="AI66" s="625">
        <f t="shared" si="27"/>
        <v>7788.9299999999994</v>
      </c>
      <c r="AJ66" s="250"/>
      <c r="AK66" s="250"/>
      <c r="AL66" s="403"/>
    </row>
    <row r="67" spans="1:38" s="110" customFormat="1" ht="15" customHeight="1" x14ac:dyDescent="0.25">
      <c r="A67" s="13"/>
      <c r="B67" s="13"/>
      <c r="C67" s="417" t="s">
        <v>296</v>
      </c>
      <c r="D67" s="690"/>
      <c r="E67" s="690"/>
      <c r="F67" s="691">
        <f>SUM(F46:F62)</f>
        <v>462</v>
      </c>
      <c r="G67" s="691">
        <f>SUM(G46:G62)</f>
        <v>1267</v>
      </c>
      <c r="H67" s="653">
        <f>SUM(H46:H66)</f>
        <v>27445.26</v>
      </c>
      <c r="I67" s="653">
        <f>SUM(I46:I62)</f>
        <v>2501.9800000000005</v>
      </c>
      <c r="J67" s="698"/>
      <c r="K67" s="698"/>
      <c r="L67" s="637">
        <f t="shared" ref="L67:T67" si="28">SUM(L46:L66)</f>
        <v>236346.92</v>
      </c>
      <c r="M67" s="637">
        <f t="shared" si="28"/>
        <v>212691.18000000002</v>
      </c>
      <c r="N67" s="638"/>
      <c r="O67" s="638"/>
      <c r="P67" s="639">
        <f t="shared" si="28"/>
        <v>20909.16</v>
      </c>
      <c r="Q67" s="637">
        <f t="shared" si="28"/>
        <v>8909.16</v>
      </c>
      <c r="R67" s="640">
        <f t="shared" si="28"/>
        <v>0</v>
      </c>
      <c r="S67" s="640">
        <f t="shared" si="28"/>
        <v>12000</v>
      </c>
      <c r="T67" s="641">
        <f t="shared" si="28"/>
        <v>0</v>
      </c>
      <c r="U67" s="642">
        <f>SUM(U46:U64)</f>
        <v>0</v>
      </c>
      <c r="V67" s="642">
        <f t="shared" ref="V67:AA67" si="29">SUM(V46:V66)</f>
        <v>0</v>
      </c>
      <c r="W67" s="641">
        <f t="shared" si="29"/>
        <v>0</v>
      </c>
      <c r="X67" s="641">
        <f t="shared" si="29"/>
        <v>0</v>
      </c>
      <c r="Y67" s="641">
        <f t="shared" si="29"/>
        <v>0</v>
      </c>
      <c r="Z67" s="641">
        <f t="shared" si="29"/>
        <v>0</v>
      </c>
      <c r="AA67" s="641">
        <f t="shared" si="29"/>
        <v>0</v>
      </c>
      <c r="AB67" s="643">
        <f t="shared" ref="AB67" si="30">AA67*0.302</f>
        <v>0</v>
      </c>
      <c r="AC67" s="641">
        <f>SUM(AC46:AC66)</f>
        <v>0</v>
      </c>
      <c r="AD67" s="644">
        <f>SUM(AD46:AD66)</f>
        <v>215437.76</v>
      </c>
      <c r="AE67" s="639">
        <f t="shared" si="25"/>
        <v>89.99109444709498</v>
      </c>
      <c r="AF67" s="639"/>
      <c r="AG67" s="645">
        <f>P67/H67/4</f>
        <v>0.19046239678545585</v>
      </c>
      <c r="AH67" s="646"/>
      <c r="AI67" s="647">
        <f>SUM(AI46:AI66)</f>
        <v>23655.74</v>
      </c>
      <c r="AJ67" s="250"/>
      <c r="AK67" s="250"/>
      <c r="AL67" s="403"/>
    </row>
    <row r="68" spans="1:38" s="110" customFormat="1" ht="15" customHeight="1" x14ac:dyDescent="0.25">
      <c r="A68" s="13"/>
      <c r="B68" s="13"/>
      <c r="C68" s="417" t="s">
        <v>491</v>
      </c>
      <c r="D68" s="690"/>
      <c r="E68" s="690"/>
      <c r="F68" s="691"/>
      <c r="G68" s="691"/>
      <c r="H68" s="692"/>
      <c r="I68" s="692"/>
      <c r="J68" s="692"/>
      <c r="K68" s="692"/>
      <c r="L68" s="163" t="s">
        <v>180</v>
      </c>
      <c r="M68" s="163"/>
      <c r="N68" s="163"/>
      <c r="O68" s="163"/>
      <c r="P68" s="418"/>
      <c r="Q68" s="419"/>
      <c r="R68" s="420"/>
      <c r="S68" s="420"/>
      <c r="T68" s="421"/>
      <c r="U68" s="419"/>
      <c r="V68" s="419"/>
      <c r="W68" s="421"/>
      <c r="X68" s="421"/>
      <c r="Y68" s="421"/>
      <c r="Z68" s="421"/>
      <c r="AA68" s="421"/>
      <c r="AB68" s="421"/>
      <c r="AC68" s="421"/>
      <c r="AD68" s="294"/>
      <c r="AE68" s="49"/>
      <c r="AF68" s="49"/>
      <c r="AG68" s="294"/>
      <c r="AH68" s="49"/>
      <c r="AI68" s="391"/>
      <c r="AJ68" s="250"/>
      <c r="AK68" s="250"/>
      <c r="AL68" s="403"/>
    </row>
    <row r="69" spans="1:38" s="110" customFormat="1" ht="14.25" customHeight="1" x14ac:dyDescent="0.25">
      <c r="A69" s="13"/>
      <c r="B69" s="13"/>
      <c r="C69" s="417"/>
      <c r="D69" s="690"/>
      <c r="E69" s="690"/>
      <c r="F69" s="691"/>
      <c r="G69" s="691"/>
      <c r="H69" s="692"/>
      <c r="I69" s="692"/>
      <c r="J69" s="692"/>
      <c r="K69" s="692"/>
      <c r="L69" s="163"/>
      <c r="M69" s="163"/>
      <c r="N69" s="163"/>
      <c r="O69" s="163"/>
      <c r="P69" s="418"/>
      <c r="Q69" s="419"/>
      <c r="R69" s="420"/>
      <c r="S69" s="420"/>
      <c r="T69" s="421"/>
      <c r="U69" s="419"/>
      <c r="V69" s="419"/>
      <c r="W69" s="421"/>
      <c r="X69" s="421"/>
      <c r="Y69" s="421"/>
      <c r="Z69" s="421"/>
      <c r="AA69" s="421"/>
      <c r="AB69" s="421"/>
      <c r="AC69" s="421"/>
      <c r="AD69" s="294"/>
      <c r="AE69" s="49"/>
      <c r="AF69" s="49"/>
      <c r="AG69" s="294"/>
      <c r="AH69" s="49"/>
      <c r="AI69" s="391"/>
      <c r="AJ69" s="250"/>
      <c r="AK69" s="250"/>
      <c r="AL69" s="403"/>
    </row>
    <row r="70" spans="1:38" s="124" customFormat="1" ht="15.75" customHeight="1" x14ac:dyDescent="0.25">
      <c r="A70" s="296"/>
      <c r="B70" s="296"/>
      <c r="C70" s="296"/>
      <c r="D70" s="699"/>
      <c r="E70" s="699"/>
      <c r="F70" s="699"/>
      <c r="G70" s="699"/>
      <c r="H70" s="699"/>
      <c r="I70" s="699"/>
      <c r="J70" s="699"/>
      <c r="K70" s="699"/>
      <c r="L70" s="296"/>
      <c r="M70" s="296"/>
      <c r="N70" s="296"/>
      <c r="O70" s="296"/>
      <c r="P70" s="296"/>
      <c r="Q70" s="296"/>
      <c r="R70" s="296"/>
      <c r="S70" s="296"/>
      <c r="T70" s="296"/>
      <c r="U70" s="296"/>
      <c r="V70" s="296"/>
      <c r="W70" s="296"/>
      <c r="X70" s="296"/>
      <c r="Y70" s="250"/>
      <c r="Z70" s="250"/>
      <c r="AA70" s="250"/>
      <c r="AB70" s="250"/>
      <c r="AC70" s="250"/>
      <c r="AD70" s="250"/>
      <c r="AE70" s="250"/>
      <c r="AF70" s="250"/>
      <c r="AG70" s="250"/>
      <c r="AH70" s="250"/>
      <c r="AI70" s="250"/>
      <c r="AJ70" s="250"/>
      <c r="AK70" s="250"/>
      <c r="AL70" s="403"/>
    </row>
    <row r="71" spans="1:38" x14ac:dyDescent="0.25">
      <c r="A71" s="15"/>
      <c r="B71" s="15"/>
      <c r="C71" s="15"/>
      <c r="D71" s="661"/>
      <c r="E71" s="661"/>
      <c r="F71" s="661"/>
      <c r="G71" s="661"/>
      <c r="H71" s="661"/>
      <c r="I71" s="661"/>
      <c r="J71" s="661"/>
      <c r="K71" s="661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250"/>
      <c r="Z71" s="250"/>
      <c r="AA71" s="250"/>
      <c r="AB71" s="250"/>
      <c r="AC71" s="250"/>
      <c r="AD71" s="250"/>
      <c r="AE71" s="250"/>
      <c r="AF71" s="250"/>
      <c r="AG71" s="250"/>
      <c r="AH71" s="250"/>
      <c r="AI71" s="250"/>
      <c r="AJ71" s="250"/>
      <c r="AK71" s="250"/>
    </row>
    <row r="72" spans="1:38" ht="15.75" x14ac:dyDescent="0.25">
      <c r="A72" s="10"/>
      <c r="B72" s="10"/>
      <c r="C72" s="222" t="s">
        <v>591</v>
      </c>
      <c r="D72" s="700"/>
      <c r="E72" s="700"/>
      <c r="F72" s="700"/>
      <c r="G72" s="700"/>
      <c r="H72" s="700"/>
      <c r="I72" s="700"/>
      <c r="J72" s="700"/>
      <c r="K72" s="700"/>
      <c r="L72" s="11"/>
      <c r="M72" s="11"/>
      <c r="N72" s="11"/>
      <c r="O72" s="11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0"/>
    </row>
    <row r="73" spans="1:38" ht="18" x14ac:dyDescent="0.25">
      <c r="A73" s="10"/>
      <c r="B73" s="10"/>
      <c r="C73" s="12"/>
      <c r="D73" s="701"/>
      <c r="E73" s="701"/>
      <c r="F73" s="701"/>
      <c r="G73" s="701"/>
      <c r="H73" s="701"/>
      <c r="I73" s="701"/>
      <c r="J73" s="701"/>
      <c r="K73" s="701"/>
      <c r="L73" s="12"/>
      <c r="M73" s="12"/>
      <c r="N73" s="12"/>
      <c r="O73" s="12"/>
      <c r="Y73" s="250"/>
      <c r="Z73" s="250"/>
      <c r="AA73" s="250"/>
      <c r="AB73" s="250"/>
      <c r="AC73" s="250"/>
      <c r="AD73" s="250"/>
      <c r="AE73" s="250"/>
      <c r="AF73" s="250"/>
      <c r="AG73" s="250"/>
      <c r="AH73" s="250"/>
      <c r="AI73" s="250"/>
      <c r="AJ73" s="250"/>
      <c r="AK73" s="250"/>
    </row>
    <row r="74" spans="1:38" ht="29.25" customHeight="1" x14ac:dyDescent="0.25">
      <c r="A74" s="2017" t="s">
        <v>0</v>
      </c>
      <c r="B74" s="569"/>
      <c r="C74" s="2017" t="s">
        <v>184</v>
      </c>
      <c r="D74" s="2163" t="s">
        <v>54</v>
      </c>
      <c r="E74" s="2163" t="s">
        <v>55</v>
      </c>
      <c r="F74" s="2163" t="s">
        <v>56</v>
      </c>
      <c r="G74" s="2163" t="s">
        <v>57</v>
      </c>
      <c r="H74" s="2163" t="s">
        <v>6</v>
      </c>
      <c r="I74" s="2228" t="s">
        <v>282</v>
      </c>
      <c r="J74" s="693"/>
      <c r="K74" s="693"/>
      <c r="L74" s="2249" t="s">
        <v>556</v>
      </c>
      <c r="M74" s="2250"/>
      <c r="N74" s="615"/>
      <c r="O74" s="615"/>
      <c r="P74" s="1987" t="s">
        <v>181</v>
      </c>
      <c r="Q74" s="2083" t="s">
        <v>7</v>
      </c>
      <c r="R74" s="2014" t="s">
        <v>8</v>
      </c>
      <c r="S74" s="2255" t="s">
        <v>177</v>
      </c>
      <c r="T74" s="2012" t="s">
        <v>493</v>
      </c>
      <c r="U74" s="2012" t="s">
        <v>494</v>
      </c>
      <c r="V74" s="2012" t="s">
        <v>569</v>
      </c>
      <c r="W74" s="1997" t="s">
        <v>175</v>
      </c>
      <c r="X74" s="1997" t="s">
        <v>183</v>
      </c>
      <c r="Y74" s="2253" t="s">
        <v>544</v>
      </c>
      <c r="Z74" s="2257" t="s">
        <v>566</v>
      </c>
      <c r="AA74" s="250"/>
      <c r="AB74" s="250"/>
      <c r="AC74" s="250"/>
      <c r="AD74" s="250"/>
      <c r="AE74" s="250"/>
      <c r="AF74" s="250"/>
      <c r="AG74" s="250"/>
      <c r="AH74" s="250"/>
      <c r="AI74" s="250"/>
      <c r="AJ74" s="250"/>
      <c r="AK74" s="250"/>
    </row>
    <row r="75" spans="1:38" ht="17.25" customHeight="1" x14ac:dyDescent="0.25">
      <c r="A75" s="2017"/>
      <c r="B75" s="569"/>
      <c r="C75" s="2017"/>
      <c r="D75" s="2163"/>
      <c r="E75" s="2163"/>
      <c r="F75" s="2163"/>
      <c r="G75" s="2163"/>
      <c r="H75" s="2163"/>
      <c r="I75" s="2229"/>
      <c r="J75" s="694"/>
      <c r="K75" s="694"/>
      <c r="L75" s="51" t="s">
        <v>15</v>
      </c>
      <c r="M75" s="399" t="s">
        <v>16</v>
      </c>
      <c r="N75" s="616"/>
      <c r="O75" s="616"/>
      <c r="P75" s="1988"/>
      <c r="Q75" s="2083"/>
      <c r="R75" s="2015"/>
      <c r="S75" s="2255"/>
      <c r="T75" s="2013"/>
      <c r="U75" s="2256"/>
      <c r="V75" s="2013"/>
      <c r="W75" s="1998"/>
      <c r="X75" s="1998"/>
      <c r="Y75" s="2254"/>
      <c r="Z75" s="2258"/>
      <c r="AA75" s="250"/>
      <c r="AB75" s="250"/>
      <c r="AC75" s="250"/>
      <c r="AD75" s="250"/>
      <c r="AE75" s="250"/>
      <c r="AF75" s="250"/>
      <c r="AG75" s="250"/>
      <c r="AH75" s="250"/>
      <c r="AI75" s="250"/>
      <c r="AJ75" s="250"/>
      <c r="AK75" s="250"/>
    </row>
    <row r="76" spans="1:38" x14ac:dyDescent="0.25">
      <c r="A76" s="112">
        <v>1</v>
      </c>
      <c r="B76" s="112"/>
      <c r="C76" s="41" t="s">
        <v>210</v>
      </c>
      <c r="D76" s="702">
        <v>1975</v>
      </c>
      <c r="E76" s="702">
        <v>2</v>
      </c>
      <c r="F76" s="702">
        <v>18</v>
      </c>
      <c r="G76" s="661">
        <v>60</v>
      </c>
      <c r="H76" s="703">
        <v>784.25</v>
      </c>
      <c r="I76" s="704">
        <v>85.12</v>
      </c>
      <c r="J76" s="714"/>
      <c r="K76" s="714"/>
      <c r="L76" s="617">
        <v>6444.92</v>
      </c>
      <c r="M76" s="617">
        <v>5420.4</v>
      </c>
      <c r="N76" s="718"/>
      <c r="O76" s="718"/>
      <c r="P76" s="655">
        <f>Q76+R76+S76+T76+U76+V76</f>
        <v>6807.7956734676245</v>
      </c>
      <c r="Q76" s="656"/>
      <c r="R76" s="657">
        <f>3032.75/25682.68*H76</f>
        <v>92.608488969998461</v>
      </c>
      <c r="S76" s="658"/>
      <c r="T76" s="659"/>
      <c r="U76" s="660">
        <f>189671.4/2889.88*I76</f>
        <v>5586.6781900978585</v>
      </c>
      <c r="V76" s="660">
        <f>U76*0.202</f>
        <v>1128.5089943997675</v>
      </c>
      <c r="W76" s="660">
        <f>L76-P76</f>
        <v>-362.87567346762444</v>
      </c>
      <c r="X76" s="659">
        <f>M76/L76*100</f>
        <v>84.103448917907428</v>
      </c>
      <c r="Y76" s="672">
        <v>2.06</v>
      </c>
      <c r="Z76" s="562">
        <f>L76-M76</f>
        <v>1024.5200000000004</v>
      </c>
      <c r="AA76" s="250"/>
      <c r="AB76" s="250"/>
      <c r="AC76" s="250"/>
      <c r="AD76" s="250"/>
      <c r="AE76" s="250"/>
      <c r="AF76" s="250"/>
      <c r="AG76" s="250"/>
      <c r="AH76" s="250"/>
      <c r="AI76" s="250"/>
      <c r="AJ76" s="250"/>
      <c r="AK76" s="250"/>
    </row>
    <row r="77" spans="1:38" x14ac:dyDescent="0.25">
      <c r="A77" s="13">
        <v>2</v>
      </c>
      <c r="B77" s="13"/>
      <c r="C77" s="41" t="s">
        <v>211</v>
      </c>
      <c r="D77" s="705">
        <v>1975</v>
      </c>
      <c r="E77" s="705">
        <v>2</v>
      </c>
      <c r="F77" s="705">
        <v>18</v>
      </c>
      <c r="G77" s="661">
        <v>52</v>
      </c>
      <c r="H77" s="706">
        <v>785</v>
      </c>
      <c r="I77" s="707">
        <v>85.12</v>
      </c>
      <c r="J77" s="715"/>
      <c r="K77" s="715"/>
      <c r="L77" s="617">
        <v>6468.16</v>
      </c>
      <c r="M77" s="617">
        <v>6378.79</v>
      </c>
      <c r="N77" s="718"/>
      <c r="O77" s="718"/>
      <c r="P77" s="655">
        <f t="shared" ref="P77:P94" si="31">Q77+R77+S77+T77+U77+V77</f>
        <v>6807.8842375310323</v>
      </c>
      <c r="Q77" s="656"/>
      <c r="R77" s="657">
        <f t="shared" ref="R77:R94" si="32">3032.75/25682.68*H77</f>
        <v>92.697053033406178</v>
      </c>
      <c r="S77" s="658"/>
      <c r="T77" s="659"/>
      <c r="U77" s="660">
        <f t="shared" ref="U77:U94" si="33">189671.4/2889.88*I77</f>
        <v>5586.6781900978585</v>
      </c>
      <c r="V77" s="660">
        <f t="shared" ref="V77:V94" si="34">U77*0.202</f>
        <v>1128.5089943997675</v>
      </c>
      <c r="W77" s="660">
        <f t="shared" ref="W77:W94" si="35">L77-P77</f>
        <v>-339.72423753103249</v>
      </c>
      <c r="X77" s="659">
        <f t="shared" ref="X77:X94" si="36">M77/L77*100</f>
        <v>98.618308761688027</v>
      </c>
      <c r="Y77" s="672">
        <v>2.06</v>
      </c>
      <c r="Z77" s="562">
        <f t="shared" ref="Z77:Z95" si="37">L77-M77</f>
        <v>89.369999999999891</v>
      </c>
      <c r="AA77" s="250"/>
      <c r="AB77" s="250"/>
      <c r="AC77" s="250"/>
      <c r="AD77" s="250"/>
      <c r="AE77" s="250"/>
      <c r="AF77" s="250"/>
      <c r="AG77" s="250"/>
      <c r="AH77" s="250"/>
      <c r="AI77" s="250"/>
      <c r="AJ77" s="250"/>
      <c r="AK77" s="250"/>
    </row>
    <row r="78" spans="1:38" x14ac:dyDescent="0.25">
      <c r="A78" s="13">
        <v>3</v>
      </c>
      <c r="B78" s="13"/>
      <c r="C78" s="41" t="s">
        <v>212</v>
      </c>
      <c r="D78" s="705">
        <v>1975</v>
      </c>
      <c r="E78" s="705">
        <v>2</v>
      </c>
      <c r="F78" s="705">
        <v>18</v>
      </c>
      <c r="G78" s="349">
        <v>58</v>
      </c>
      <c r="H78" s="707">
        <v>788.23</v>
      </c>
      <c r="I78" s="707">
        <v>86.42</v>
      </c>
      <c r="J78" s="715"/>
      <c r="K78" s="715"/>
      <c r="L78" s="617">
        <v>6494.96</v>
      </c>
      <c r="M78" s="617">
        <v>7337</v>
      </c>
      <c r="N78" s="718"/>
      <c r="O78" s="718"/>
      <c r="P78" s="655">
        <f t="shared" si="31"/>
        <v>6910.8237283819835</v>
      </c>
      <c r="Q78" s="656"/>
      <c r="R78" s="657">
        <f t="shared" si="32"/>
        <v>93.078468933148727</v>
      </c>
      <c r="S78" s="658"/>
      <c r="T78" s="659"/>
      <c r="U78" s="660">
        <f t="shared" si="33"/>
        <v>5672.0010477943715</v>
      </c>
      <c r="V78" s="660">
        <f t="shared" si="34"/>
        <v>1145.744211654463</v>
      </c>
      <c r="W78" s="660">
        <f t="shared" si="35"/>
        <v>-415.86372838198349</v>
      </c>
      <c r="X78" s="659">
        <f t="shared" si="36"/>
        <v>112.96451402318104</v>
      </c>
      <c r="Y78" s="672">
        <v>2.06</v>
      </c>
      <c r="Z78" s="562">
        <f t="shared" si="37"/>
        <v>-842.04</v>
      </c>
      <c r="AA78" s="250"/>
      <c r="AB78" s="250"/>
      <c r="AC78" s="250"/>
      <c r="AD78" s="250"/>
      <c r="AE78" s="250"/>
      <c r="AF78" s="250"/>
      <c r="AG78" s="250"/>
      <c r="AH78" s="250"/>
      <c r="AI78" s="250"/>
      <c r="AJ78" s="250"/>
      <c r="AK78" s="250"/>
    </row>
    <row r="79" spans="1:38" x14ac:dyDescent="0.25">
      <c r="A79" s="13">
        <v>4</v>
      </c>
      <c r="B79" s="13"/>
      <c r="C79" s="41" t="s">
        <v>213</v>
      </c>
      <c r="D79" s="705">
        <v>1975</v>
      </c>
      <c r="E79" s="705">
        <v>2</v>
      </c>
      <c r="F79" s="705">
        <v>18</v>
      </c>
      <c r="G79" s="708">
        <v>42</v>
      </c>
      <c r="H79" s="707">
        <v>789.57</v>
      </c>
      <c r="I79" s="707">
        <v>86.42</v>
      </c>
      <c r="J79" s="715"/>
      <c r="K79" s="715"/>
      <c r="L79" s="617">
        <v>5842.92</v>
      </c>
      <c r="M79" s="617">
        <v>5385.23</v>
      </c>
      <c r="N79" s="718"/>
      <c r="O79" s="718"/>
      <c r="P79" s="655">
        <f t="shared" si="31"/>
        <v>6910.9819628419391</v>
      </c>
      <c r="Q79" s="656"/>
      <c r="R79" s="657">
        <f t="shared" si="32"/>
        <v>93.236703393103838</v>
      </c>
      <c r="S79" s="658"/>
      <c r="T79" s="659"/>
      <c r="U79" s="660">
        <f t="shared" si="33"/>
        <v>5672.0010477943715</v>
      </c>
      <c r="V79" s="660">
        <f t="shared" si="34"/>
        <v>1145.744211654463</v>
      </c>
      <c r="W79" s="660">
        <f t="shared" si="35"/>
        <v>-1068.061962841939</v>
      </c>
      <c r="X79" s="659">
        <f t="shared" si="36"/>
        <v>92.16675908621032</v>
      </c>
      <c r="Y79" s="672">
        <v>1.85</v>
      </c>
      <c r="Z79" s="562">
        <f t="shared" si="37"/>
        <v>457.69000000000051</v>
      </c>
      <c r="AA79" s="250"/>
      <c r="AB79" s="250"/>
      <c r="AC79" s="250"/>
      <c r="AD79" s="250"/>
      <c r="AE79" s="250"/>
      <c r="AF79" s="250"/>
      <c r="AG79" s="250"/>
      <c r="AH79" s="250"/>
      <c r="AI79" s="250"/>
      <c r="AJ79" s="250"/>
      <c r="AK79" s="250"/>
    </row>
    <row r="80" spans="1:38" x14ac:dyDescent="0.25">
      <c r="A80" s="13">
        <v>5</v>
      </c>
      <c r="B80" s="13"/>
      <c r="C80" s="41" t="s">
        <v>214</v>
      </c>
      <c r="D80" s="705">
        <v>1975</v>
      </c>
      <c r="E80" s="705">
        <v>5</v>
      </c>
      <c r="F80" s="705">
        <v>90</v>
      </c>
      <c r="G80" s="349">
        <v>268</v>
      </c>
      <c r="H80" s="707">
        <v>4496</v>
      </c>
      <c r="I80" s="707">
        <v>423.6</v>
      </c>
      <c r="J80" s="715"/>
      <c r="K80" s="715"/>
      <c r="L80" s="617">
        <v>32725.119999999999</v>
      </c>
      <c r="M80" s="617">
        <v>29886.89</v>
      </c>
      <c r="N80" s="718"/>
      <c r="O80" s="718"/>
      <c r="P80" s="655">
        <f t="shared" si="31"/>
        <v>33949.066307491805</v>
      </c>
      <c r="Q80" s="656"/>
      <c r="R80" s="657">
        <f t="shared" si="32"/>
        <v>530.9120387747696</v>
      </c>
      <c r="S80" s="658"/>
      <c r="T80" s="659"/>
      <c r="U80" s="660">
        <f t="shared" si="33"/>
        <v>27802.125015571579</v>
      </c>
      <c r="V80" s="660">
        <f t="shared" si="34"/>
        <v>5616.0292531454597</v>
      </c>
      <c r="W80" s="660">
        <f t="shared" si="35"/>
        <v>-1223.9463074918058</v>
      </c>
      <c r="X80" s="659">
        <f t="shared" si="36"/>
        <v>91.327060068840083</v>
      </c>
      <c r="Y80" s="672">
        <v>1.82</v>
      </c>
      <c r="Z80" s="562">
        <f t="shared" si="37"/>
        <v>2838.2299999999996</v>
      </c>
      <c r="AA80" s="250"/>
      <c r="AB80" s="250"/>
      <c r="AC80" s="250"/>
      <c r="AD80" s="250"/>
      <c r="AE80" s="250"/>
      <c r="AF80" s="250"/>
      <c r="AG80" s="250"/>
      <c r="AH80" s="250"/>
      <c r="AI80" s="250"/>
      <c r="AJ80" s="250"/>
      <c r="AK80" s="250"/>
    </row>
    <row r="81" spans="1:37" x14ac:dyDescent="0.25">
      <c r="A81" s="13">
        <v>6</v>
      </c>
      <c r="B81" s="13"/>
      <c r="C81" s="41" t="s">
        <v>215</v>
      </c>
      <c r="D81" s="705">
        <v>1963</v>
      </c>
      <c r="E81" s="705">
        <v>2</v>
      </c>
      <c r="F81" s="705">
        <v>12</v>
      </c>
      <c r="G81" s="708">
        <v>39</v>
      </c>
      <c r="H81" s="707">
        <v>515.1</v>
      </c>
      <c r="I81" s="707">
        <v>49.6</v>
      </c>
      <c r="J81" s="715"/>
      <c r="K81" s="715"/>
      <c r="L81" s="617">
        <v>4265</v>
      </c>
      <c r="M81" s="617">
        <v>3411.89</v>
      </c>
      <c r="N81" s="718"/>
      <c r="O81" s="718"/>
      <c r="P81" s="655">
        <f t="shared" si="31"/>
        <v>3973.8108122714693</v>
      </c>
      <c r="Q81" s="656"/>
      <c r="R81" s="657">
        <f t="shared" si="32"/>
        <v>60.825798748417228</v>
      </c>
      <c r="S81" s="658"/>
      <c r="T81" s="659"/>
      <c r="U81" s="660">
        <f t="shared" si="33"/>
        <v>3255.395185959278</v>
      </c>
      <c r="V81" s="660">
        <f t="shared" si="34"/>
        <v>657.58982756377418</v>
      </c>
      <c r="W81" s="660">
        <f t="shared" si="35"/>
        <v>291.18918772853067</v>
      </c>
      <c r="X81" s="659">
        <f t="shared" si="36"/>
        <v>79.997420867526372</v>
      </c>
      <c r="Y81" s="672">
        <v>2.0699999999999998</v>
      </c>
      <c r="Z81" s="562">
        <f t="shared" si="37"/>
        <v>853.11000000000013</v>
      </c>
      <c r="AA81" s="250"/>
      <c r="AB81" s="250"/>
      <c r="AC81" s="250"/>
      <c r="AD81" s="250"/>
      <c r="AE81" s="250"/>
      <c r="AF81" s="250"/>
      <c r="AG81" s="250"/>
      <c r="AH81" s="250"/>
      <c r="AI81" s="250"/>
      <c r="AJ81" s="250"/>
      <c r="AK81" s="250"/>
    </row>
    <row r="82" spans="1:37" x14ac:dyDescent="0.25">
      <c r="A82" s="13">
        <v>7</v>
      </c>
      <c r="B82" s="13"/>
      <c r="C82" s="41" t="s">
        <v>216</v>
      </c>
      <c r="D82" s="705">
        <v>1963</v>
      </c>
      <c r="E82" s="705">
        <v>2</v>
      </c>
      <c r="F82" s="705">
        <v>16</v>
      </c>
      <c r="G82" s="349">
        <v>43</v>
      </c>
      <c r="H82" s="707">
        <v>624.4</v>
      </c>
      <c r="I82" s="707">
        <v>76</v>
      </c>
      <c r="J82" s="715"/>
      <c r="K82" s="715"/>
      <c r="L82" s="617">
        <v>5172.4399999999996</v>
      </c>
      <c r="M82" s="617">
        <v>4713.1400000000003</v>
      </c>
      <c r="N82" s="718"/>
      <c r="O82" s="718"/>
      <c r="P82" s="655">
        <f t="shared" si="31"/>
        <v>6069.4353782238195</v>
      </c>
      <c r="Q82" s="656"/>
      <c r="R82" s="657">
        <f t="shared" si="32"/>
        <v>73.732534922367918</v>
      </c>
      <c r="S82" s="658"/>
      <c r="T82" s="659"/>
      <c r="U82" s="660">
        <f t="shared" si="33"/>
        <v>4988.105526873087</v>
      </c>
      <c r="V82" s="660">
        <f t="shared" si="34"/>
        <v>1007.5973164283637</v>
      </c>
      <c r="W82" s="660">
        <f t="shared" si="35"/>
        <v>-896.9953782238199</v>
      </c>
      <c r="X82" s="659">
        <f t="shared" si="36"/>
        <v>91.120244990758721</v>
      </c>
      <c r="Y82" s="672">
        <v>2.08</v>
      </c>
      <c r="Z82" s="562">
        <f t="shared" si="37"/>
        <v>459.29999999999927</v>
      </c>
      <c r="AA82" s="250"/>
      <c r="AB82" s="250"/>
      <c r="AC82" s="250"/>
      <c r="AD82" s="250"/>
      <c r="AE82" s="250"/>
      <c r="AF82" s="250"/>
      <c r="AG82" s="250"/>
      <c r="AH82" s="250"/>
      <c r="AI82" s="250"/>
      <c r="AJ82" s="250"/>
      <c r="AK82" s="250"/>
    </row>
    <row r="83" spans="1:37" x14ac:dyDescent="0.25">
      <c r="A83" s="13">
        <v>8</v>
      </c>
      <c r="B83" s="13"/>
      <c r="C83" s="41" t="s">
        <v>217</v>
      </c>
      <c r="D83" s="705">
        <v>1963</v>
      </c>
      <c r="E83" s="705">
        <v>2</v>
      </c>
      <c r="F83" s="705">
        <v>16</v>
      </c>
      <c r="G83" s="708">
        <v>27</v>
      </c>
      <c r="H83" s="707">
        <v>630.29999999999995</v>
      </c>
      <c r="I83" s="707">
        <v>76</v>
      </c>
      <c r="J83" s="715"/>
      <c r="K83" s="715"/>
      <c r="L83" s="617">
        <v>5244.15</v>
      </c>
      <c r="M83" s="617">
        <v>3809.25</v>
      </c>
      <c r="N83" s="718"/>
      <c r="O83" s="718"/>
      <c r="P83" s="655">
        <f t="shared" si="31"/>
        <v>6070.1320821892932</v>
      </c>
      <c r="Q83" s="656"/>
      <c r="R83" s="657">
        <f t="shared" si="32"/>
        <v>74.429238887841919</v>
      </c>
      <c r="S83" s="658"/>
      <c r="T83" s="659"/>
      <c r="U83" s="660">
        <f t="shared" si="33"/>
        <v>4988.105526873087</v>
      </c>
      <c r="V83" s="660">
        <f t="shared" si="34"/>
        <v>1007.5973164283637</v>
      </c>
      <c r="W83" s="660">
        <f t="shared" si="35"/>
        <v>-825.98208218929358</v>
      </c>
      <c r="X83" s="659">
        <f t="shared" si="36"/>
        <v>72.63808243471297</v>
      </c>
      <c r="Y83" s="672">
        <v>2.08</v>
      </c>
      <c r="Z83" s="562">
        <f t="shared" si="37"/>
        <v>1434.8999999999996</v>
      </c>
      <c r="AA83" s="250"/>
      <c r="AB83" s="250"/>
      <c r="AC83" s="250"/>
      <c r="AD83" s="250"/>
      <c r="AE83" s="250"/>
      <c r="AF83" s="250"/>
      <c r="AG83" s="250"/>
      <c r="AH83" s="250"/>
      <c r="AI83" s="250"/>
      <c r="AJ83" s="250"/>
      <c r="AK83" s="250"/>
    </row>
    <row r="84" spans="1:37" x14ac:dyDescent="0.25">
      <c r="A84" s="13">
        <v>9</v>
      </c>
      <c r="B84" s="13"/>
      <c r="C84" s="41" t="s">
        <v>218</v>
      </c>
      <c r="D84" s="705">
        <v>1963</v>
      </c>
      <c r="E84" s="705">
        <v>2</v>
      </c>
      <c r="F84" s="705">
        <v>8</v>
      </c>
      <c r="G84" s="349">
        <v>18</v>
      </c>
      <c r="H84" s="707">
        <v>313</v>
      </c>
      <c r="I84" s="707">
        <v>73.5</v>
      </c>
      <c r="J84" s="715"/>
      <c r="K84" s="715"/>
      <c r="L84" s="617">
        <v>2604.12</v>
      </c>
      <c r="M84" s="617">
        <v>2066.35</v>
      </c>
      <c r="N84" s="718"/>
      <c r="O84" s="718"/>
      <c r="P84" s="655">
        <f t="shared" si="31"/>
        <v>5835.4365118830729</v>
      </c>
      <c r="Q84" s="656"/>
      <c r="R84" s="657">
        <f t="shared" si="32"/>
        <v>36.960735795485519</v>
      </c>
      <c r="S84" s="658"/>
      <c r="T84" s="659"/>
      <c r="U84" s="660">
        <f t="shared" si="33"/>
        <v>4824.0231082259461</v>
      </c>
      <c r="V84" s="660">
        <f t="shared" si="34"/>
        <v>974.4526678616412</v>
      </c>
      <c r="W84" s="660">
        <f t="shared" si="35"/>
        <v>-3231.316511883073</v>
      </c>
      <c r="X84" s="659">
        <f t="shared" si="36"/>
        <v>79.349261938773935</v>
      </c>
      <c r="Y84" s="672">
        <v>2.08</v>
      </c>
      <c r="Z84" s="562">
        <f t="shared" si="37"/>
        <v>537.77</v>
      </c>
      <c r="AA84" s="250"/>
      <c r="AB84" s="250"/>
      <c r="AC84" s="250"/>
      <c r="AD84" s="250"/>
      <c r="AE84" s="250"/>
      <c r="AF84" s="250"/>
      <c r="AG84" s="250"/>
      <c r="AH84" s="250"/>
      <c r="AI84" s="250"/>
      <c r="AJ84" s="250"/>
      <c r="AK84" s="250"/>
    </row>
    <row r="85" spans="1:37" x14ac:dyDescent="0.25">
      <c r="A85" s="13">
        <v>10</v>
      </c>
      <c r="B85" s="13"/>
      <c r="C85" s="41" t="s">
        <v>219</v>
      </c>
      <c r="D85" s="705">
        <v>1977</v>
      </c>
      <c r="E85" s="705">
        <v>5</v>
      </c>
      <c r="F85" s="705">
        <v>90</v>
      </c>
      <c r="G85" s="708">
        <v>231</v>
      </c>
      <c r="H85" s="707">
        <v>4847.7</v>
      </c>
      <c r="I85" s="707">
        <v>585</v>
      </c>
      <c r="J85" s="715"/>
      <c r="K85" s="715"/>
      <c r="L85" s="617">
        <v>37804.480000000003</v>
      </c>
      <c r="M85" s="617">
        <v>35962.19</v>
      </c>
      <c r="N85" s="718"/>
      <c r="O85" s="718"/>
      <c r="P85" s="655">
        <f t="shared" si="31"/>
        <v>46912.716408286156</v>
      </c>
      <c r="Q85" s="656">
        <v>189.14</v>
      </c>
      <c r="R85" s="657">
        <f t="shared" si="32"/>
        <v>572.44268024209305</v>
      </c>
      <c r="S85" s="658"/>
      <c r="T85" s="659"/>
      <c r="U85" s="660">
        <f t="shared" si="33"/>
        <v>38395.285963431001</v>
      </c>
      <c r="V85" s="660">
        <f t="shared" si="34"/>
        <v>7755.8477646130623</v>
      </c>
      <c r="W85" s="660">
        <f t="shared" si="35"/>
        <v>-9108.2364082861532</v>
      </c>
      <c r="X85" s="659">
        <f t="shared" si="36"/>
        <v>95.126794496313664</v>
      </c>
      <c r="Y85" s="672">
        <v>1.95</v>
      </c>
      <c r="Z85" s="562">
        <f t="shared" si="37"/>
        <v>1842.2900000000009</v>
      </c>
      <c r="AA85" s="250"/>
      <c r="AB85" s="250"/>
      <c r="AC85" s="250"/>
      <c r="AD85" s="250"/>
      <c r="AE85" s="250"/>
      <c r="AF85" s="250"/>
      <c r="AG85" s="250"/>
      <c r="AH85" s="250"/>
      <c r="AI85" s="250"/>
      <c r="AJ85" s="250"/>
      <c r="AK85" s="250"/>
    </row>
    <row r="86" spans="1:37" x14ac:dyDescent="0.25">
      <c r="A86" s="13">
        <v>11</v>
      </c>
      <c r="B86" s="13"/>
      <c r="C86" s="41" t="s">
        <v>220</v>
      </c>
      <c r="D86" s="705">
        <v>1983</v>
      </c>
      <c r="E86" s="705">
        <v>4</v>
      </c>
      <c r="F86" s="705">
        <v>48</v>
      </c>
      <c r="G86" s="349">
        <v>143</v>
      </c>
      <c r="H86" s="707">
        <v>2618.7199999999998</v>
      </c>
      <c r="I86" s="707">
        <v>317.89999999999998</v>
      </c>
      <c r="J86" s="715"/>
      <c r="K86" s="715"/>
      <c r="L86" s="617">
        <v>20533.16</v>
      </c>
      <c r="M86" s="617">
        <v>19460.18</v>
      </c>
      <c r="N86" s="718"/>
      <c r="O86" s="718"/>
      <c r="P86" s="655">
        <f t="shared" si="31"/>
        <v>25577.766512417613</v>
      </c>
      <c r="Q86" s="656">
        <v>189.14</v>
      </c>
      <c r="R86" s="657">
        <f t="shared" si="32"/>
        <v>309.23264550272791</v>
      </c>
      <c r="S86" s="658"/>
      <c r="T86" s="659"/>
      <c r="U86" s="660">
        <f t="shared" si="33"/>
        <v>20864.720355170452</v>
      </c>
      <c r="V86" s="660">
        <f t="shared" si="34"/>
        <v>4214.6735117444314</v>
      </c>
      <c r="W86" s="660">
        <f t="shared" si="35"/>
        <v>-5044.606512417613</v>
      </c>
      <c r="X86" s="659">
        <f t="shared" si="36"/>
        <v>94.774403939773521</v>
      </c>
      <c r="Y86" s="672">
        <v>1.96</v>
      </c>
      <c r="Z86" s="562">
        <f t="shared" si="37"/>
        <v>1072.9799999999996</v>
      </c>
      <c r="AA86" s="250"/>
      <c r="AB86" s="250"/>
      <c r="AC86" s="250"/>
      <c r="AD86" s="250"/>
      <c r="AE86" s="250"/>
      <c r="AF86" s="250"/>
      <c r="AG86" s="250"/>
      <c r="AH86" s="250"/>
      <c r="AI86" s="250"/>
      <c r="AJ86" s="250"/>
      <c r="AK86" s="250"/>
    </row>
    <row r="87" spans="1:37" x14ac:dyDescent="0.25">
      <c r="A87" s="13">
        <v>12</v>
      </c>
      <c r="B87" s="13"/>
      <c r="C87" s="41" t="s">
        <v>221</v>
      </c>
      <c r="D87" s="705">
        <v>1983</v>
      </c>
      <c r="E87" s="705">
        <v>4</v>
      </c>
      <c r="F87" s="705">
        <v>48</v>
      </c>
      <c r="G87" s="708">
        <v>137</v>
      </c>
      <c r="H87" s="707">
        <v>2615</v>
      </c>
      <c r="I87" s="707">
        <v>317.89999999999998</v>
      </c>
      <c r="J87" s="715"/>
      <c r="K87" s="715"/>
      <c r="L87" s="617">
        <v>20487.48</v>
      </c>
      <c r="M87" s="617">
        <v>20699.02</v>
      </c>
      <c r="N87" s="718"/>
      <c r="O87" s="718"/>
      <c r="P87" s="655">
        <f t="shared" si="31"/>
        <v>25482.757234663106</v>
      </c>
      <c r="Q87" s="656">
        <v>94.57</v>
      </c>
      <c r="R87" s="657">
        <f t="shared" si="32"/>
        <v>308.79336774822565</v>
      </c>
      <c r="S87" s="658"/>
      <c r="T87" s="659"/>
      <c r="U87" s="660">
        <f t="shared" si="33"/>
        <v>20864.720355170452</v>
      </c>
      <c r="V87" s="660">
        <f t="shared" si="34"/>
        <v>4214.6735117444314</v>
      </c>
      <c r="W87" s="660">
        <f t="shared" si="35"/>
        <v>-4995.2772346631064</v>
      </c>
      <c r="X87" s="659">
        <f t="shared" si="36"/>
        <v>101.03253303969058</v>
      </c>
      <c r="Y87" s="672">
        <v>1.96</v>
      </c>
      <c r="Z87" s="562">
        <f t="shared" si="37"/>
        <v>-211.54000000000087</v>
      </c>
      <c r="AA87" s="250"/>
      <c r="AB87" s="250"/>
      <c r="AC87" s="250"/>
      <c r="AD87" s="250"/>
      <c r="AE87" s="250"/>
      <c r="AF87" s="250"/>
      <c r="AG87" s="250"/>
      <c r="AH87" s="250"/>
      <c r="AI87" s="250"/>
      <c r="AJ87" s="250"/>
      <c r="AK87" s="250"/>
    </row>
    <row r="88" spans="1:37" x14ac:dyDescent="0.25">
      <c r="A88" s="13">
        <v>13</v>
      </c>
      <c r="B88" s="13"/>
      <c r="C88" s="42" t="s">
        <v>222</v>
      </c>
      <c r="D88" s="705">
        <v>1975</v>
      </c>
      <c r="E88" s="705">
        <v>2</v>
      </c>
      <c r="F88" s="705">
        <v>12</v>
      </c>
      <c r="G88" s="349">
        <v>30</v>
      </c>
      <c r="H88" s="707">
        <v>504.74</v>
      </c>
      <c r="I88" s="707">
        <v>58.2</v>
      </c>
      <c r="J88" s="715"/>
      <c r="K88" s="715"/>
      <c r="L88" s="617">
        <v>3787.24</v>
      </c>
      <c r="M88" s="617">
        <v>3395.62</v>
      </c>
      <c r="N88" s="718"/>
      <c r="O88" s="718"/>
      <c r="P88" s="655">
        <f t="shared" si="31"/>
        <v>4651.0485585579554</v>
      </c>
      <c r="Q88" s="656"/>
      <c r="R88" s="657">
        <f t="shared" si="32"/>
        <v>59.602433819212017</v>
      </c>
      <c r="S88" s="658"/>
      <c r="T88" s="659"/>
      <c r="U88" s="660">
        <f t="shared" si="33"/>
        <v>3819.8387061054436</v>
      </c>
      <c r="V88" s="660">
        <f t="shared" si="34"/>
        <v>771.60741863329963</v>
      </c>
      <c r="W88" s="660">
        <f t="shared" si="35"/>
        <v>-863.80855855795562</v>
      </c>
      <c r="X88" s="659">
        <f t="shared" si="36"/>
        <v>89.659488176086029</v>
      </c>
      <c r="Y88" s="672">
        <v>1.88</v>
      </c>
      <c r="Z88" s="562">
        <f t="shared" si="37"/>
        <v>391.61999999999989</v>
      </c>
      <c r="AA88" s="250"/>
      <c r="AB88" s="250"/>
      <c r="AC88" s="250"/>
      <c r="AD88" s="250"/>
      <c r="AE88" s="250"/>
      <c r="AF88" s="250"/>
      <c r="AG88" s="250"/>
      <c r="AH88" s="250"/>
      <c r="AI88" s="250"/>
      <c r="AJ88" s="250"/>
      <c r="AK88" s="250"/>
    </row>
    <row r="89" spans="1:37" x14ac:dyDescent="0.25">
      <c r="A89" s="13">
        <v>14</v>
      </c>
      <c r="B89" s="13"/>
      <c r="C89" s="42" t="s">
        <v>122</v>
      </c>
      <c r="D89" s="705">
        <v>1975</v>
      </c>
      <c r="E89" s="705">
        <v>2</v>
      </c>
      <c r="F89" s="705">
        <v>12</v>
      </c>
      <c r="G89" s="708">
        <v>31</v>
      </c>
      <c r="H89" s="707">
        <v>527.04</v>
      </c>
      <c r="I89" s="707">
        <v>52.8</v>
      </c>
      <c r="J89" s="715"/>
      <c r="K89" s="715"/>
      <c r="L89" s="617">
        <v>3914.64</v>
      </c>
      <c r="M89" s="617">
        <v>4207.18</v>
      </c>
      <c r="N89" s="718"/>
      <c r="O89" s="718"/>
      <c r="P89" s="655">
        <f t="shared" si="31"/>
        <v>4227.671398194665</v>
      </c>
      <c r="Q89" s="656"/>
      <c r="R89" s="657">
        <f t="shared" si="32"/>
        <v>62.23573863786801</v>
      </c>
      <c r="S89" s="658"/>
      <c r="T89" s="659"/>
      <c r="U89" s="660">
        <f t="shared" si="33"/>
        <v>3465.4206818276184</v>
      </c>
      <c r="V89" s="660">
        <f t="shared" si="34"/>
        <v>700.01497772917901</v>
      </c>
      <c r="W89" s="660">
        <f t="shared" si="35"/>
        <v>-313.03139819466514</v>
      </c>
      <c r="X89" s="659">
        <f t="shared" si="36"/>
        <v>107.47297324913659</v>
      </c>
      <c r="Y89" s="672">
        <v>1.87</v>
      </c>
      <c r="Z89" s="562">
        <f t="shared" si="37"/>
        <v>-292.54000000000042</v>
      </c>
      <c r="AA89" s="250"/>
      <c r="AB89" s="250"/>
      <c r="AC89" s="250"/>
      <c r="AD89" s="250"/>
      <c r="AE89" s="250"/>
      <c r="AF89" s="250"/>
      <c r="AG89" s="250"/>
      <c r="AH89" s="250"/>
      <c r="AI89" s="250"/>
      <c r="AJ89" s="250"/>
      <c r="AK89" s="250"/>
    </row>
    <row r="90" spans="1:37" x14ac:dyDescent="0.25">
      <c r="A90" s="13">
        <v>15</v>
      </c>
      <c r="B90" s="13"/>
      <c r="C90" s="42" t="s">
        <v>223</v>
      </c>
      <c r="D90" s="705">
        <v>1975</v>
      </c>
      <c r="E90" s="705">
        <v>2</v>
      </c>
      <c r="F90" s="705">
        <v>12</v>
      </c>
      <c r="G90" s="349">
        <v>23</v>
      </c>
      <c r="H90" s="707">
        <v>529.83000000000004</v>
      </c>
      <c r="I90" s="707">
        <v>52.4</v>
      </c>
      <c r="J90" s="715"/>
      <c r="K90" s="715"/>
      <c r="L90" s="617">
        <v>3939.6</v>
      </c>
      <c r="M90" s="617">
        <v>3517.67</v>
      </c>
      <c r="N90" s="718"/>
      <c r="O90" s="718"/>
      <c r="P90" s="655">
        <f t="shared" si="31"/>
        <v>4196.4445257563239</v>
      </c>
      <c r="Q90" s="656"/>
      <c r="R90" s="657">
        <f t="shared" si="32"/>
        <v>62.56519695374471</v>
      </c>
      <c r="S90" s="658"/>
      <c r="T90" s="659"/>
      <c r="U90" s="660">
        <f t="shared" si="33"/>
        <v>3439.1674948440759</v>
      </c>
      <c r="V90" s="660">
        <f t="shared" si="34"/>
        <v>694.71183395850335</v>
      </c>
      <c r="W90" s="660">
        <f t="shared" si="35"/>
        <v>-256.84452575632395</v>
      </c>
      <c r="X90" s="659">
        <f t="shared" si="36"/>
        <v>89.290029444613666</v>
      </c>
      <c r="Y90" s="672">
        <v>1.87</v>
      </c>
      <c r="Z90" s="562">
        <f t="shared" si="37"/>
        <v>421.92999999999984</v>
      </c>
      <c r="AA90" s="250"/>
      <c r="AB90" s="250"/>
      <c r="AC90" s="250"/>
      <c r="AD90" s="250"/>
      <c r="AE90" s="250"/>
      <c r="AF90" s="250"/>
      <c r="AG90" s="250"/>
      <c r="AH90" s="250"/>
      <c r="AI90" s="250"/>
      <c r="AJ90" s="250"/>
      <c r="AK90" s="250"/>
    </row>
    <row r="91" spans="1:37" x14ac:dyDescent="0.25">
      <c r="A91" s="13">
        <v>16</v>
      </c>
      <c r="B91" s="13"/>
      <c r="C91" s="42" t="s">
        <v>224</v>
      </c>
      <c r="D91" s="705">
        <v>1968</v>
      </c>
      <c r="E91" s="705">
        <v>2</v>
      </c>
      <c r="F91" s="705">
        <v>16</v>
      </c>
      <c r="G91" s="708">
        <v>35</v>
      </c>
      <c r="H91" s="707">
        <v>715.87</v>
      </c>
      <c r="I91" s="707">
        <v>76</v>
      </c>
      <c r="J91" s="715"/>
      <c r="K91" s="715"/>
      <c r="L91" s="617">
        <v>5326.12</v>
      </c>
      <c r="M91" s="617">
        <v>4883.59</v>
      </c>
      <c r="N91" s="718"/>
      <c r="O91" s="718"/>
      <c r="P91" s="655">
        <f t="shared" si="31"/>
        <v>6080.2366513970228</v>
      </c>
      <c r="Q91" s="656"/>
      <c r="R91" s="657">
        <f t="shared" si="32"/>
        <v>84.533808095572581</v>
      </c>
      <c r="S91" s="658"/>
      <c r="T91" s="659"/>
      <c r="U91" s="660">
        <f t="shared" si="33"/>
        <v>4988.105526873087</v>
      </c>
      <c r="V91" s="660">
        <f t="shared" si="34"/>
        <v>1007.5973164283637</v>
      </c>
      <c r="W91" s="660">
        <f t="shared" si="35"/>
        <v>-754.11665139702291</v>
      </c>
      <c r="X91" s="659">
        <f t="shared" si="36"/>
        <v>91.691325017085617</v>
      </c>
      <c r="Y91" s="672">
        <v>1.86</v>
      </c>
      <c r="Z91" s="562">
        <f t="shared" si="37"/>
        <v>442.52999999999975</v>
      </c>
      <c r="AA91" s="250"/>
      <c r="AB91" s="250"/>
      <c r="AC91" s="250"/>
      <c r="AD91" s="250"/>
      <c r="AE91" s="250"/>
      <c r="AF91" s="250"/>
      <c r="AG91" s="250"/>
      <c r="AH91" s="250"/>
      <c r="AI91" s="250"/>
      <c r="AJ91" s="250"/>
      <c r="AK91" s="250"/>
    </row>
    <row r="92" spans="1:37" x14ac:dyDescent="0.25">
      <c r="A92" s="13">
        <v>17</v>
      </c>
      <c r="B92" s="13"/>
      <c r="C92" s="45" t="s">
        <v>227</v>
      </c>
      <c r="D92" s="690"/>
      <c r="E92" s="690">
        <v>2</v>
      </c>
      <c r="F92" s="690">
        <v>10</v>
      </c>
      <c r="G92" s="690">
        <v>30</v>
      </c>
      <c r="H92" s="706">
        <v>637.20000000000005</v>
      </c>
      <c r="I92" s="706">
        <v>111</v>
      </c>
      <c r="J92" s="716"/>
      <c r="K92" s="716"/>
      <c r="L92" s="618">
        <v>10067.84</v>
      </c>
      <c r="M92" s="618">
        <v>9896.5400000000009</v>
      </c>
      <c r="N92" s="719"/>
      <c r="O92" s="719"/>
      <c r="P92" s="655">
        <f t="shared" si="31"/>
        <v>8832.1258125667337</v>
      </c>
      <c r="Q92" s="662"/>
      <c r="R92" s="657">
        <f t="shared" si="32"/>
        <v>75.244028271192889</v>
      </c>
      <c r="S92" s="658"/>
      <c r="T92" s="659"/>
      <c r="U92" s="660">
        <f t="shared" si="33"/>
        <v>7285.2593879330616</v>
      </c>
      <c r="V92" s="660">
        <f t="shared" si="34"/>
        <v>1471.6223963624786</v>
      </c>
      <c r="W92" s="660">
        <f t="shared" si="35"/>
        <v>1235.7141874332665</v>
      </c>
      <c r="X92" s="659">
        <f t="shared" si="36"/>
        <v>98.298542686415374</v>
      </c>
      <c r="Y92" s="672">
        <v>3.95</v>
      </c>
      <c r="Z92" s="562">
        <f t="shared" si="37"/>
        <v>171.29999999999927</v>
      </c>
      <c r="AA92" s="250"/>
      <c r="AB92" s="250"/>
      <c r="AC92" s="250"/>
      <c r="AD92" s="250"/>
      <c r="AE92" s="250"/>
      <c r="AF92" s="250"/>
      <c r="AG92" s="250"/>
      <c r="AH92" s="250"/>
      <c r="AI92" s="250"/>
      <c r="AJ92" s="250"/>
      <c r="AK92" s="250"/>
    </row>
    <row r="93" spans="1:37" x14ac:dyDescent="0.25">
      <c r="A93" s="13">
        <v>18</v>
      </c>
      <c r="B93" s="13"/>
      <c r="C93" s="45" t="s">
        <v>330</v>
      </c>
      <c r="D93" s="690">
        <v>2013</v>
      </c>
      <c r="E93" s="690">
        <v>3</v>
      </c>
      <c r="F93" s="690">
        <v>28</v>
      </c>
      <c r="G93" s="690"/>
      <c r="H93" s="706">
        <v>1588.6</v>
      </c>
      <c r="I93" s="706">
        <v>124.9</v>
      </c>
      <c r="J93" s="716"/>
      <c r="K93" s="716"/>
      <c r="L93" s="618">
        <v>24520.959999999999</v>
      </c>
      <c r="M93" s="618">
        <v>21082.45</v>
      </c>
      <c r="N93" s="719"/>
      <c r="O93" s="719"/>
      <c r="P93" s="655">
        <f t="shared" si="31"/>
        <v>10041.054772843947</v>
      </c>
      <c r="Q93" s="662"/>
      <c r="R93" s="657">
        <f t="shared" si="32"/>
        <v>187.59049483932361</v>
      </c>
      <c r="S93" s="658"/>
      <c r="T93" s="659"/>
      <c r="U93" s="660">
        <f t="shared" si="33"/>
        <v>8197.5576356111669</v>
      </c>
      <c r="V93" s="660">
        <f t="shared" si="34"/>
        <v>1655.9066423934557</v>
      </c>
      <c r="W93" s="660">
        <f t="shared" si="35"/>
        <v>14479.905227156052</v>
      </c>
      <c r="X93" s="659">
        <f t="shared" si="36"/>
        <v>85.977261901654757</v>
      </c>
      <c r="Y93" s="672">
        <v>4.07</v>
      </c>
      <c r="Z93" s="562">
        <f t="shared" si="37"/>
        <v>3438.5099999999984</v>
      </c>
      <c r="AA93" s="250"/>
      <c r="AB93" s="250"/>
      <c r="AC93" s="250"/>
      <c r="AD93" s="250"/>
      <c r="AE93" s="250"/>
      <c r="AF93" s="250"/>
      <c r="AG93" s="250"/>
      <c r="AH93" s="250"/>
      <c r="AI93" s="250"/>
      <c r="AJ93" s="250"/>
      <c r="AK93" s="250"/>
    </row>
    <row r="94" spans="1:37" ht="15.75" thickBot="1" x14ac:dyDescent="0.3">
      <c r="A94" s="187">
        <v>19</v>
      </c>
      <c r="B94" s="580">
        <v>42648</v>
      </c>
      <c r="C94" s="188" t="s">
        <v>473</v>
      </c>
      <c r="D94" s="709"/>
      <c r="E94" s="709"/>
      <c r="F94" s="709"/>
      <c r="G94" s="709"/>
      <c r="H94" s="710">
        <v>1372.13</v>
      </c>
      <c r="I94" s="710">
        <v>152</v>
      </c>
      <c r="J94" s="717"/>
      <c r="K94" s="717"/>
      <c r="L94" s="619">
        <v>5513.34</v>
      </c>
      <c r="M94" s="619">
        <v>227.1</v>
      </c>
      <c r="N94" s="720"/>
      <c r="O94" s="720"/>
      <c r="P94" s="655">
        <f t="shared" si="31"/>
        <v>12455.6842310344</v>
      </c>
      <c r="Q94" s="663">
        <v>302.25</v>
      </c>
      <c r="R94" s="657">
        <f t="shared" si="32"/>
        <v>162.02854443150017</v>
      </c>
      <c r="S94" s="658"/>
      <c r="T94" s="659"/>
      <c r="U94" s="660">
        <f t="shared" si="33"/>
        <v>9976.211053746174</v>
      </c>
      <c r="V94" s="660">
        <f t="shared" si="34"/>
        <v>2015.1946328567274</v>
      </c>
      <c r="W94" s="660">
        <f t="shared" si="35"/>
        <v>-6942.3442310343999</v>
      </c>
      <c r="X94" s="664">
        <f t="shared" si="36"/>
        <v>4.1191002187421777</v>
      </c>
      <c r="Y94" s="672">
        <v>4.07</v>
      </c>
      <c r="Z94" s="562">
        <f t="shared" si="37"/>
        <v>5286.24</v>
      </c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</row>
    <row r="95" spans="1:37" ht="15.75" thickBot="1" x14ac:dyDescent="0.3">
      <c r="A95" s="195"/>
      <c r="B95" s="579"/>
      <c r="C95" s="196" t="s">
        <v>296</v>
      </c>
      <c r="D95" s="711"/>
      <c r="E95" s="711"/>
      <c r="F95" s="712"/>
      <c r="G95" s="712">
        <f t="shared" ref="G95:R95" si="38">SUM(G76:G94)</f>
        <v>1267</v>
      </c>
      <c r="H95" s="713">
        <f t="shared" si="38"/>
        <v>25682.680000000004</v>
      </c>
      <c r="I95" s="713">
        <f t="shared" si="38"/>
        <v>2889.8800000000006</v>
      </c>
      <c r="J95" s="722"/>
      <c r="K95" s="722"/>
      <c r="L95" s="428">
        <f t="shared" si="38"/>
        <v>211156.65</v>
      </c>
      <c r="M95" s="428">
        <f t="shared" si="38"/>
        <v>191740.48</v>
      </c>
      <c r="N95" s="721"/>
      <c r="O95" s="721"/>
      <c r="P95" s="665">
        <f t="shared" si="38"/>
        <v>231792.87279999995</v>
      </c>
      <c r="Q95" s="666">
        <f t="shared" si="38"/>
        <v>775.09999999999991</v>
      </c>
      <c r="R95" s="666">
        <f t="shared" si="38"/>
        <v>3032.7499999999995</v>
      </c>
      <c r="S95" s="667">
        <f>SUM(S76:S94)</f>
        <v>0</v>
      </c>
      <c r="T95" s="668">
        <f>SUM(T76:T94)</f>
        <v>0</v>
      </c>
      <c r="U95" s="668">
        <f>SUM(U76:U94)</f>
        <v>189671.39999999997</v>
      </c>
      <c r="V95" s="668">
        <f>SUM(V76:V94)</f>
        <v>38313.622799999997</v>
      </c>
      <c r="W95" s="669">
        <f>SUM(W76:W94)</f>
        <v>-20636.22279999996</v>
      </c>
      <c r="X95" s="670">
        <f>M95/L95*100</f>
        <v>90.804850332679564</v>
      </c>
      <c r="Y95" s="726"/>
      <c r="Z95" s="727">
        <f t="shared" si="37"/>
        <v>19416.169999999984</v>
      </c>
      <c r="AA95" s="250"/>
      <c r="AB95" s="250"/>
      <c r="AC95" s="250"/>
      <c r="AD95" s="250"/>
      <c r="AE95" s="250"/>
      <c r="AF95" s="250"/>
      <c r="AG95" s="250"/>
      <c r="AH95" s="250"/>
      <c r="AI95" s="250"/>
      <c r="AJ95" s="250"/>
      <c r="AK95" s="250"/>
    </row>
    <row r="96" spans="1:37" x14ac:dyDescent="0.25">
      <c r="A96" s="189"/>
      <c r="B96" s="189"/>
      <c r="C96" s="190"/>
      <c r="D96" s="191"/>
      <c r="E96" s="191"/>
      <c r="F96" s="409"/>
      <c r="G96" s="409"/>
      <c r="H96" s="410"/>
      <c r="I96" s="410"/>
      <c r="J96" s="410"/>
      <c r="K96" s="410"/>
      <c r="L96" s="193"/>
      <c r="M96" s="193"/>
      <c r="N96" s="193"/>
      <c r="O96" s="193"/>
      <c r="P96" s="411"/>
      <c r="Q96" s="723">
        <f>Q95+R95</f>
        <v>3807.8499999999995</v>
      </c>
      <c r="R96" s="724"/>
      <c r="S96" s="725"/>
      <c r="T96" s="725"/>
      <c r="U96" s="723">
        <f>U95+V95</f>
        <v>227985.02279999998</v>
      </c>
      <c r="V96" s="145"/>
      <c r="W96" s="145"/>
      <c r="X96" s="146"/>
      <c r="Y96" s="391"/>
      <c r="Z96" s="391"/>
      <c r="AA96" s="250"/>
      <c r="AB96" s="250"/>
      <c r="AC96" s="250"/>
      <c r="AD96" s="250"/>
      <c r="AE96" s="250"/>
      <c r="AF96" s="250"/>
      <c r="AG96" s="250"/>
      <c r="AH96" s="250"/>
      <c r="AI96" s="250"/>
      <c r="AJ96" s="250"/>
      <c r="AK96" s="250"/>
    </row>
    <row r="97" spans="1:37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247"/>
      <c r="K97" s="247"/>
      <c r="L97" s="247" t="s">
        <v>180</v>
      </c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50"/>
      <c r="Z97" s="250"/>
      <c r="AA97" s="250"/>
      <c r="AB97" s="250"/>
      <c r="AC97" s="250"/>
      <c r="AD97" s="250"/>
      <c r="AE97" s="250"/>
      <c r="AF97" s="250"/>
      <c r="AG97" s="250"/>
      <c r="AH97" s="250"/>
      <c r="AI97" s="250"/>
      <c r="AJ97" s="250"/>
      <c r="AK97" s="250"/>
    </row>
    <row r="98" spans="1:37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247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50"/>
      <c r="Z98" s="250"/>
      <c r="AA98" s="250"/>
      <c r="AB98" s="250"/>
      <c r="AC98" s="250"/>
      <c r="AD98" s="250"/>
      <c r="AE98" s="250"/>
      <c r="AF98" s="250"/>
      <c r="AG98" s="250"/>
      <c r="AH98" s="250"/>
      <c r="AI98" s="250"/>
      <c r="AJ98" s="250"/>
      <c r="AK98" s="250"/>
    </row>
    <row r="99" spans="1:37" x14ac:dyDescent="0.25">
      <c r="A99" s="247"/>
      <c r="B99" s="247"/>
      <c r="C99" s="247"/>
      <c r="D99" s="247"/>
      <c r="E99" s="596" t="s">
        <v>607</v>
      </c>
      <c r="F99" s="247"/>
      <c r="G99" s="247"/>
      <c r="H99" s="247"/>
      <c r="I99" s="247"/>
      <c r="J99" s="247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50"/>
      <c r="Z99" s="250"/>
      <c r="AA99" s="250"/>
      <c r="AB99" s="250"/>
      <c r="AC99" s="250"/>
      <c r="AD99" s="250"/>
      <c r="AE99" s="250"/>
      <c r="AF99" s="250"/>
      <c r="AG99" s="250"/>
      <c r="AH99" s="250"/>
      <c r="AI99" s="250"/>
      <c r="AJ99" s="250"/>
      <c r="AK99" s="250"/>
    </row>
    <row r="100" spans="1:37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  <c r="AJ100" s="250"/>
      <c r="AK100" s="250"/>
    </row>
    <row r="101" spans="1:37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  <c r="AI101" s="250"/>
      <c r="AJ101" s="250"/>
      <c r="AK101" s="250"/>
    </row>
    <row r="102" spans="1:37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247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  <c r="AI102" s="250"/>
      <c r="AJ102" s="250"/>
      <c r="AK102" s="250"/>
    </row>
    <row r="103" spans="1:37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  <c r="AI103" s="250"/>
      <c r="AJ103" s="250"/>
      <c r="AK103" s="250"/>
    </row>
    <row r="104" spans="1:37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  <c r="AK104" s="250"/>
    </row>
    <row r="105" spans="1:37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247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50"/>
    </row>
    <row r="106" spans="1:37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50"/>
    </row>
    <row r="107" spans="1:37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50"/>
    </row>
    <row r="108" spans="1:37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247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  <c r="AK108" s="250"/>
    </row>
    <row r="109" spans="1:37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  <c r="AI109" s="250"/>
      <c r="AJ109" s="250"/>
      <c r="AK109" s="250"/>
    </row>
    <row r="110" spans="1:37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  <c r="AK110" s="250"/>
    </row>
    <row r="111" spans="1:37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  <c r="AI111" s="250"/>
      <c r="AJ111" s="250"/>
      <c r="AK111" s="250"/>
    </row>
    <row r="112" spans="1:37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247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  <c r="AI112" s="250"/>
      <c r="AJ112" s="250"/>
      <c r="AK112" s="250"/>
    </row>
    <row r="113" spans="1:37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247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  <c r="AJ113" s="250"/>
      <c r="AK113" s="250"/>
    </row>
    <row r="114" spans="1:37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247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  <c r="AI114" s="250"/>
      <c r="AJ114" s="250"/>
      <c r="AK114" s="250"/>
    </row>
    <row r="115" spans="1:37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  <c r="AJ115" s="250"/>
      <c r="AK115" s="250"/>
    </row>
    <row r="116" spans="1:37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</row>
    <row r="117" spans="1:37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</row>
  </sheetData>
  <mergeCells count="81">
    <mergeCell ref="AF7:AF8"/>
    <mergeCell ref="AI7:AI8"/>
    <mergeCell ref="AI44:AI45"/>
    <mergeCell ref="Z74:Z75"/>
    <mergeCell ref="Y74:Y75"/>
    <mergeCell ref="AG44:AG45"/>
    <mergeCell ref="AH44:AH45"/>
    <mergeCell ref="AC44:AC45"/>
    <mergeCell ref="AD44:AD45"/>
    <mergeCell ref="AE44:AE45"/>
    <mergeCell ref="T74:T75"/>
    <mergeCell ref="U74:U75"/>
    <mergeCell ref="V74:V75"/>
    <mergeCell ref="W74:W75"/>
    <mergeCell ref="X74:X75"/>
    <mergeCell ref="X44:X45"/>
    <mergeCell ref="Y44:Y45"/>
    <mergeCell ref="Z44:Z45"/>
    <mergeCell ref="AA44:AA45"/>
    <mergeCell ref="AB44:AB45"/>
    <mergeCell ref="L74:M74"/>
    <mergeCell ref="P74:P75"/>
    <mergeCell ref="Q74:Q75"/>
    <mergeCell ref="R74:R75"/>
    <mergeCell ref="S74:S75"/>
    <mergeCell ref="G74:G75"/>
    <mergeCell ref="H74:H75"/>
    <mergeCell ref="I74:I75"/>
    <mergeCell ref="A74:A75"/>
    <mergeCell ref="C74:C75"/>
    <mergeCell ref="D74:D75"/>
    <mergeCell ref="E74:E75"/>
    <mergeCell ref="F74:F75"/>
    <mergeCell ref="G44:G45"/>
    <mergeCell ref="AE7:AE8"/>
    <mergeCell ref="AG7:AG8"/>
    <mergeCell ref="AH7:AH8"/>
    <mergeCell ref="AD7:AD8"/>
    <mergeCell ref="T7:T8"/>
    <mergeCell ref="U7:U8"/>
    <mergeCell ref="V7:V8"/>
    <mergeCell ref="W7:W8"/>
    <mergeCell ref="X7:X8"/>
    <mergeCell ref="AB7:AB8"/>
    <mergeCell ref="AC7:AC8"/>
    <mergeCell ref="Z7:Z8"/>
    <mergeCell ref="AA7:AA8"/>
    <mergeCell ref="Y7:Y8"/>
    <mergeCell ref="S7:S8"/>
    <mergeCell ref="A7:A8"/>
    <mergeCell ref="C7:C8"/>
    <mergeCell ref="D7:D8"/>
    <mergeCell ref="E7:E8"/>
    <mergeCell ref="F7:F8"/>
    <mergeCell ref="B7:B8"/>
    <mergeCell ref="G7:G8"/>
    <mergeCell ref="H7:H8"/>
    <mergeCell ref="P7:P8"/>
    <mergeCell ref="Q7:Q8"/>
    <mergeCell ref="R7:R8"/>
    <mergeCell ref="I7:I8"/>
    <mergeCell ref="L7:M7"/>
    <mergeCell ref="J7:K7"/>
    <mergeCell ref="N7:O7"/>
    <mergeCell ref="A44:A45"/>
    <mergeCell ref="C44:C45"/>
    <mergeCell ref="D44:D45"/>
    <mergeCell ref="E44:E45"/>
    <mergeCell ref="F44:F45"/>
    <mergeCell ref="B44:B45"/>
    <mergeCell ref="S44:S45"/>
    <mergeCell ref="T44:T45"/>
    <mergeCell ref="U44:U45"/>
    <mergeCell ref="V44:V45"/>
    <mergeCell ref="W44:W45"/>
    <mergeCell ref="R44:R45"/>
    <mergeCell ref="H44:H45"/>
    <mergeCell ref="I44:I45"/>
    <mergeCell ref="L44:M44"/>
    <mergeCell ref="P44:P45"/>
    <mergeCell ref="Q44:Q45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0" r:id="rId1"/>
  <ignoredErrors>
    <ignoredError sqref="H33 H67:I67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17"/>
  <sheetViews>
    <sheetView topLeftCell="L64" zoomScaleNormal="100" workbookViewId="0">
      <selection activeCell="J7" sqref="J7:K8"/>
    </sheetView>
  </sheetViews>
  <sheetFormatPr defaultRowHeight="15" x14ac:dyDescent="0.25"/>
  <cols>
    <col min="1" max="1" width="2.28515625" customWidth="1"/>
    <col min="2" max="2" width="10.5703125" hidden="1" customWidth="1"/>
    <col min="3" max="3" width="21.28515625" customWidth="1"/>
    <col min="4" max="4" width="7.42578125" customWidth="1"/>
    <col min="5" max="5" width="8.42578125" customWidth="1"/>
    <col min="6" max="6" width="9.85546875" customWidth="1"/>
    <col min="7" max="7" width="10" customWidth="1"/>
    <col min="8" max="8" width="11.5703125" customWidth="1"/>
    <col min="9" max="11" width="11" customWidth="1"/>
    <col min="12" max="12" width="12.42578125" customWidth="1"/>
    <col min="13" max="13" width="11.5703125" customWidth="1"/>
    <col min="14" max="15" width="13.85546875" customWidth="1"/>
    <col min="16" max="16" width="12.42578125" customWidth="1"/>
    <col min="17" max="17" width="9.85546875" customWidth="1"/>
    <col min="18" max="18" width="11.28515625" customWidth="1"/>
    <col min="19" max="20" width="11.85546875" customWidth="1"/>
    <col min="21" max="21" width="11.140625" customWidth="1"/>
    <col min="22" max="22" width="10.7109375" customWidth="1"/>
    <col min="23" max="24" width="10.85546875" customWidth="1"/>
    <col min="25" max="25" width="11.42578125" customWidth="1"/>
    <col min="26" max="27" width="10.140625" customWidth="1"/>
    <col min="28" max="28" width="11.140625" customWidth="1"/>
    <col min="29" max="29" width="10.5703125" customWidth="1"/>
    <col min="30" max="30" width="12.28515625" customWidth="1"/>
    <col min="31" max="31" width="13.42578125" customWidth="1"/>
    <col min="32" max="32" width="12.42578125" customWidth="1"/>
    <col min="33" max="33" width="12.5703125" customWidth="1"/>
    <col min="34" max="35" width="10.7109375" customWidth="1"/>
    <col min="36" max="36" width="8.42578125" customWidth="1"/>
    <col min="37" max="37" width="10.42578125" customWidth="1"/>
    <col min="38" max="38" width="11.28515625" customWidth="1"/>
    <col min="39" max="39" width="13.140625" customWidth="1"/>
    <col min="40" max="40" width="13.42578125" style="34" customWidth="1"/>
  </cols>
  <sheetData>
    <row r="2" spans="1:41" ht="15.75" x14ac:dyDescent="0.25">
      <c r="A2" s="10"/>
      <c r="B2" s="10"/>
      <c r="C2" s="11" t="s">
        <v>641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AC2" s="250"/>
      <c r="AD2" s="250"/>
      <c r="AE2" s="250"/>
    </row>
    <row r="3" spans="1:41" ht="15.75" x14ac:dyDescent="0.25">
      <c r="A3" s="10"/>
      <c r="B3" s="10"/>
      <c r="C3" s="11"/>
      <c r="D3" s="11" t="s">
        <v>600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AC3" s="250"/>
      <c r="AD3" s="250"/>
      <c r="AE3" s="250"/>
    </row>
    <row r="4" spans="1:41" ht="15.75" x14ac:dyDescent="0.2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50"/>
      <c r="AD4" s="250"/>
      <c r="AE4" s="250"/>
    </row>
    <row r="5" spans="1:41" ht="15.75" x14ac:dyDescent="0.2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50"/>
      <c r="AD5" s="250"/>
      <c r="AE5" s="250"/>
    </row>
    <row r="6" spans="1:41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AC6" s="167"/>
      <c r="AD6" s="167"/>
      <c r="AE6" s="167"/>
      <c r="AL6" s="403"/>
      <c r="AM6" s="403"/>
      <c r="AN6" s="403"/>
      <c r="AO6" s="403"/>
    </row>
    <row r="7" spans="1:41" ht="27" customHeight="1" x14ac:dyDescent="0.25">
      <c r="A7" s="2017" t="s">
        <v>0</v>
      </c>
      <c r="B7" s="2020"/>
      <c r="C7" s="2017" t="s">
        <v>184</v>
      </c>
      <c r="D7" s="2017" t="s">
        <v>54</v>
      </c>
      <c r="E7" s="2017" t="s">
        <v>55</v>
      </c>
      <c r="F7" s="2017" t="s">
        <v>56</v>
      </c>
      <c r="G7" s="2017" t="s">
        <v>57</v>
      </c>
      <c r="H7" s="2017" t="s">
        <v>6</v>
      </c>
      <c r="I7" s="2020" t="s">
        <v>282</v>
      </c>
      <c r="J7" s="2097" t="s">
        <v>593</v>
      </c>
      <c r="K7" s="2060"/>
      <c r="L7" s="2249" t="s">
        <v>310</v>
      </c>
      <c r="M7" s="2250"/>
      <c r="N7" s="2017" t="s">
        <v>598</v>
      </c>
      <c r="O7" s="2017"/>
      <c r="P7" s="1987" t="s">
        <v>457</v>
      </c>
      <c r="Q7" s="2009" t="s">
        <v>370</v>
      </c>
      <c r="R7" s="1987" t="s">
        <v>333</v>
      </c>
      <c r="S7" s="1257"/>
      <c r="T7" s="1257"/>
      <c r="U7" s="2102" t="s">
        <v>542</v>
      </c>
      <c r="V7" s="2003" t="s">
        <v>578</v>
      </c>
      <c r="W7" s="2003" t="s">
        <v>604</v>
      </c>
      <c r="X7" s="2003" t="s">
        <v>602</v>
      </c>
      <c r="Y7" s="2003" t="s">
        <v>603</v>
      </c>
      <c r="Z7" s="2003" t="s">
        <v>319</v>
      </c>
      <c r="AA7" s="1268"/>
      <c r="AB7" s="2194" t="s">
        <v>461</v>
      </c>
      <c r="AC7" s="2107" t="s">
        <v>338</v>
      </c>
      <c r="AD7" s="2009" t="s">
        <v>321</v>
      </c>
      <c r="AE7" s="2005" t="s">
        <v>569</v>
      </c>
      <c r="AF7" s="1987" t="s">
        <v>369</v>
      </c>
      <c r="AG7" s="1987" t="s">
        <v>175</v>
      </c>
      <c r="AH7" s="2005" t="s">
        <v>610</v>
      </c>
      <c r="AI7" s="2005" t="s">
        <v>611</v>
      </c>
      <c r="AJ7" s="2251" t="s">
        <v>182</v>
      </c>
      <c r="AK7" s="2253" t="s">
        <v>544</v>
      </c>
      <c r="AL7" s="2257" t="s">
        <v>566</v>
      </c>
      <c r="AM7" s="403"/>
      <c r="AN7" s="403"/>
      <c r="AO7" s="403"/>
    </row>
    <row r="8" spans="1:41" ht="55.5" customHeight="1" x14ac:dyDescent="0.25">
      <c r="A8" s="2017"/>
      <c r="B8" s="2021"/>
      <c r="C8" s="2017"/>
      <c r="D8" s="2017"/>
      <c r="E8" s="2017"/>
      <c r="F8" s="2017"/>
      <c r="G8" s="2017"/>
      <c r="H8" s="2017"/>
      <c r="I8" s="2021"/>
      <c r="J8" s="150" t="s">
        <v>15</v>
      </c>
      <c r="K8" s="1234" t="s">
        <v>16</v>
      </c>
      <c r="L8" s="51" t="s">
        <v>15</v>
      </c>
      <c r="M8" s="1232" t="s">
        <v>16</v>
      </c>
      <c r="N8" s="150" t="s">
        <v>15</v>
      </c>
      <c r="O8" s="1234" t="s">
        <v>16</v>
      </c>
      <c r="P8" s="1988"/>
      <c r="Q8" s="2009"/>
      <c r="R8" s="1988"/>
      <c r="S8" s="1258"/>
      <c r="T8" s="1258"/>
      <c r="U8" s="2102"/>
      <c r="V8" s="2004"/>
      <c r="W8" s="2002"/>
      <c r="X8" s="2004"/>
      <c r="Y8" s="2004"/>
      <c r="Z8" s="2004"/>
      <c r="AA8" s="1260"/>
      <c r="AB8" s="2004"/>
      <c r="AC8" s="2107"/>
      <c r="AD8" s="2009"/>
      <c r="AE8" s="2099"/>
      <c r="AF8" s="2002"/>
      <c r="AG8" s="1988"/>
      <c r="AH8" s="2006"/>
      <c r="AI8" s="2006"/>
      <c r="AJ8" s="2252"/>
      <c r="AK8" s="2254"/>
      <c r="AL8" s="2258"/>
      <c r="AM8" s="403"/>
      <c r="AN8" s="403"/>
      <c r="AO8" s="403"/>
    </row>
    <row r="9" spans="1:41" s="124" customFormat="1" x14ac:dyDescent="0.25">
      <c r="A9" s="112">
        <v>1</v>
      </c>
      <c r="B9" s="602">
        <v>42401</v>
      </c>
      <c r="C9" s="422" t="s">
        <v>210</v>
      </c>
      <c r="D9" s="671">
        <v>1975</v>
      </c>
      <c r="E9" s="671">
        <v>2</v>
      </c>
      <c r="F9" s="671">
        <v>18</v>
      </c>
      <c r="G9" s="672">
        <v>60</v>
      </c>
      <c r="H9" s="673">
        <v>783.27</v>
      </c>
      <c r="I9" s="674">
        <v>85.12</v>
      </c>
      <c r="J9" s="626">
        <v>2211.21</v>
      </c>
      <c r="K9" s="626">
        <v>1804.93</v>
      </c>
      <c r="L9" s="620">
        <v>41766.839999999997</v>
      </c>
      <c r="M9" s="620">
        <v>38720.239999999998</v>
      </c>
      <c r="N9" s="620">
        <f>J9+L9</f>
        <v>43978.049999999996</v>
      </c>
      <c r="O9" s="620">
        <f>K9+M9</f>
        <v>40525.17</v>
      </c>
      <c r="P9" s="524">
        <f>Q9+R9+U9+V9+W9+X9+Y9+Z9+AB9+AC9+AD9+AE9+AF9</f>
        <v>39025.436862645904</v>
      </c>
      <c r="Q9" s="622">
        <v>1291.05</v>
      </c>
      <c r="R9" s="623">
        <f>5126.68/27715.26*H9</f>
        <v>144.8867751412038</v>
      </c>
      <c r="S9" s="623"/>
      <c r="T9" s="623"/>
      <c r="U9" s="623">
        <v>1857.03</v>
      </c>
      <c r="V9" s="623">
        <f>14128.22/27715.26*H9</f>
        <v>399.28223222152707</v>
      </c>
      <c r="W9" s="623">
        <f>11142.67/27715.26*H9</f>
        <v>314.90663017052702</v>
      </c>
      <c r="X9" s="623">
        <f>34800/27715.26*H9</f>
        <v>983.49414726760631</v>
      </c>
      <c r="Y9" s="623">
        <f>1000/27715.26*H9</f>
        <v>28.261326070908229</v>
      </c>
      <c r="Z9" s="623"/>
      <c r="AA9" s="623"/>
      <c r="AB9" s="623">
        <f>493427.04/1494533.01*L9</f>
        <v>13789.516921646045</v>
      </c>
      <c r="AC9" s="624">
        <f>58751.01/27715.26*H9</f>
        <v>1660.3814506051899</v>
      </c>
      <c r="AD9" s="624">
        <f>349779.3/27445.26*H9</f>
        <v>9982.475382306453</v>
      </c>
      <c r="AE9" s="624">
        <f>AD9*0.202</f>
        <v>2016.4600272259036</v>
      </c>
      <c r="AF9" s="624">
        <f>232037.66/27715.26*H9</f>
        <v>6557.6919699905402</v>
      </c>
      <c r="AG9" s="525">
        <f>N9-P9</f>
        <v>4952.613137354092</v>
      </c>
      <c r="AH9" s="1031">
        <f>M9/L9*100</f>
        <v>92.705696672288354</v>
      </c>
      <c r="AI9" s="1031">
        <f>K9/J9*100</f>
        <v>81.626349374324462</v>
      </c>
      <c r="AJ9" s="1032">
        <f>P9/H9/6</f>
        <v>8.3039558225230774</v>
      </c>
      <c r="AK9" s="1033">
        <v>8.9</v>
      </c>
      <c r="AL9" s="1030">
        <f>N9-O9</f>
        <v>3452.8799999999974</v>
      </c>
      <c r="AM9" s="403"/>
      <c r="AN9" s="403"/>
      <c r="AO9" s="403"/>
    </row>
    <row r="10" spans="1:41" s="124" customFormat="1" x14ac:dyDescent="0.25">
      <c r="A10" s="13">
        <v>2</v>
      </c>
      <c r="B10" s="573"/>
      <c r="C10" s="422" t="s">
        <v>211</v>
      </c>
      <c r="D10" s="675">
        <v>1975</v>
      </c>
      <c r="E10" s="675">
        <v>2</v>
      </c>
      <c r="F10" s="675">
        <v>18</v>
      </c>
      <c r="G10" s="672">
        <v>52</v>
      </c>
      <c r="H10" s="676">
        <v>784.97</v>
      </c>
      <c r="I10" s="677">
        <v>85.12</v>
      </c>
      <c r="J10" s="678">
        <v>2211.3200000000002</v>
      </c>
      <c r="K10" s="678">
        <v>1979.05</v>
      </c>
      <c r="L10" s="620">
        <v>41964.6</v>
      </c>
      <c r="M10" s="620">
        <v>40930.25</v>
      </c>
      <c r="N10" s="620">
        <f t="shared" ref="N10:O32" si="0">J10+L10</f>
        <v>44175.92</v>
      </c>
      <c r="O10" s="620">
        <f t="shared" si="0"/>
        <v>42909.3</v>
      </c>
      <c r="P10" s="524">
        <f t="shared" ref="P10:P32" si="1">Q10+R10+U10+V10+W10+X10+Y10+Z10+AB10+AC10+AD10+AE10+AF10</f>
        <v>40640.597436648626</v>
      </c>
      <c r="Q10" s="622">
        <v>1073.22</v>
      </c>
      <c r="R10" s="623">
        <f t="shared" ref="R10:R32" si="2">5126.68/27715.26*H10</f>
        <v>145.20123569470394</v>
      </c>
      <c r="S10" s="623"/>
      <c r="T10" s="623"/>
      <c r="U10" s="623">
        <v>3576.79</v>
      </c>
      <c r="V10" s="623">
        <f t="shared" ref="V10:V32" si="3">14128.22/27715.26*H10</f>
        <v>400.14882968444107</v>
      </c>
      <c r="W10" s="623">
        <f t="shared" ref="W10:W32" si="4">11142.67/27715.26*H10</f>
        <v>315.59009981865586</v>
      </c>
      <c r="X10" s="623">
        <f t="shared" ref="X10:X32" si="5">34800/27715.26*H10</f>
        <v>985.62871140303218</v>
      </c>
      <c r="Y10" s="623">
        <f t="shared" ref="Y10:Y32" si="6">1000/27715.26*H10</f>
        <v>28.322664120776786</v>
      </c>
      <c r="Z10" s="623"/>
      <c r="AA10" s="623"/>
      <c r="AB10" s="623">
        <f t="shared" ref="AB10:AB32" si="7">493427.04/1494533.01*L10</f>
        <v>13854.80830750202</v>
      </c>
      <c r="AC10" s="624">
        <f t="shared" ref="AC10:AC32" si="8">58751.01/27715.26*H10</f>
        <v>1663.9851229863982</v>
      </c>
      <c r="AD10" s="624">
        <f t="shared" ref="AD10:AD23" si="9">349779.3/27445.26*H10</f>
        <v>10004.141229523786</v>
      </c>
      <c r="AE10" s="624">
        <f t="shared" ref="AE10:AE24" si="10">AD10*0.202</f>
        <v>2020.836528363805</v>
      </c>
      <c r="AF10" s="624">
        <f t="shared" ref="AF10:AF32" si="11">232037.66/27715.26*H10</f>
        <v>6571.9247075510038</v>
      </c>
      <c r="AG10" s="525">
        <f t="shared" ref="AG10:AG32" si="12">N10-P10</f>
        <v>3535.3225633513721</v>
      </c>
      <c r="AH10" s="1031">
        <f t="shared" ref="AH10:AH32" si="13">M10/L10*100</f>
        <v>97.535184417342236</v>
      </c>
      <c r="AI10" s="1031">
        <f t="shared" ref="AI10:AI33" si="14">K10/J10*100</f>
        <v>89.496318940723171</v>
      </c>
      <c r="AJ10" s="1032">
        <f t="shared" ref="AJ10:AJ33" si="15">P10/H10/6</f>
        <v>8.628906717591887</v>
      </c>
      <c r="AK10" s="1033">
        <v>8.91</v>
      </c>
      <c r="AL10" s="1030">
        <f t="shared" ref="AL10:AL33" si="16">N10-O10</f>
        <v>1266.6199999999953</v>
      </c>
      <c r="AM10" s="403"/>
      <c r="AN10" s="403"/>
      <c r="AO10" s="403"/>
    </row>
    <row r="11" spans="1:41" s="124" customFormat="1" x14ac:dyDescent="0.25">
      <c r="A11" s="13">
        <v>3</v>
      </c>
      <c r="B11" s="573"/>
      <c r="C11" s="422" t="s">
        <v>212</v>
      </c>
      <c r="D11" s="675">
        <v>1975</v>
      </c>
      <c r="E11" s="675">
        <v>2</v>
      </c>
      <c r="F11" s="675">
        <v>18</v>
      </c>
      <c r="G11" s="679">
        <v>58</v>
      </c>
      <c r="H11" s="677">
        <v>788.23</v>
      </c>
      <c r="I11" s="677">
        <v>86.42</v>
      </c>
      <c r="J11" s="678">
        <v>2244.89</v>
      </c>
      <c r="K11" s="678">
        <v>2034.3</v>
      </c>
      <c r="L11" s="620">
        <v>42138.84</v>
      </c>
      <c r="M11" s="620">
        <v>45012.83</v>
      </c>
      <c r="N11" s="620">
        <f t="shared" si="0"/>
        <v>44383.729999999996</v>
      </c>
      <c r="O11" s="620">
        <f t="shared" si="0"/>
        <v>47047.130000000005</v>
      </c>
      <c r="P11" s="524">
        <f t="shared" si="1"/>
        <v>45448.104028018373</v>
      </c>
      <c r="Q11" s="622">
        <v>4205.76</v>
      </c>
      <c r="R11" s="623">
        <f t="shared" si="2"/>
        <v>145.80426005023949</v>
      </c>
      <c r="S11" s="623"/>
      <c r="T11" s="623"/>
      <c r="U11" s="623">
        <v>5102.3</v>
      </c>
      <c r="V11" s="623">
        <f t="shared" si="3"/>
        <v>401.8106577603819</v>
      </c>
      <c r="W11" s="623">
        <f t="shared" si="4"/>
        <v>316.90075337918535</v>
      </c>
      <c r="X11" s="623">
        <f t="shared" si="5"/>
        <v>989.72205203920146</v>
      </c>
      <c r="Y11" s="623">
        <f t="shared" si="6"/>
        <v>28.440288851701194</v>
      </c>
      <c r="Z11" s="623"/>
      <c r="AA11" s="623"/>
      <c r="AB11" s="623">
        <f t="shared" si="7"/>
        <v>13912.334455719783</v>
      </c>
      <c r="AC11" s="624">
        <f t="shared" si="8"/>
        <v>1670.8956947291854</v>
      </c>
      <c r="AD11" s="624">
        <f t="shared" si="9"/>
        <v>10045.688677717026</v>
      </c>
      <c r="AE11" s="624">
        <f t="shared" si="10"/>
        <v>2029.2291128988393</v>
      </c>
      <c r="AF11" s="624">
        <f t="shared" si="11"/>
        <v>6599.2180748728324</v>
      </c>
      <c r="AG11" s="525">
        <f t="shared" si="12"/>
        <v>-1064.3740280183774</v>
      </c>
      <c r="AH11" s="1031">
        <f t="shared" si="13"/>
        <v>106.82028741180348</v>
      </c>
      <c r="AI11" s="1031">
        <f t="shared" si="14"/>
        <v>90.619139467858105</v>
      </c>
      <c r="AJ11" s="1032">
        <f t="shared" si="15"/>
        <v>9.6097382802858657</v>
      </c>
      <c r="AK11" s="1033">
        <v>8.91</v>
      </c>
      <c r="AL11" s="1030">
        <f t="shared" si="16"/>
        <v>-2663.4000000000087</v>
      </c>
      <c r="AM11" s="403"/>
      <c r="AN11" s="403"/>
      <c r="AO11" s="403"/>
    </row>
    <row r="12" spans="1:41" s="124" customFormat="1" x14ac:dyDescent="0.25">
      <c r="A12" s="13">
        <v>4</v>
      </c>
      <c r="B12" s="573"/>
      <c r="C12" s="422" t="s">
        <v>213</v>
      </c>
      <c r="D12" s="675">
        <v>1975</v>
      </c>
      <c r="E12" s="675">
        <v>2</v>
      </c>
      <c r="F12" s="675">
        <v>18</v>
      </c>
      <c r="G12" s="680">
        <v>42</v>
      </c>
      <c r="H12" s="677">
        <v>789.57</v>
      </c>
      <c r="I12" s="677">
        <v>86.42</v>
      </c>
      <c r="J12" s="678">
        <v>2245.0100000000002</v>
      </c>
      <c r="K12" s="678">
        <v>1892.98</v>
      </c>
      <c r="L12" s="620">
        <v>42257.82</v>
      </c>
      <c r="M12" s="620">
        <v>42897.49</v>
      </c>
      <c r="N12" s="620">
        <f t="shared" si="0"/>
        <v>44502.83</v>
      </c>
      <c r="O12" s="620">
        <f t="shared" si="0"/>
        <v>44790.47</v>
      </c>
      <c r="P12" s="524">
        <f t="shared" si="1"/>
        <v>39676.613189710901</v>
      </c>
      <c r="Q12" s="622">
        <v>289.33999999999997</v>
      </c>
      <c r="R12" s="623">
        <f t="shared" si="2"/>
        <v>146.05212895711608</v>
      </c>
      <c r="S12" s="623"/>
      <c r="T12" s="623"/>
      <c r="U12" s="623">
        <v>3170.16</v>
      </c>
      <c r="V12" s="623">
        <f t="shared" si="3"/>
        <v>402.49374046644346</v>
      </c>
      <c r="W12" s="623">
        <f t="shared" si="4"/>
        <v>317.43948827829871</v>
      </c>
      <c r="X12" s="623">
        <f t="shared" si="5"/>
        <v>991.40459082830182</v>
      </c>
      <c r="Y12" s="623">
        <f t="shared" si="6"/>
        <v>28.488637667479939</v>
      </c>
      <c r="Z12" s="623"/>
      <c r="AA12" s="623"/>
      <c r="AB12" s="623">
        <f t="shared" si="7"/>
        <v>13951.61625734369</v>
      </c>
      <c r="AC12" s="624">
        <f t="shared" si="8"/>
        <v>1673.7362364884905</v>
      </c>
      <c r="AD12" s="624">
        <f t="shared" si="9"/>
        <v>10062.76646317069</v>
      </c>
      <c r="AE12" s="624">
        <f t="shared" si="10"/>
        <v>2032.6788255604795</v>
      </c>
      <c r="AF12" s="624">
        <f t="shared" si="11"/>
        <v>6610.4368209499044</v>
      </c>
      <c r="AG12" s="525">
        <f t="shared" si="12"/>
        <v>4826.216810289101</v>
      </c>
      <c r="AH12" s="1031">
        <f t="shared" si="13"/>
        <v>101.51373165960761</v>
      </c>
      <c r="AI12" s="1031">
        <f t="shared" si="14"/>
        <v>84.319446238546817</v>
      </c>
      <c r="AJ12" s="1032">
        <f t="shared" si="15"/>
        <v>8.3751521270461335</v>
      </c>
      <c r="AK12" s="1033">
        <v>8.92</v>
      </c>
      <c r="AL12" s="1030">
        <f t="shared" si="16"/>
        <v>-287.63999999999942</v>
      </c>
      <c r="AM12" s="403"/>
      <c r="AN12" s="403"/>
      <c r="AO12" s="403"/>
    </row>
    <row r="13" spans="1:41" s="124" customFormat="1" x14ac:dyDescent="0.25">
      <c r="A13" s="13">
        <v>5</v>
      </c>
      <c r="B13" s="573"/>
      <c r="C13" s="422" t="s">
        <v>214</v>
      </c>
      <c r="D13" s="675">
        <v>1975</v>
      </c>
      <c r="E13" s="675">
        <v>5</v>
      </c>
      <c r="F13" s="675">
        <v>90</v>
      </c>
      <c r="G13" s="679">
        <v>268</v>
      </c>
      <c r="H13" s="677">
        <v>4496.09</v>
      </c>
      <c r="I13" s="677">
        <v>423.6</v>
      </c>
      <c r="J13" s="678">
        <v>8518.4599999999991</v>
      </c>
      <c r="K13" s="678">
        <v>7593.43</v>
      </c>
      <c r="L13" s="620">
        <v>239504.82</v>
      </c>
      <c r="M13" s="620">
        <v>233541.17</v>
      </c>
      <c r="N13" s="620">
        <f t="shared" si="0"/>
        <v>248023.28</v>
      </c>
      <c r="O13" s="620">
        <f t="shared" si="0"/>
        <v>241134.6</v>
      </c>
      <c r="P13" s="524">
        <f t="shared" si="1"/>
        <v>218662.1236159103</v>
      </c>
      <c r="Q13" s="622">
        <v>9630.74</v>
      </c>
      <c r="R13" s="623">
        <f t="shared" si="2"/>
        <v>831.67232352141036</v>
      </c>
      <c r="S13" s="623"/>
      <c r="T13" s="623"/>
      <c r="U13" s="623">
        <v>3170.16</v>
      </c>
      <c r="V13" s="623">
        <f t="shared" si="3"/>
        <v>2291.9412864898259</v>
      </c>
      <c r="W13" s="623">
        <f t="shared" si="4"/>
        <v>1807.6123825033574</v>
      </c>
      <c r="X13" s="623">
        <f t="shared" si="5"/>
        <v>5645.4073315566948</v>
      </c>
      <c r="Y13" s="623">
        <f t="shared" si="6"/>
        <v>162.22434860795099</v>
      </c>
      <c r="Z13" s="623"/>
      <c r="AA13" s="623"/>
      <c r="AB13" s="623">
        <f t="shared" si="7"/>
        <v>79073.632771973906</v>
      </c>
      <c r="AC13" s="624">
        <f t="shared" si="8"/>
        <v>9530.8443273092162</v>
      </c>
      <c r="AD13" s="624">
        <f t="shared" si="9"/>
        <v>57300.940597283465</v>
      </c>
      <c r="AE13" s="624">
        <f t="shared" si="10"/>
        <v>11574.790000651261</v>
      </c>
      <c r="AF13" s="624">
        <f t="shared" si="11"/>
        <v>37642.158246013212</v>
      </c>
      <c r="AG13" s="525">
        <f t="shared" si="12"/>
        <v>29361.1563840897</v>
      </c>
      <c r="AH13" s="1031">
        <f t="shared" si="13"/>
        <v>97.510008358078139</v>
      </c>
      <c r="AI13" s="1031">
        <f t="shared" si="14"/>
        <v>89.140877576463367</v>
      </c>
      <c r="AJ13" s="1032">
        <f t="shared" si="15"/>
        <v>8.1056400715551469</v>
      </c>
      <c r="AK13" s="1031">
        <v>8.8800000000000008</v>
      </c>
      <c r="AL13" s="1030">
        <f t="shared" si="16"/>
        <v>6888.679999999993</v>
      </c>
      <c r="AM13" s="403"/>
      <c r="AN13" s="403"/>
      <c r="AO13" s="403"/>
    </row>
    <row r="14" spans="1:41" s="124" customFormat="1" x14ac:dyDescent="0.25">
      <c r="A14" s="13">
        <v>6</v>
      </c>
      <c r="B14" s="573"/>
      <c r="C14" s="422" t="s">
        <v>215</v>
      </c>
      <c r="D14" s="675">
        <v>1963</v>
      </c>
      <c r="E14" s="675">
        <v>2</v>
      </c>
      <c r="F14" s="675">
        <v>12</v>
      </c>
      <c r="G14" s="680">
        <v>39</v>
      </c>
      <c r="H14" s="677">
        <v>515.1</v>
      </c>
      <c r="I14" s="677">
        <v>49.6</v>
      </c>
      <c r="J14" s="678">
        <v>1288.4000000000001</v>
      </c>
      <c r="K14" s="678">
        <v>966.73</v>
      </c>
      <c r="L14" s="620">
        <v>27599.1</v>
      </c>
      <c r="M14" s="620">
        <v>22283.65</v>
      </c>
      <c r="N14" s="620">
        <f t="shared" si="0"/>
        <v>28887.5</v>
      </c>
      <c r="O14" s="620">
        <f t="shared" si="0"/>
        <v>23250.38</v>
      </c>
      <c r="P14" s="524">
        <f t="shared" si="1"/>
        <v>27953.355526351661</v>
      </c>
      <c r="Q14" s="622">
        <v>1099.03</v>
      </c>
      <c r="R14" s="623">
        <f t="shared" si="2"/>
        <v>95.281547710539257</v>
      </c>
      <c r="S14" s="623"/>
      <c r="T14" s="623"/>
      <c r="U14" s="623">
        <v>3216.78</v>
      </c>
      <c r="V14" s="623">
        <f t="shared" si="3"/>
        <v>262.5790312629216</v>
      </c>
      <c r="W14" s="623">
        <f t="shared" si="4"/>
        <v>207.09130338304604</v>
      </c>
      <c r="X14" s="623">
        <f t="shared" si="5"/>
        <v>646.7729330340037</v>
      </c>
      <c r="Y14" s="623">
        <f t="shared" si="6"/>
        <v>18.58542911017252</v>
      </c>
      <c r="Z14" s="623"/>
      <c r="AA14" s="623"/>
      <c r="AB14" s="623">
        <f t="shared" si="7"/>
        <v>9111.9715178883871</v>
      </c>
      <c r="AC14" s="624">
        <f t="shared" si="8"/>
        <v>1091.9127315060368</v>
      </c>
      <c r="AD14" s="624">
        <f t="shared" si="9"/>
        <v>6564.751706852112</v>
      </c>
      <c r="AE14" s="624">
        <f t="shared" si="10"/>
        <v>1326.0798447841266</v>
      </c>
      <c r="AF14" s="624">
        <f t="shared" si="11"/>
        <v>4312.5194808203141</v>
      </c>
      <c r="AG14" s="525">
        <f t="shared" si="12"/>
        <v>934.14447364833904</v>
      </c>
      <c r="AH14" s="1031">
        <f t="shared" si="13"/>
        <v>80.740495161074094</v>
      </c>
      <c r="AI14" s="1031">
        <f t="shared" si="14"/>
        <v>75.033374728345223</v>
      </c>
      <c r="AJ14" s="1032">
        <f t="shared" si="15"/>
        <v>9.0446371340036436</v>
      </c>
      <c r="AK14" s="1031">
        <v>8.93</v>
      </c>
      <c r="AL14" s="1030">
        <f t="shared" si="16"/>
        <v>5637.119999999999</v>
      </c>
      <c r="AM14" s="403"/>
      <c r="AN14" s="403"/>
      <c r="AO14" s="403"/>
    </row>
    <row r="15" spans="1:41" s="124" customFormat="1" x14ac:dyDescent="0.25">
      <c r="A15" s="13">
        <v>7</v>
      </c>
      <c r="B15" s="573"/>
      <c r="C15" s="422" t="s">
        <v>216</v>
      </c>
      <c r="D15" s="675">
        <v>1963</v>
      </c>
      <c r="E15" s="675">
        <v>2</v>
      </c>
      <c r="F15" s="675">
        <v>16</v>
      </c>
      <c r="G15" s="679">
        <v>43</v>
      </c>
      <c r="H15" s="677">
        <v>624.4</v>
      </c>
      <c r="I15" s="677">
        <v>76</v>
      </c>
      <c r="J15" s="678">
        <v>1974.21</v>
      </c>
      <c r="K15" s="678">
        <v>1832.76</v>
      </c>
      <c r="L15" s="620">
        <v>33235.980000000003</v>
      </c>
      <c r="M15" s="620">
        <v>35489.589999999997</v>
      </c>
      <c r="N15" s="620">
        <f t="shared" si="0"/>
        <v>35210.19</v>
      </c>
      <c r="O15" s="620">
        <f t="shared" si="0"/>
        <v>37322.35</v>
      </c>
      <c r="P15" s="524">
        <f t="shared" si="1"/>
        <v>32435.055537214401</v>
      </c>
      <c r="Q15" s="622">
        <v>637.48</v>
      </c>
      <c r="R15" s="623">
        <f t="shared" si="2"/>
        <v>115.49951153263582</v>
      </c>
      <c r="S15" s="623"/>
      <c r="T15" s="623"/>
      <c r="U15" s="623">
        <v>3216.78</v>
      </c>
      <c r="V15" s="623">
        <f t="shared" si="3"/>
        <v>318.29615049615268</v>
      </c>
      <c r="W15" s="623">
        <f t="shared" si="4"/>
        <v>251.03438134803716</v>
      </c>
      <c r="X15" s="623">
        <f t="shared" si="5"/>
        <v>784.01285068225945</v>
      </c>
      <c r="Y15" s="623">
        <f t="shared" si="6"/>
        <v>22.529104904662628</v>
      </c>
      <c r="Z15" s="623"/>
      <c r="AA15" s="623"/>
      <c r="AB15" s="623">
        <f t="shared" si="7"/>
        <v>10973.013726139914</v>
      </c>
      <c r="AC15" s="624">
        <f t="shared" si="8"/>
        <v>1323.6076675448833</v>
      </c>
      <c r="AD15" s="624">
        <f t="shared" si="9"/>
        <v>7957.7382367665668</v>
      </c>
      <c r="AE15" s="624">
        <f t="shared" si="10"/>
        <v>1607.4631238268466</v>
      </c>
      <c r="AF15" s="624">
        <f t="shared" si="11"/>
        <v>5227.6007839724398</v>
      </c>
      <c r="AG15" s="525">
        <f t="shared" si="12"/>
        <v>2775.1344627856015</v>
      </c>
      <c r="AH15" s="1031">
        <f t="shared" si="13"/>
        <v>106.7806335182534</v>
      </c>
      <c r="AI15" s="1031">
        <f t="shared" si="14"/>
        <v>92.83510872703512</v>
      </c>
      <c r="AJ15" s="1032">
        <f t="shared" si="15"/>
        <v>8.657659496373693</v>
      </c>
      <c r="AK15" s="1031">
        <v>8.91</v>
      </c>
      <c r="AL15" s="1030">
        <f t="shared" si="16"/>
        <v>-2112.1599999999962</v>
      </c>
      <c r="AM15" s="403"/>
      <c r="AN15" s="403"/>
      <c r="AO15" s="403"/>
    </row>
    <row r="16" spans="1:41" s="124" customFormat="1" x14ac:dyDescent="0.25">
      <c r="A16" s="13">
        <v>8</v>
      </c>
      <c r="B16" s="573"/>
      <c r="C16" s="422" t="s">
        <v>217</v>
      </c>
      <c r="D16" s="675">
        <v>1963</v>
      </c>
      <c r="E16" s="675">
        <v>2</v>
      </c>
      <c r="F16" s="675">
        <v>16</v>
      </c>
      <c r="G16" s="680">
        <v>27</v>
      </c>
      <c r="H16" s="677">
        <v>630.29999999999995</v>
      </c>
      <c r="I16" s="677">
        <v>76</v>
      </c>
      <c r="J16" s="678">
        <v>1974.11</v>
      </c>
      <c r="K16" s="678">
        <v>1332.47</v>
      </c>
      <c r="L16" s="620">
        <v>33695.879999999997</v>
      </c>
      <c r="M16" s="620">
        <v>26827.85</v>
      </c>
      <c r="N16" s="620">
        <f t="shared" si="0"/>
        <v>35669.99</v>
      </c>
      <c r="O16" s="620">
        <f t="shared" si="0"/>
        <v>28160.32</v>
      </c>
      <c r="P16" s="524">
        <f t="shared" si="1"/>
        <v>32566.090848424617</v>
      </c>
      <c r="Q16" s="622">
        <v>279.36</v>
      </c>
      <c r="R16" s="623">
        <f t="shared" si="2"/>
        <v>116.59087463007744</v>
      </c>
      <c r="S16" s="623"/>
      <c r="T16" s="623"/>
      <c r="U16" s="623">
        <v>3387.72</v>
      </c>
      <c r="V16" s="623">
        <f t="shared" si="3"/>
        <v>321.30375345567751</v>
      </c>
      <c r="W16" s="623">
        <f t="shared" si="4"/>
        <v>253.40642306801379</v>
      </c>
      <c r="X16" s="623">
        <f t="shared" si="5"/>
        <v>791.42104385814878</v>
      </c>
      <c r="Y16" s="623">
        <f t="shared" si="6"/>
        <v>22.741984018912323</v>
      </c>
      <c r="Z16" s="623"/>
      <c r="AA16" s="623"/>
      <c r="AB16" s="623">
        <f t="shared" si="7"/>
        <v>11124.851854958493</v>
      </c>
      <c r="AC16" s="624">
        <f t="shared" si="8"/>
        <v>1336.114530514958</v>
      </c>
      <c r="AD16" s="624">
        <f t="shared" si="9"/>
        <v>8032.9314712267251</v>
      </c>
      <c r="AE16" s="624">
        <f t="shared" si="10"/>
        <v>1622.6521571877986</v>
      </c>
      <c r="AF16" s="624">
        <f t="shared" si="11"/>
        <v>5276.996755505812</v>
      </c>
      <c r="AG16" s="525">
        <f t="shared" si="12"/>
        <v>3103.8991515753805</v>
      </c>
      <c r="AH16" s="1031">
        <f t="shared" si="13"/>
        <v>79.617597166181739</v>
      </c>
      <c r="AI16" s="1031">
        <f t="shared" si="14"/>
        <v>67.497251926184461</v>
      </c>
      <c r="AJ16" s="1032">
        <f t="shared" si="15"/>
        <v>8.6112673458206732</v>
      </c>
      <c r="AK16" s="1031">
        <v>8.91</v>
      </c>
      <c r="AL16" s="1030">
        <f t="shared" si="16"/>
        <v>7509.6699999999983</v>
      </c>
      <c r="AM16" s="403"/>
      <c r="AN16" s="403"/>
      <c r="AO16" s="403"/>
    </row>
    <row r="17" spans="1:41" s="124" customFormat="1" x14ac:dyDescent="0.25">
      <c r="A17" s="13">
        <v>9</v>
      </c>
      <c r="B17" s="573"/>
      <c r="C17" s="422" t="s">
        <v>218</v>
      </c>
      <c r="D17" s="675">
        <v>1963</v>
      </c>
      <c r="E17" s="675">
        <v>2</v>
      </c>
      <c r="F17" s="675">
        <v>8</v>
      </c>
      <c r="G17" s="679">
        <v>18</v>
      </c>
      <c r="H17" s="677">
        <v>313</v>
      </c>
      <c r="I17" s="677">
        <v>73.5</v>
      </c>
      <c r="J17" s="678">
        <v>954.6</v>
      </c>
      <c r="K17" s="678">
        <v>649.54</v>
      </c>
      <c r="L17" s="620">
        <v>16676.580000000002</v>
      </c>
      <c r="M17" s="620">
        <v>13591.21</v>
      </c>
      <c r="N17" s="620">
        <f t="shared" si="0"/>
        <v>17631.18</v>
      </c>
      <c r="O17" s="620">
        <f t="shared" si="0"/>
        <v>14240.75</v>
      </c>
      <c r="P17" s="524">
        <f t="shared" si="1"/>
        <v>16970.641148175222</v>
      </c>
      <c r="Q17" s="622">
        <v>789.08</v>
      </c>
      <c r="R17" s="623">
        <f t="shared" si="2"/>
        <v>57.897737203259148</v>
      </c>
      <c r="S17" s="623"/>
      <c r="T17" s="623"/>
      <c r="U17" s="623">
        <v>1849.26</v>
      </c>
      <c r="V17" s="623">
        <f t="shared" si="3"/>
        <v>159.55588581885937</v>
      </c>
      <c r="W17" s="623">
        <f t="shared" si="4"/>
        <v>125.83882344960863</v>
      </c>
      <c r="X17" s="623">
        <f t="shared" si="5"/>
        <v>393.01092611074188</v>
      </c>
      <c r="Y17" s="623">
        <f t="shared" si="6"/>
        <v>11.293417416975341</v>
      </c>
      <c r="Z17" s="623"/>
      <c r="AA17" s="623"/>
      <c r="AB17" s="623">
        <f t="shared" si="7"/>
        <v>5505.8506246865709</v>
      </c>
      <c r="AC17" s="624">
        <f t="shared" si="8"/>
        <v>663.4996795988925</v>
      </c>
      <c r="AD17" s="624">
        <f t="shared" si="9"/>
        <v>3989.0648111914406</v>
      </c>
      <c r="AE17" s="624">
        <f t="shared" si="10"/>
        <v>805.79109186067103</v>
      </c>
      <c r="AF17" s="624">
        <f t="shared" si="11"/>
        <v>2620.4981508382029</v>
      </c>
      <c r="AG17" s="525">
        <f t="shared" si="12"/>
        <v>660.53885182477825</v>
      </c>
      <c r="AH17" s="1031">
        <f t="shared" si="13"/>
        <v>81.498784522965735</v>
      </c>
      <c r="AI17" s="1031">
        <f t="shared" si="14"/>
        <v>68.043159438508269</v>
      </c>
      <c r="AJ17" s="1032">
        <f t="shared" si="15"/>
        <v>9.0365501321486814</v>
      </c>
      <c r="AK17" s="1031">
        <v>8.8800000000000008</v>
      </c>
      <c r="AL17" s="1030">
        <f t="shared" si="16"/>
        <v>3390.4300000000003</v>
      </c>
      <c r="AM17" s="403"/>
      <c r="AN17" s="403"/>
      <c r="AO17" s="403"/>
    </row>
    <row r="18" spans="1:41" s="226" customFormat="1" x14ac:dyDescent="0.25">
      <c r="A18" s="36">
        <v>10</v>
      </c>
      <c r="B18" s="575"/>
      <c r="C18" s="423" t="s">
        <v>219</v>
      </c>
      <c r="D18" s="681">
        <v>1977</v>
      </c>
      <c r="E18" s="681">
        <v>5</v>
      </c>
      <c r="F18" s="681">
        <v>90</v>
      </c>
      <c r="G18" s="682">
        <v>231</v>
      </c>
      <c r="H18" s="677">
        <v>4846.6000000000004</v>
      </c>
      <c r="I18" s="677">
        <v>585</v>
      </c>
      <c r="J18" s="678">
        <v>11349.88</v>
      </c>
      <c r="K18" s="678">
        <v>10241.17</v>
      </c>
      <c r="L18" s="626">
        <v>257936.22</v>
      </c>
      <c r="M18" s="626">
        <v>257628.74</v>
      </c>
      <c r="N18" s="620">
        <f t="shared" si="0"/>
        <v>269286.09999999998</v>
      </c>
      <c r="O18" s="620">
        <f t="shared" si="0"/>
        <v>267869.90999999997</v>
      </c>
      <c r="P18" s="524">
        <f t="shared" si="1"/>
        <v>235803.65085385554</v>
      </c>
      <c r="Q18" s="591">
        <v>11144.72</v>
      </c>
      <c r="R18" s="623">
        <f t="shared" si="2"/>
        <v>896.5085403492518</v>
      </c>
      <c r="S18" s="623"/>
      <c r="T18" s="623"/>
      <c r="U18" s="623">
        <v>2828.28</v>
      </c>
      <c r="V18" s="623">
        <f t="shared" si="3"/>
        <v>2470.6183904462746</v>
      </c>
      <c r="W18" s="623">
        <f t="shared" si="4"/>
        <v>1948.531762718445</v>
      </c>
      <c r="X18" s="623">
        <f t="shared" si="5"/>
        <v>6085.5167875026254</v>
      </c>
      <c r="Y18" s="623">
        <f t="shared" si="6"/>
        <v>174.87117205467314</v>
      </c>
      <c r="Z18" s="623"/>
      <c r="AA18" s="623"/>
      <c r="AB18" s="623">
        <f t="shared" si="7"/>
        <v>85158.845399733793</v>
      </c>
      <c r="AC18" s="624">
        <f t="shared" si="8"/>
        <v>10273.857978095823</v>
      </c>
      <c r="AD18" s="624">
        <f t="shared" si="9"/>
        <v>61768.055955017371</v>
      </c>
      <c r="AE18" s="624">
        <f t="shared" si="10"/>
        <v>12477.14730291351</v>
      </c>
      <c r="AF18" s="624">
        <f t="shared" si="11"/>
        <v>40576.697565023751</v>
      </c>
      <c r="AG18" s="525">
        <f t="shared" si="12"/>
        <v>33482.449146144441</v>
      </c>
      <c r="AH18" s="1031">
        <f t="shared" si="13"/>
        <v>99.880792236158229</v>
      </c>
      <c r="AI18" s="1031">
        <f t="shared" si="14"/>
        <v>90.231526676934038</v>
      </c>
      <c r="AJ18" s="1032">
        <f t="shared" si="15"/>
        <v>8.108902834078032</v>
      </c>
      <c r="AK18" s="893">
        <v>8.8699999999999992</v>
      </c>
      <c r="AL18" s="1030">
        <f t="shared" si="16"/>
        <v>1416.1900000000023</v>
      </c>
      <c r="AM18" s="403"/>
      <c r="AN18" s="403"/>
      <c r="AO18" s="403"/>
    </row>
    <row r="19" spans="1:41" s="124" customFormat="1" x14ac:dyDescent="0.25">
      <c r="A19" s="13">
        <v>11</v>
      </c>
      <c r="B19" s="573"/>
      <c r="C19" s="422" t="s">
        <v>220</v>
      </c>
      <c r="D19" s="675">
        <v>1983</v>
      </c>
      <c r="E19" s="675">
        <v>4</v>
      </c>
      <c r="F19" s="675">
        <v>48</v>
      </c>
      <c r="G19" s="679">
        <v>143</v>
      </c>
      <c r="H19" s="677">
        <v>2619.02</v>
      </c>
      <c r="I19" s="677">
        <v>317.89999999999998</v>
      </c>
      <c r="J19" s="678">
        <v>6687.21</v>
      </c>
      <c r="K19" s="678">
        <v>6026.36</v>
      </c>
      <c r="L19" s="620">
        <v>140642.16</v>
      </c>
      <c r="M19" s="620">
        <v>135766.56</v>
      </c>
      <c r="N19" s="620">
        <f t="shared" si="0"/>
        <v>147329.37</v>
      </c>
      <c r="O19" s="620">
        <f t="shared" si="0"/>
        <v>141792.91999999998</v>
      </c>
      <c r="P19" s="524">
        <f t="shared" si="1"/>
        <v>123919.62798469017</v>
      </c>
      <c r="Q19" s="622">
        <v>802.57</v>
      </c>
      <c r="R19" s="623">
        <f t="shared" si="2"/>
        <v>484.45792872229958</v>
      </c>
      <c r="S19" s="623"/>
      <c r="T19" s="623"/>
      <c r="U19" s="623">
        <v>2828.28</v>
      </c>
      <c r="V19" s="623">
        <f t="shared" si="3"/>
        <v>1335.0800513652048</v>
      </c>
      <c r="W19" s="623">
        <f t="shared" si="4"/>
        <v>1052.9533399073291</v>
      </c>
      <c r="X19" s="623">
        <f t="shared" si="5"/>
        <v>3288.5095070369175</v>
      </c>
      <c r="Y19" s="623">
        <f t="shared" si="6"/>
        <v>94.497399627497629</v>
      </c>
      <c r="Z19" s="623"/>
      <c r="AA19" s="623"/>
      <c r="AB19" s="623">
        <f t="shared" si="7"/>
        <v>46433.664725817202</v>
      </c>
      <c r="AC19" s="624">
        <f t="shared" si="8"/>
        <v>5551.8176704891093</v>
      </c>
      <c r="AD19" s="624">
        <f t="shared" si="9"/>
        <v>33378.404223024299</v>
      </c>
      <c r="AE19" s="624">
        <f t="shared" si="10"/>
        <v>6742.4376530509089</v>
      </c>
      <c r="AF19" s="624">
        <f t="shared" si="11"/>
        <v>21926.955485649425</v>
      </c>
      <c r="AG19" s="525">
        <f t="shared" si="12"/>
        <v>23409.742015309821</v>
      </c>
      <c r="AH19" s="1031">
        <f t="shared" si="13"/>
        <v>96.533329692888671</v>
      </c>
      <c r="AI19" s="1031">
        <f t="shared" si="14"/>
        <v>90.117702300361429</v>
      </c>
      <c r="AJ19" s="1032">
        <f t="shared" si="15"/>
        <v>7.8858776682811493</v>
      </c>
      <c r="AK19" s="1031">
        <v>8.9499999999999993</v>
      </c>
      <c r="AL19" s="1030">
        <f t="shared" si="16"/>
        <v>5536.4500000000116</v>
      </c>
      <c r="AM19" s="403"/>
      <c r="AN19" s="403"/>
      <c r="AO19" s="403"/>
    </row>
    <row r="20" spans="1:41" s="124" customFormat="1" x14ac:dyDescent="0.25">
      <c r="A20" s="13">
        <v>12</v>
      </c>
      <c r="B20" s="573"/>
      <c r="C20" s="422" t="s">
        <v>221</v>
      </c>
      <c r="D20" s="675">
        <v>1983</v>
      </c>
      <c r="E20" s="675">
        <v>4</v>
      </c>
      <c r="F20" s="675">
        <v>48</v>
      </c>
      <c r="G20" s="680">
        <v>137</v>
      </c>
      <c r="H20" s="677">
        <v>2614.1999999999998</v>
      </c>
      <c r="I20" s="677">
        <v>317.89999999999998</v>
      </c>
      <c r="J20" s="678">
        <v>5928.21</v>
      </c>
      <c r="K20" s="678">
        <v>5474.09</v>
      </c>
      <c r="L20" s="620">
        <v>140172.06</v>
      </c>
      <c r="M20" s="620">
        <v>142844.81</v>
      </c>
      <c r="N20" s="620">
        <f t="shared" si="0"/>
        <v>146100.26999999999</v>
      </c>
      <c r="O20" s="620">
        <f t="shared" si="0"/>
        <v>148318.9</v>
      </c>
      <c r="P20" s="524">
        <f t="shared" si="1"/>
        <v>123503.67058016719</v>
      </c>
      <c r="Q20" s="622">
        <v>770.98</v>
      </c>
      <c r="R20" s="623">
        <f t="shared" si="2"/>
        <v>483.56634056472865</v>
      </c>
      <c r="S20" s="623"/>
      <c r="T20" s="623"/>
      <c r="U20" s="623">
        <v>2735.04</v>
      </c>
      <c r="V20" s="623">
        <f t="shared" si="3"/>
        <v>1332.6229926762369</v>
      </c>
      <c r="W20" s="623">
        <f t="shared" si="4"/>
        <v>1051.015502434399</v>
      </c>
      <c r="X20" s="623">
        <f t="shared" si="5"/>
        <v>3282.4573899000043</v>
      </c>
      <c r="Y20" s="623">
        <f t="shared" si="6"/>
        <v>94.323488215517358</v>
      </c>
      <c r="Z20" s="623"/>
      <c r="AA20" s="623"/>
      <c r="AB20" s="623">
        <f t="shared" si="7"/>
        <v>46278.459019451431</v>
      </c>
      <c r="AC20" s="624">
        <f t="shared" si="8"/>
        <v>5541.6001993847431</v>
      </c>
      <c r="AD20" s="624">
        <f t="shared" si="9"/>
        <v>33316.975173855157</v>
      </c>
      <c r="AE20" s="624">
        <f t="shared" si="10"/>
        <v>6730.0289851187417</v>
      </c>
      <c r="AF20" s="624">
        <f t="shared" si="11"/>
        <v>21886.601488566226</v>
      </c>
      <c r="AG20" s="525">
        <f t="shared" si="12"/>
        <v>22596.599419832797</v>
      </c>
      <c r="AH20" s="1031">
        <f t="shared" si="13"/>
        <v>101.90676373023268</v>
      </c>
      <c r="AI20" s="1031">
        <f t="shared" si="14"/>
        <v>92.339677575524476</v>
      </c>
      <c r="AJ20" s="1032">
        <f t="shared" si="15"/>
        <v>7.8738983615234233</v>
      </c>
      <c r="AK20" s="1031">
        <v>8.94</v>
      </c>
      <c r="AL20" s="1030">
        <f t="shared" si="16"/>
        <v>-2218.6300000000047</v>
      </c>
      <c r="AM20" s="403"/>
      <c r="AN20" s="403"/>
      <c r="AO20" s="403"/>
    </row>
    <row r="21" spans="1:41" s="124" customFormat="1" x14ac:dyDescent="0.25">
      <c r="A21" s="13">
        <v>13</v>
      </c>
      <c r="B21" s="573"/>
      <c r="C21" s="424" t="s">
        <v>222</v>
      </c>
      <c r="D21" s="675">
        <v>1975</v>
      </c>
      <c r="E21" s="675">
        <v>2</v>
      </c>
      <c r="F21" s="675">
        <v>12</v>
      </c>
      <c r="G21" s="679">
        <v>30</v>
      </c>
      <c r="H21" s="677">
        <v>503.62</v>
      </c>
      <c r="I21" s="677">
        <v>58.2</v>
      </c>
      <c r="J21" s="678">
        <v>1512.03</v>
      </c>
      <c r="K21" s="678">
        <v>968.98</v>
      </c>
      <c r="L21" s="620">
        <v>27044.46</v>
      </c>
      <c r="M21" s="620">
        <v>21431.93</v>
      </c>
      <c r="N21" s="620">
        <f t="shared" si="0"/>
        <v>28556.489999999998</v>
      </c>
      <c r="O21" s="620">
        <f t="shared" si="0"/>
        <v>22400.91</v>
      </c>
      <c r="P21" s="524">
        <f t="shared" si="1"/>
        <v>27449.818027300942</v>
      </c>
      <c r="Q21" s="622">
        <v>1198.17</v>
      </c>
      <c r="R21" s="623">
        <f t="shared" si="2"/>
        <v>93.158014090432502</v>
      </c>
      <c r="S21" s="623"/>
      <c r="T21" s="623"/>
      <c r="U21" s="623">
        <v>3120.95</v>
      </c>
      <c r="V21" s="623">
        <f t="shared" si="3"/>
        <v>256.72694957218516</v>
      </c>
      <c r="W21" s="623">
        <f t="shared" si="4"/>
        <v>202.47587305332874</v>
      </c>
      <c r="X21" s="623">
        <f t="shared" si="5"/>
        <v>632.35834699006978</v>
      </c>
      <c r="Y21" s="623">
        <f t="shared" si="6"/>
        <v>18.171216867530738</v>
      </c>
      <c r="Z21" s="623"/>
      <c r="AA21" s="623"/>
      <c r="AB21" s="623">
        <f t="shared" si="7"/>
        <v>8928.8545364403835</v>
      </c>
      <c r="AC21" s="624">
        <f t="shared" si="8"/>
        <v>1067.5773438964673</v>
      </c>
      <c r="AD21" s="624">
        <f t="shared" si="9"/>
        <v>6418.4435150550589</v>
      </c>
      <c r="AE21" s="624">
        <f t="shared" si="10"/>
        <v>1296.5255900411221</v>
      </c>
      <c r="AF21" s="624">
        <f t="shared" si="11"/>
        <v>4216.406641294363</v>
      </c>
      <c r="AG21" s="525">
        <f t="shared" si="12"/>
        <v>1106.6719726990559</v>
      </c>
      <c r="AH21" s="1031">
        <f t="shared" si="13"/>
        <v>79.247025083880402</v>
      </c>
      <c r="AI21" s="1031">
        <f t="shared" si="14"/>
        <v>64.084707314008327</v>
      </c>
      <c r="AJ21" s="1032">
        <f t="shared" si="15"/>
        <v>9.0841699519813037</v>
      </c>
      <c r="AK21" s="1031">
        <v>8.98</v>
      </c>
      <c r="AL21" s="1030">
        <f t="shared" si="16"/>
        <v>6155.5799999999981</v>
      </c>
      <c r="AM21" s="403"/>
      <c r="AN21" s="403"/>
      <c r="AO21" s="403"/>
    </row>
    <row r="22" spans="1:41" s="124" customFormat="1" x14ac:dyDescent="0.25">
      <c r="A22" s="13">
        <v>14</v>
      </c>
      <c r="B22" s="573"/>
      <c r="C22" s="424" t="s">
        <v>122</v>
      </c>
      <c r="D22" s="675">
        <v>1975</v>
      </c>
      <c r="E22" s="675">
        <v>2</v>
      </c>
      <c r="F22" s="675">
        <v>12</v>
      </c>
      <c r="G22" s="680">
        <v>31</v>
      </c>
      <c r="H22" s="677">
        <v>528.76</v>
      </c>
      <c r="I22" s="677">
        <v>52.8</v>
      </c>
      <c r="J22" s="678">
        <v>1511.91</v>
      </c>
      <c r="K22" s="678">
        <v>1387.84</v>
      </c>
      <c r="L22" s="620">
        <v>28072.560000000001</v>
      </c>
      <c r="M22" s="620">
        <v>29044.61</v>
      </c>
      <c r="N22" s="620">
        <f t="shared" si="0"/>
        <v>29584.47</v>
      </c>
      <c r="O22" s="620">
        <f t="shared" si="0"/>
        <v>30432.45</v>
      </c>
      <c r="P22" s="524">
        <f t="shared" si="1"/>
        <v>27383.996028900332</v>
      </c>
      <c r="Q22" s="622">
        <v>384.42</v>
      </c>
      <c r="R22" s="623">
        <f t="shared" si="2"/>
        <v>97.808330746310887</v>
      </c>
      <c r="S22" s="623"/>
      <c r="T22" s="623"/>
      <c r="U22" s="623">
        <v>2820.51</v>
      </c>
      <c r="V22" s="623">
        <f t="shared" si="3"/>
        <v>269.54239675904182</v>
      </c>
      <c r="W22" s="623">
        <f t="shared" si="4"/>
        <v>212.58318302624619</v>
      </c>
      <c r="X22" s="623">
        <f t="shared" si="5"/>
        <v>663.92478367513058</v>
      </c>
      <c r="Y22" s="623">
        <f t="shared" si="6"/>
        <v>19.078298381469271</v>
      </c>
      <c r="Z22" s="623"/>
      <c r="AA22" s="623"/>
      <c r="AB22" s="623">
        <f t="shared" si="7"/>
        <v>9268.2865439167526</v>
      </c>
      <c r="AC22" s="624">
        <f t="shared" si="8"/>
        <v>1120.8692989926849</v>
      </c>
      <c r="AD22" s="624">
        <f t="shared" si="9"/>
        <v>6738.8431615513937</v>
      </c>
      <c r="AE22" s="624">
        <f t="shared" si="10"/>
        <v>1361.2463186333816</v>
      </c>
      <c r="AF22" s="624">
        <f t="shared" si="11"/>
        <v>4426.8837132179169</v>
      </c>
      <c r="AG22" s="525">
        <f t="shared" si="12"/>
        <v>2200.4739710996691</v>
      </c>
      <c r="AH22" s="1031">
        <f t="shared" si="13"/>
        <v>103.46263397424389</v>
      </c>
      <c r="AI22" s="1031">
        <f t="shared" si="14"/>
        <v>91.793823706437536</v>
      </c>
      <c r="AJ22" s="1032">
        <f t="shared" si="15"/>
        <v>8.6315139915085393</v>
      </c>
      <c r="AK22" s="1031">
        <v>8.94</v>
      </c>
      <c r="AL22" s="1030">
        <f t="shared" si="16"/>
        <v>-847.97999999999956</v>
      </c>
      <c r="AM22" s="403"/>
      <c r="AN22" s="403"/>
      <c r="AO22" s="403"/>
    </row>
    <row r="23" spans="1:41" s="124" customFormat="1" x14ac:dyDescent="0.25">
      <c r="A23" s="13">
        <v>15</v>
      </c>
      <c r="B23" s="573"/>
      <c r="C23" s="424" t="s">
        <v>223</v>
      </c>
      <c r="D23" s="675">
        <v>1975</v>
      </c>
      <c r="E23" s="675">
        <v>2</v>
      </c>
      <c r="F23" s="675">
        <v>12</v>
      </c>
      <c r="G23" s="679">
        <v>23</v>
      </c>
      <c r="H23" s="677">
        <v>528.33000000000004</v>
      </c>
      <c r="I23" s="677">
        <v>52.4</v>
      </c>
      <c r="J23" s="678">
        <v>1511.94</v>
      </c>
      <c r="K23" s="678">
        <v>1196.24</v>
      </c>
      <c r="L23" s="620">
        <v>28250.58</v>
      </c>
      <c r="M23" s="620">
        <v>24678.32</v>
      </c>
      <c r="N23" s="620">
        <f t="shared" si="0"/>
        <v>29762.52</v>
      </c>
      <c r="O23" s="620">
        <f t="shared" si="0"/>
        <v>25874.560000000001</v>
      </c>
      <c r="P23" s="524">
        <f t="shared" si="1"/>
        <v>28233.994367089639</v>
      </c>
      <c r="Q23" s="622">
        <v>213.93</v>
      </c>
      <c r="R23" s="623">
        <f t="shared" si="2"/>
        <v>97.728790723954987</v>
      </c>
      <c r="S23" s="623"/>
      <c r="T23" s="623"/>
      <c r="U23" s="623">
        <v>3794.35</v>
      </c>
      <c r="V23" s="623">
        <f t="shared" si="3"/>
        <v>269.32319857724593</v>
      </c>
      <c r="W23" s="623">
        <f t="shared" si="4"/>
        <v>212.41030540936657</v>
      </c>
      <c r="X23" s="623">
        <f t="shared" si="5"/>
        <v>663.38486451146412</v>
      </c>
      <c r="Y23" s="623">
        <f t="shared" si="6"/>
        <v>19.062783462973108</v>
      </c>
      <c r="Z23" s="623"/>
      <c r="AA23" s="623"/>
      <c r="AB23" s="623">
        <f t="shared" si="7"/>
        <v>9327.0606767549434</v>
      </c>
      <c r="AC23" s="624">
        <f t="shared" si="8"/>
        <v>1119.9577818609675</v>
      </c>
      <c r="AD23" s="624">
        <f t="shared" si="9"/>
        <v>6733.3629766670092</v>
      </c>
      <c r="AE23" s="624">
        <f t="shared" si="10"/>
        <v>1360.139321286736</v>
      </c>
      <c r="AF23" s="624">
        <f t="shared" si="11"/>
        <v>4423.2836678349768</v>
      </c>
      <c r="AG23" s="525">
        <f t="shared" si="12"/>
        <v>1528.5256329103613</v>
      </c>
      <c r="AH23" s="1031">
        <f t="shared" si="13"/>
        <v>87.355091470688379</v>
      </c>
      <c r="AI23" s="1031">
        <f t="shared" si="14"/>
        <v>79.119541780758496</v>
      </c>
      <c r="AJ23" s="1032">
        <f t="shared" si="15"/>
        <v>8.9066790222934014</v>
      </c>
      <c r="AK23" s="1031">
        <v>8.94</v>
      </c>
      <c r="AL23" s="1030">
        <f t="shared" si="16"/>
        <v>3887.9599999999991</v>
      </c>
      <c r="AM23" s="403"/>
      <c r="AN23" s="403"/>
      <c r="AO23" s="403"/>
    </row>
    <row r="24" spans="1:41" s="124" customFormat="1" x14ac:dyDescent="0.25">
      <c r="A24" s="13">
        <v>16</v>
      </c>
      <c r="B24" s="573"/>
      <c r="C24" s="424" t="s">
        <v>224</v>
      </c>
      <c r="D24" s="675">
        <v>1968</v>
      </c>
      <c r="E24" s="675">
        <v>2</v>
      </c>
      <c r="F24" s="675">
        <v>16</v>
      </c>
      <c r="G24" s="680">
        <v>35</v>
      </c>
      <c r="H24" s="677">
        <v>715.87</v>
      </c>
      <c r="I24" s="677">
        <v>76</v>
      </c>
      <c r="J24" s="678">
        <v>1974.28</v>
      </c>
      <c r="K24" s="678">
        <v>1697.67</v>
      </c>
      <c r="L24" s="620">
        <v>38356.32</v>
      </c>
      <c r="M24" s="620">
        <v>35031.699999999997</v>
      </c>
      <c r="N24" s="620">
        <f t="shared" si="0"/>
        <v>40330.6</v>
      </c>
      <c r="O24" s="620">
        <f t="shared" si="0"/>
        <v>36729.369999999995</v>
      </c>
      <c r="P24" s="524">
        <f t="shared" si="1"/>
        <v>35026.309974139825</v>
      </c>
      <c r="Q24" s="622"/>
      <c r="R24" s="623">
        <f t="shared" si="2"/>
        <v>132.41933907890456</v>
      </c>
      <c r="S24" s="623"/>
      <c r="T24" s="623"/>
      <c r="U24" s="623">
        <v>2175.6</v>
      </c>
      <c r="V24" s="623">
        <f t="shared" si="3"/>
        <v>364.92419163305709</v>
      </c>
      <c r="W24" s="623">
        <f t="shared" si="4"/>
        <v>287.80906882706495</v>
      </c>
      <c r="X24" s="623">
        <f t="shared" si="5"/>
        <v>898.86495742778527</v>
      </c>
      <c r="Y24" s="623">
        <f t="shared" si="6"/>
        <v>25.829452799649001</v>
      </c>
      <c r="Z24" s="623"/>
      <c r="AA24" s="623"/>
      <c r="AB24" s="623">
        <f t="shared" si="7"/>
        <v>12663.517845546148</v>
      </c>
      <c r="AC24" s="624">
        <f t="shared" si="8"/>
        <v>1517.5064397267065</v>
      </c>
      <c r="AD24" s="624">
        <f>349779.3/27445.26*H24</f>
        <v>9123.4882632192221</v>
      </c>
      <c r="AE24" s="624">
        <f t="shared" si="10"/>
        <v>1842.944629170283</v>
      </c>
      <c r="AF24" s="624">
        <f t="shared" si="11"/>
        <v>5993.4057867110041</v>
      </c>
      <c r="AG24" s="525">
        <f t="shared" si="12"/>
        <v>5304.290025860173</v>
      </c>
      <c r="AH24" s="1031">
        <f t="shared" si="13"/>
        <v>91.332275880480708</v>
      </c>
      <c r="AI24" s="1031">
        <f t="shared" si="14"/>
        <v>85.989322689790711</v>
      </c>
      <c r="AJ24" s="1032">
        <f t="shared" si="15"/>
        <v>8.1547184950106928</v>
      </c>
      <c r="AK24" s="1031">
        <v>8.93</v>
      </c>
      <c r="AL24" s="1030">
        <f t="shared" si="16"/>
        <v>3601.2300000000032</v>
      </c>
      <c r="AM24" s="403"/>
      <c r="AN24" s="403"/>
      <c r="AO24" s="403"/>
    </row>
    <row r="25" spans="1:41" s="124" customFormat="1" x14ac:dyDescent="0.25">
      <c r="A25" s="36">
        <v>17</v>
      </c>
      <c r="B25" s="575"/>
      <c r="C25" s="425" t="s">
        <v>225</v>
      </c>
      <c r="D25" s="681">
        <v>1989</v>
      </c>
      <c r="E25" s="683">
        <v>1</v>
      </c>
      <c r="F25" s="681">
        <v>2</v>
      </c>
      <c r="G25" s="684">
        <v>5</v>
      </c>
      <c r="H25" s="685">
        <v>108</v>
      </c>
      <c r="I25" s="686"/>
      <c r="J25" s="687">
        <v>0</v>
      </c>
      <c r="K25" s="687">
        <v>0</v>
      </c>
      <c r="L25" s="621">
        <v>3265.92</v>
      </c>
      <c r="M25" s="621">
        <v>2993.52</v>
      </c>
      <c r="N25" s="621">
        <f t="shared" si="0"/>
        <v>3265.92</v>
      </c>
      <c r="O25" s="621">
        <f t="shared" si="0"/>
        <v>2993.52</v>
      </c>
      <c r="P25" s="649">
        <f t="shared" si="1"/>
        <v>4442.9320635091872</v>
      </c>
      <c r="Q25" s="649"/>
      <c r="R25" s="623">
        <f t="shared" si="2"/>
        <v>19.977493987067056</v>
      </c>
      <c r="S25" s="623"/>
      <c r="T25" s="623"/>
      <c r="U25" s="650">
        <v>1973.58</v>
      </c>
      <c r="V25" s="623">
        <f t="shared" si="3"/>
        <v>55.054427055708665</v>
      </c>
      <c r="W25" s="650">
        <f t="shared" si="4"/>
        <v>43.420424704657293</v>
      </c>
      <c r="X25" s="623">
        <f t="shared" si="5"/>
        <v>135.60760389763618</v>
      </c>
      <c r="Y25" s="650">
        <f t="shared" si="6"/>
        <v>3.896770226943568</v>
      </c>
      <c r="Z25" s="650"/>
      <c r="AA25" s="650"/>
      <c r="AB25" s="623">
        <f t="shared" si="7"/>
        <v>1078.2587120486553</v>
      </c>
      <c r="AC25" s="624">
        <f t="shared" si="8"/>
        <v>228.93918657086385</v>
      </c>
      <c r="AD25" s="651"/>
      <c r="AE25" s="651"/>
      <c r="AF25" s="624">
        <f t="shared" si="11"/>
        <v>904.19744501765467</v>
      </c>
      <c r="AG25" s="652">
        <f t="shared" si="12"/>
        <v>-1177.0120635091871</v>
      </c>
      <c r="AH25" s="1031">
        <f t="shared" si="13"/>
        <v>91.659318048206941</v>
      </c>
      <c r="AI25" s="1031">
        <v>0</v>
      </c>
      <c r="AJ25" s="1032">
        <f t="shared" si="15"/>
        <v>6.8563766412178815</v>
      </c>
      <c r="AK25" s="1035">
        <v>5.04</v>
      </c>
      <c r="AL25" s="1030">
        <f t="shared" si="16"/>
        <v>272.40000000000009</v>
      </c>
      <c r="AM25" s="403"/>
      <c r="AN25" s="403"/>
      <c r="AO25" s="403"/>
    </row>
    <row r="26" spans="1:41" s="124" customFormat="1" x14ac:dyDescent="0.25">
      <c r="A26" s="36">
        <v>18</v>
      </c>
      <c r="B26" s="580">
        <v>42648</v>
      </c>
      <c r="C26" s="425" t="s">
        <v>226</v>
      </c>
      <c r="D26" s="681">
        <v>1989</v>
      </c>
      <c r="E26" s="683">
        <v>1</v>
      </c>
      <c r="F26" s="681">
        <v>2</v>
      </c>
      <c r="G26" s="681">
        <v>6</v>
      </c>
      <c r="H26" s="685">
        <v>54</v>
      </c>
      <c r="I26" s="686"/>
      <c r="J26" s="687">
        <v>0</v>
      </c>
      <c r="K26" s="687">
        <v>0</v>
      </c>
      <c r="L26" s="621">
        <v>1632.96</v>
      </c>
      <c r="M26" s="621">
        <v>1632.96</v>
      </c>
      <c r="N26" s="621">
        <f t="shared" si="0"/>
        <v>1632.96</v>
      </c>
      <c r="O26" s="621">
        <f t="shared" si="0"/>
        <v>1632.96</v>
      </c>
      <c r="P26" s="649">
        <f t="shared" si="1"/>
        <v>3192.7160317545936</v>
      </c>
      <c r="Q26" s="649"/>
      <c r="R26" s="623">
        <f t="shared" si="2"/>
        <v>9.9887469935335282</v>
      </c>
      <c r="S26" s="623"/>
      <c r="T26" s="623"/>
      <c r="U26" s="650">
        <v>1958.04</v>
      </c>
      <c r="V26" s="623">
        <f t="shared" si="3"/>
        <v>27.527213527854332</v>
      </c>
      <c r="W26" s="650">
        <f t="shared" si="4"/>
        <v>21.710212352328647</v>
      </c>
      <c r="X26" s="623">
        <f t="shared" si="5"/>
        <v>67.803801948818091</v>
      </c>
      <c r="Y26" s="650">
        <f t="shared" si="6"/>
        <v>1.948385113471784</v>
      </c>
      <c r="Z26" s="650"/>
      <c r="AA26" s="650"/>
      <c r="AB26" s="623">
        <f t="shared" si="7"/>
        <v>539.12935602432765</v>
      </c>
      <c r="AC26" s="624">
        <f t="shared" si="8"/>
        <v>114.46959328543193</v>
      </c>
      <c r="AD26" s="651"/>
      <c r="AE26" s="651"/>
      <c r="AF26" s="624">
        <f t="shared" si="11"/>
        <v>452.09872250882734</v>
      </c>
      <c r="AG26" s="652">
        <f t="shared" si="12"/>
        <v>-1559.7560317545936</v>
      </c>
      <c r="AH26" s="1031">
        <f t="shared" si="13"/>
        <v>100</v>
      </c>
      <c r="AI26" s="1031">
        <v>0</v>
      </c>
      <c r="AJ26" s="1032">
        <f t="shared" si="15"/>
        <v>9.8540618264030666</v>
      </c>
      <c r="AK26" s="1035">
        <v>5.04</v>
      </c>
      <c r="AL26" s="1030">
        <f t="shared" si="16"/>
        <v>0</v>
      </c>
      <c r="AM26" s="403"/>
      <c r="AN26" s="403"/>
      <c r="AO26" s="403"/>
    </row>
    <row r="27" spans="1:41" s="124" customFormat="1" x14ac:dyDescent="0.25">
      <c r="A27" s="36">
        <v>19</v>
      </c>
      <c r="B27" s="580">
        <v>42648</v>
      </c>
      <c r="C27" s="425" t="s">
        <v>592</v>
      </c>
      <c r="D27" s="681">
        <v>1989</v>
      </c>
      <c r="E27" s="683">
        <v>1</v>
      </c>
      <c r="F27" s="681">
        <v>2</v>
      </c>
      <c r="G27" s="681"/>
      <c r="H27" s="685">
        <v>108</v>
      </c>
      <c r="I27" s="686"/>
      <c r="J27" s="687">
        <v>0</v>
      </c>
      <c r="K27" s="687">
        <v>0</v>
      </c>
      <c r="L27" s="621">
        <v>4828.6400000000003</v>
      </c>
      <c r="M27" s="621">
        <v>4284.32</v>
      </c>
      <c r="N27" s="621">
        <f t="shared" si="0"/>
        <v>4828.6400000000003</v>
      </c>
      <c r="O27" s="621">
        <f t="shared" si="0"/>
        <v>4284.32</v>
      </c>
      <c r="P27" s="649">
        <f t="shared" si="1"/>
        <v>5813.5713561105604</v>
      </c>
      <c r="Q27" s="649"/>
      <c r="R27" s="623">
        <f t="shared" si="2"/>
        <v>19.977493987067056</v>
      </c>
      <c r="S27" s="623"/>
      <c r="T27" s="623"/>
      <c r="U27" s="650">
        <v>2828.28</v>
      </c>
      <c r="V27" s="623">
        <f t="shared" si="3"/>
        <v>55.054427055708665</v>
      </c>
      <c r="W27" s="650">
        <f t="shared" si="4"/>
        <v>43.420424704657293</v>
      </c>
      <c r="X27" s="623">
        <f t="shared" si="5"/>
        <v>135.60760389763618</v>
      </c>
      <c r="Y27" s="650">
        <f t="shared" si="6"/>
        <v>3.896770226943568</v>
      </c>
      <c r="Z27" s="650"/>
      <c r="AA27" s="650"/>
      <c r="AB27" s="623">
        <f t="shared" si="7"/>
        <v>1594.198004650028</v>
      </c>
      <c r="AC27" s="624">
        <f t="shared" si="8"/>
        <v>228.93918657086385</v>
      </c>
      <c r="AD27" s="651"/>
      <c r="AE27" s="651"/>
      <c r="AF27" s="624">
        <f t="shared" si="11"/>
        <v>904.19744501765467</v>
      </c>
      <c r="AG27" s="652">
        <f t="shared" si="12"/>
        <v>-984.93135611056005</v>
      </c>
      <c r="AH27" s="1031">
        <f t="shared" si="13"/>
        <v>88.72726067795486</v>
      </c>
      <c r="AI27" s="1031">
        <v>0</v>
      </c>
      <c r="AJ27" s="1032">
        <f t="shared" si="15"/>
        <v>8.9715607347385191</v>
      </c>
      <c r="AK27" s="1035">
        <v>5.04</v>
      </c>
      <c r="AL27" s="1030">
        <f t="shared" si="16"/>
        <v>544.32000000000062</v>
      </c>
      <c r="AM27" s="403"/>
      <c r="AN27" s="403"/>
      <c r="AO27" s="403"/>
    </row>
    <row r="28" spans="1:41" s="124" customFormat="1" x14ac:dyDescent="0.25">
      <c r="A28" s="13">
        <v>20</v>
      </c>
      <c r="B28" s="573"/>
      <c r="C28" s="425" t="s">
        <v>227</v>
      </c>
      <c r="D28" s="681">
        <v>2010</v>
      </c>
      <c r="E28" s="681">
        <v>2</v>
      </c>
      <c r="F28" s="681">
        <v>10</v>
      </c>
      <c r="G28" s="681">
        <v>30</v>
      </c>
      <c r="H28" s="676">
        <v>637.20000000000005</v>
      </c>
      <c r="I28" s="676"/>
      <c r="J28" s="591">
        <v>2069.91</v>
      </c>
      <c r="K28" s="591">
        <v>2069.91</v>
      </c>
      <c r="L28" s="628">
        <v>33376.68</v>
      </c>
      <c r="M28" s="628">
        <v>32712.63</v>
      </c>
      <c r="N28" s="620">
        <f t="shared" si="0"/>
        <v>35446.589999999997</v>
      </c>
      <c r="O28" s="620">
        <f t="shared" si="0"/>
        <v>34782.54</v>
      </c>
      <c r="P28" s="524">
        <f t="shared" si="1"/>
        <v>28988.202185308382</v>
      </c>
      <c r="Q28" s="591"/>
      <c r="R28" s="623">
        <f t="shared" si="2"/>
        <v>117.86721452369564</v>
      </c>
      <c r="S28" s="623"/>
      <c r="T28" s="623"/>
      <c r="U28" s="623"/>
      <c r="V28" s="623">
        <f t="shared" si="3"/>
        <v>324.82111962868117</v>
      </c>
      <c r="W28" s="623">
        <f t="shared" si="4"/>
        <v>256.18050575747804</v>
      </c>
      <c r="X28" s="623">
        <f t="shared" si="5"/>
        <v>800.08486299605352</v>
      </c>
      <c r="Y28" s="623">
        <f t="shared" si="6"/>
        <v>22.990944338967054</v>
      </c>
      <c r="Z28" s="623"/>
      <c r="AA28" s="623"/>
      <c r="AB28" s="623">
        <f t="shared" si="7"/>
        <v>11019.466487011352</v>
      </c>
      <c r="AC28" s="624">
        <f t="shared" si="8"/>
        <v>1350.7412007680969</v>
      </c>
      <c r="AD28" s="624">
        <f>349779.3/27445.26*H28</f>
        <v>8120.8693216970805</v>
      </c>
      <c r="AE28" s="624">
        <f t="shared" ref="AE28:AE32" si="17">AD28*0.202</f>
        <v>1640.4156029828105</v>
      </c>
      <c r="AF28" s="624">
        <f t="shared" si="11"/>
        <v>5334.7649256041632</v>
      </c>
      <c r="AG28" s="525">
        <f t="shared" si="12"/>
        <v>6458.387814691614</v>
      </c>
      <c r="AH28" s="1031">
        <f t="shared" si="13"/>
        <v>98.010437227429449</v>
      </c>
      <c r="AI28" s="1031">
        <f t="shared" si="14"/>
        <v>100</v>
      </c>
      <c r="AJ28" s="1032">
        <f t="shared" si="15"/>
        <v>7.582183036542264</v>
      </c>
      <c r="AK28" s="1031">
        <v>8.73</v>
      </c>
      <c r="AL28" s="1030">
        <f t="shared" si="16"/>
        <v>664.04999999999563</v>
      </c>
      <c r="AM28" s="403"/>
      <c r="AN28" s="403"/>
      <c r="AO28" s="403"/>
    </row>
    <row r="29" spans="1:41" s="124" customFormat="1" x14ac:dyDescent="0.25">
      <c r="A29" s="13">
        <v>21</v>
      </c>
      <c r="B29" s="573"/>
      <c r="C29" s="425" t="s">
        <v>329</v>
      </c>
      <c r="D29" s="681">
        <v>2012</v>
      </c>
      <c r="E29" s="681">
        <v>2</v>
      </c>
      <c r="F29" s="681"/>
      <c r="G29" s="681"/>
      <c r="H29" s="676">
        <v>1179.9000000000001</v>
      </c>
      <c r="I29" s="676"/>
      <c r="J29" s="591">
        <v>1022.69</v>
      </c>
      <c r="K29" s="591">
        <v>680.65</v>
      </c>
      <c r="L29" s="628">
        <v>61803.23</v>
      </c>
      <c r="M29" s="628">
        <v>49337.35</v>
      </c>
      <c r="N29" s="620">
        <f t="shared" si="0"/>
        <v>62825.920000000006</v>
      </c>
      <c r="O29" s="620">
        <f t="shared" si="0"/>
        <v>50018</v>
      </c>
      <c r="P29" s="524">
        <f t="shared" si="1"/>
        <v>55424.731005632333</v>
      </c>
      <c r="Q29" s="591">
        <v>1747.49</v>
      </c>
      <c r="R29" s="623">
        <f t="shared" si="2"/>
        <v>218.25412180870759</v>
      </c>
      <c r="S29" s="623"/>
      <c r="T29" s="623"/>
      <c r="U29" s="623"/>
      <c r="V29" s="623">
        <f t="shared" si="3"/>
        <v>601.46961558361727</v>
      </c>
      <c r="W29" s="623">
        <f t="shared" si="4"/>
        <v>474.36813989838095</v>
      </c>
      <c r="X29" s="623">
        <f t="shared" si="5"/>
        <v>1481.5130725816753</v>
      </c>
      <c r="Y29" s="623">
        <f t="shared" si="6"/>
        <v>42.572214729358485</v>
      </c>
      <c r="Z29" s="623"/>
      <c r="AA29" s="623"/>
      <c r="AB29" s="623">
        <f t="shared" si="7"/>
        <v>20404.624479548431</v>
      </c>
      <c r="AC29" s="624">
        <f t="shared" si="8"/>
        <v>2501.1606132866877</v>
      </c>
      <c r="AD29" s="624">
        <f t="shared" ref="AD29:AD32" si="18">349779.3/27445.26*H29</f>
        <v>15037.372430430611</v>
      </c>
      <c r="AE29" s="624">
        <f t="shared" si="17"/>
        <v>3037.5492309469837</v>
      </c>
      <c r="AF29" s="624">
        <f t="shared" si="11"/>
        <v>9878.3570868178776</v>
      </c>
      <c r="AG29" s="525">
        <f t="shared" si="12"/>
        <v>7401.1889943676724</v>
      </c>
      <c r="AH29" s="1031">
        <f t="shared" si="13"/>
        <v>79.82972734596558</v>
      </c>
      <c r="AI29" s="1031">
        <f t="shared" si="14"/>
        <v>66.554869999706639</v>
      </c>
      <c r="AJ29" s="1032">
        <f t="shared" si="15"/>
        <v>7.8290153128276865</v>
      </c>
      <c r="AK29" s="1031">
        <v>8.73</v>
      </c>
      <c r="AL29" s="1030">
        <f t="shared" si="16"/>
        <v>12807.920000000006</v>
      </c>
      <c r="AM29" s="403"/>
      <c r="AN29" s="403"/>
      <c r="AO29" s="403"/>
    </row>
    <row r="30" spans="1:41" s="124" customFormat="1" x14ac:dyDescent="0.25">
      <c r="A30" s="13">
        <v>22</v>
      </c>
      <c r="B30" s="576"/>
      <c r="C30" s="426" t="s">
        <v>330</v>
      </c>
      <c r="D30" s="688">
        <v>2012</v>
      </c>
      <c r="E30" s="688">
        <v>3</v>
      </c>
      <c r="F30" s="688">
        <v>28</v>
      </c>
      <c r="G30" s="688"/>
      <c r="H30" s="689">
        <v>1588.6</v>
      </c>
      <c r="I30" s="689"/>
      <c r="J30" s="632">
        <v>2750.6</v>
      </c>
      <c r="K30" s="632">
        <v>2278.0300000000002</v>
      </c>
      <c r="L30" s="630">
        <v>60368.7</v>
      </c>
      <c r="M30" s="630">
        <v>57494.45</v>
      </c>
      <c r="N30" s="620">
        <f t="shared" si="0"/>
        <v>63119.299999999996</v>
      </c>
      <c r="O30" s="620">
        <f t="shared" si="0"/>
        <v>59772.479999999996</v>
      </c>
      <c r="P30" s="524">
        <f t="shared" si="1"/>
        <v>64892.959060013076</v>
      </c>
      <c r="Q30" s="632">
        <v>164.19</v>
      </c>
      <c r="R30" s="623">
        <f t="shared" si="2"/>
        <v>293.85413840606225</v>
      </c>
      <c r="S30" s="633"/>
      <c r="T30" s="633"/>
      <c r="U30" s="633"/>
      <c r="V30" s="623">
        <f t="shared" si="3"/>
        <v>809.80984093239613</v>
      </c>
      <c r="W30" s="623">
        <f t="shared" si="4"/>
        <v>638.68228412794974</v>
      </c>
      <c r="X30" s="623">
        <f t="shared" si="5"/>
        <v>1994.6874032572669</v>
      </c>
      <c r="Y30" s="623">
        <f t="shared" si="6"/>
        <v>57.318603541875483</v>
      </c>
      <c r="Z30" s="623"/>
      <c r="AA30" s="623"/>
      <c r="AB30" s="623">
        <f t="shared" si="7"/>
        <v>19931.007713003273</v>
      </c>
      <c r="AC30" s="624">
        <f t="shared" si="8"/>
        <v>3367.5258498747621</v>
      </c>
      <c r="AD30" s="624">
        <f t="shared" si="18"/>
        <v>20246.096993797833</v>
      </c>
      <c r="AE30" s="624">
        <f t="shared" si="17"/>
        <v>4089.7115927471627</v>
      </c>
      <c r="AF30" s="624">
        <f t="shared" si="11"/>
        <v>13300.074640324501</v>
      </c>
      <c r="AG30" s="525">
        <f t="shared" si="12"/>
        <v>-1773.6590600130803</v>
      </c>
      <c r="AH30" s="1031">
        <f t="shared" si="13"/>
        <v>95.238840657493043</v>
      </c>
      <c r="AI30" s="1031">
        <f t="shared" si="14"/>
        <v>82.819384861484778</v>
      </c>
      <c r="AJ30" s="1032">
        <f t="shared" si="15"/>
        <v>6.8081916005721048</v>
      </c>
      <c r="AK30" s="1036">
        <v>6.68</v>
      </c>
      <c r="AL30" s="1030">
        <f t="shared" si="16"/>
        <v>3346.8199999999997</v>
      </c>
      <c r="AM30" s="403"/>
      <c r="AN30" s="403"/>
      <c r="AO30" s="403"/>
    </row>
    <row r="31" spans="1:41" s="124" customFormat="1" x14ac:dyDescent="0.25">
      <c r="A31" s="13">
        <v>23</v>
      </c>
      <c r="B31" s="576"/>
      <c r="C31" s="426" t="s">
        <v>474</v>
      </c>
      <c r="D31" s="681"/>
      <c r="E31" s="681">
        <v>2</v>
      </c>
      <c r="F31" s="681"/>
      <c r="G31" s="681"/>
      <c r="H31" s="676">
        <v>586.1</v>
      </c>
      <c r="I31" s="676"/>
      <c r="J31" s="591">
        <v>2177.7199999999998</v>
      </c>
      <c r="K31" s="591">
        <v>1479.27</v>
      </c>
      <c r="L31" s="628">
        <v>44155.8</v>
      </c>
      <c r="M31" s="628">
        <v>35599.85</v>
      </c>
      <c r="N31" s="620">
        <f t="shared" si="0"/>
        <v>46333.520000000004</v>
      </c>
      <c r="O31" s="620">
        <f t="shared" si="0"/>
        <v>37079.119999999995</v>
      </c>
      <c r="P31" s="524">
        <f t="shared" si="1"/>
        <v>31105.983303406509</v>
      </c>
      <c r="Q31" s="591"/>
      <c r="R31" s="623">
        <f t="shared" si="2"/>
        <v>108.41490023907409</v>
      </c>
      <c r="S31" s="623"/>
      <c r="T31" s="623"/>
      <c r="U31" s="622"/>
      <c r="V31" s="623">
        <f t="shared" si="3"/>
        <v>298.7722194199153</v>
      </c>
      <c r="W31" s="623">
        <f t="shared" si="4"/>
        <v>235.63621221666332</v>
      </c>
      <c r="X31" s="623">
        <f t="shared" si="5"/>
        <v>735.9223763370793</v>
      </c>
      <c r="Y31" s="623">
        <f t="shared" si="6"/>
        <v>21.147194722329864</v>
      </c>
      <c r="Z31" s="623"/>
      <c r="AA31" s="623"/>
      <c r="AB31" s="623">
        <f t="shared" si="7"/>
        <v>14578.243201755713</v>
      </c>
      <c r="AC31" s="624">
        <f t="shared" si="8"/>
        <v>1242.4190486035491</v>
      </c>
      <c r="AD31" s="624">
        <f t="shared" si="18"/>
        <v>7469.619443576049</v>
      </c>
      <c r="AE31" s="624">
        <f t="shared" si="17"/>
        <v>1508.8631276023621</v>
      </c>
      <c r="AF31" s="624">
        <f t="shared" si="11"/>
        <v>4906.9455789337726</v>
      </c>
      <c r="AG31" s="525">
        <f t="shared" si="12"/>
        <v>15227.536696593495</v>
      </c>
      <c r="AH31" s="1031">
        <f t="shared" si="13"/>
        <v>80.623270329152675</v>
      </c>
      <c r="AI31" s="1031">
        <f t="shared" si="14"/>
        <v>67.927465422552032</v>
      </c>
      <c r="AJ31" s="1032">
        <f t="shared" si="15"/>
        <v>8.8454709956794932</v>
      </c>
      <c r="AK31" s="1031">
        <v>13</v>
      </c>
      <c r="AL31" s="1030">
        <f t="shared" si="16"/>
        <v>9254.4000000000087</v>
      </c>
      <c r="AM31" s="403"/>
      <c r="AN31" s="403"/>
      <c r="AO31" s="403"/>
    </row>
    <row r="32" spans="1:41" s="124" customFormat="1" ht="14.25" customHeight="1" x14ac:dyDescent="0.25">
      <c r="A32" s="13">
        <v>24</v>
      </c>
      <c r="B32" s="580">
        <v>42648</v>
      </c>
      <c r="C32" s="426" t="s">
        <v>543</v>
      </c>
      <c r="D32" s="688"/>
      <c r="E32" s="688">
        <v>3</v>
      </c>
      <c r="F32" s="688"/>
      <c r="G32" s="688"/>
      <c r="H32" s="689">
        <v>1372.13</v>
      </c>
      <c r="I32" s="689"/>
      <c r="J32" s="632">
        <v>3948.64</v>
      </c>
      <c r="K32" s="632">
        <v>1939.87</v>
      </c>
      <c r="L32" s="630">
        <v>105786.26</v>
      </c>
      <c r="M32" s="630">
        <v>62028.39</v>
      </c>
      <c r="N32" s="620">
        <f t="shared" si="0"/>
        <v>109734.9</v>
      </c>
      <c r="O32" s="620">
        <f t="shared" si="0"/>
        <v>63968.26</v>
      </c>
      <c r="P32" s="524">
        <f t="shared" si="1"/>
        <v>79551.187585021777</v>
      </c>
      <c r="Q32" s="632">
        <v>5931.95</v>
      </c>
      <c r="R32" s="623">
        <f t="shared" si="2"/>
        <v>253.81221133772519</v>
      </c>
      <c r="S32" s="633"/>
      <c r="T32" s="633"/>
      <c r="U32" s="634"/>
      <c r="V32" s="623">
        <f t="shared" si="3"/>
        <v>699.46139811064393</v>
      </c>
      <c r="W32" s="623">
        <f t="shared" si="4"/>
        <v>551.6524754629761</v>
      </c>
      <c r="X32" s="623">
        <f t="shared" si="5"/>
        <v>1722.8820512598475</v>
      </c>
      <c r="Y32" s="623">
        <f t="shared" si="6"/>
        <v>49.508104921259985</v>
      </c>
      <c r="Z32" s="633"/>
      <c r="AA32" s="633"/>
      <c r="AB32" s="623">
        <f t="shared" si="7"/>
        <v>34925.826860438763</v>
      </c>
      <c r="AC32" s="624">
        <f t="shared" si="8"/>
        <v>2908.6511673099949</v>
      </c>
      <c r="AD32" s="624">
        <f t="shared" si="18"/>
        <v>17487.269966070646</v>
      </c>
      <c r="AE32" s="624">
        <f t="shared" si="17"/>
        <v>3532.4285331462706</v>
      </c>
      <c r="AF32" s="624">
        <f t="shared" si="11"/>
        <v>11487.744816963654</v>
      </c>
      <c r="AG32" s="525">
        <f t="shared" si="12"/>
        <v>30183.712414978218</v>
      </c>
      <c r="AH32" s="1031">
        <f t="shared" si="13"/>
        <v>58.635582730687332</v>
      </c>
      <c r="AI32" s="1031">
        <f t="shared" si="14"/>
        <v>49.127547712630168</v>
      </c>
      <c r="AJ32" s="1032">
        <f t="shared" si="15"/>
        <v>9.6627369594501218</v>
      </c>
      <c r="AK32" s="1036">
        <v>13</v>
      </c>
      <c r="AL32" s="1030">
        <f t="shared" si="16"/>
        <v>45766.639999999992</v>
      </c>
      <c r="AM32" s="403"/>
      <c r="AN32" s="403"/>
      <c r="AO32" s="403"/>
    </row>
    <row r="33" spans="1:41" s="124" customFormat="1" x14ac:dyDescent="0.25">
      <c r="A33" s="13"/>
      <c r="B33" s="13"/>
      <c r="C33" s="417" t="s">
        <v>296</v>
      </c>
      <c r="D33" s="690"/>
      <c r="E33" s="690"/>
      <c r="F33" s="691">
        <f>SUM(F9:F28)</f>
        <v>468</v>
      </c>
      <c r="G33" s="691">
        <f>SUM(G9:G28)</f>
        <v>1278</v>
      </c>
      <c r="H33" s="653">
        <f>SUM(H9:H32)</f>
        <v>27715.26</v>
      </c>
      <c r="I33" s="653">
        <f>SUM(I9:I32)</f>
        <v>2501.9800000000005</v>
      </c>
      <c r="J33" s="637">
        <f>SUM(J9:J32)</f>
        <v>66067.23000000001</v>
      </c>
      <c r="K33" s="637">
        <f>SUM(K9:K32)</f>
        <v>55526.27</v>
      </c>
      <c r="L33" s="653">
        <f t="shared" ref="L33:AF33" si="19">SUM(L9:L32)</f>
        <v>1494533.01</v>
      </c>
      <c r="M33" s="653">
        <f t="shared" si="19"/>
        <v>1391804.4200000002</v>
      </c>
      <c r="N33" s="653">
        <f t="shared" si="19"/>
        <v>1560600.24</v>
      </c>
      <c r="O33" s="653">
        <f t="shared" si="19"/>
        <v>1447330.6899999997</v>
      </c>
      <c r="P33" s="639">
        <f t="shared" si="19"/>
        <v>1368111.3686000002</v>
      </c>
      <c r="Q33" s="637">
        <f t="shared" si="19"/>
        <v>41653.479999999996</v>
      </c>
      <c r="R33" s="640">
        <f t="shared" si="19"/>
        <v>5126.6800000000012</v>
      </c>
      <c r="S33" s="640"/>
      <c r="T33" s="640"/>
      <c r="U33" s="640">
        <f t="shared" si="19"/>
        <v>55609.889999999992</v>
      </c>
      <c r="V33" s="641">
        <f t="shared" si="19"/>
        <v>14128.220000000003</v>
      </c>
      <c r="W33" s="641">
        <f t="shared" si="19"/>
        <v>11142.669999999998</v>
      </c>
      <c r="X33" s="637">
        <f t="shared" si="19"/>
        <v>34800</v>
      </c>
      <c r="Y33" s="641">
        <f t="shared" si="19"/>
        <v>1000</v>
      </c>
      <c r="Z33" s="641">
        <f t="shared" si="19"/>
        <v>0</v>
      </c>
      <c r="AA33" s="641"/>
      <c r="AB33" s="641">
        <f t="shared" si="19"/>
        <v>493427.0399999998</v>
      </c>
      <c r="AC33" s="641">
        <f t="shared" si="19"/>
        <v>58751.01</v>
      </c>
      <c r="AD33" s="641">
        <f t="shared" si="19"/>
        <v>349779.3</v>
      </c>
      <c r="AE33" s="641">
        <f t="shared" si="19"/>
        <v>70655.418600000019</v>
      </c>
      <c r="AF33" s="641">
        <f t="shared" si="19"/>
        <v>232037.66000000003</v>
      </c>
      <c r="AG33" s="644">
        <f>SUM(AG9:AG32)</f>
        <v>192488.87139999992</v>
      </c>
      <c r="AH33" s="639">
        <f>M33/L33*100</f>
        <v>93.126375308364729</v>
      </c>
      <c r="AI33" s="639">
        <f t="shared" si="14"/>
        <v>84.045100725427702</v>
      </c>
      <c r="AJ33" s="1275">
        <f t="shared" si="15"/>
        <v>8.227184642443671</v>
      </c>
      <c r="AK33" s="639"/>
      <c r="AL33" s="644">
        <f t="shared" si="16"/>
        <v>113269.55000000028</v>
      </c>
      <c r="AM33" s="403"/>
      <c r="AN33" s="403"/>
      <c r="AO33" s="403"/>
    </row>
    <row r="34" spans="1:41" s="124" customFormat="1" x14ac:dyDescent="0.25">
      <c r="A34" s="13"/>
      <c r="B34" s="13"/>
      <c r="C34" s="561" t="s">
        <v>605</v>
      </c>
      <c r="D34" s="690"/>
      <c r="E34" s="690"/>
      <c r="F34" s="691"/>
      <c r="G34" s="691"/>
      <c r="H34" s="692"/>
      <c r="I34" s="692"/>
      <c r="J34" s="692"/>
      <c r="K34" s="692"/>
      <c r="L34" s="163"/>
      <c r="M34" s="163"/>
      <c r="N34" s="163"/>
      <c r="O34" s="163"/>
      <c r="P34" s="418"/>
      <c r="Q34" s="419">
        <f>Q33+R33</f>
        <v>46780.159999999996</v>
      </c>
      <c r="R34" s="420"/>
      <c r="S34" s="420"/>
      <c r="T34" s="420"/>
      <c r="U34" s="420" t="s">
        <v>180</v>
      </c>
      <c r="V34" s="421" t="s">
        <v>180</v>
      </c>
      <c r="W34" s="419" t="s">
        <v>180</v>
      </c>
      <c r="X34" s="419" t="s">
        <v>180</v>
      </c>
      <c r="Y34" s="421" t="s">
        <v>180</v>
      </c>
      <c r="Z34" s="421"/>
      <c r="AA34" s="421"/>
      <c r="AB34" s="421" t="s">
        <v>180</v>
      </c>
      <c r="AC34" s="421" t="s">
        <v>180</v>
      </c>
      <c r="AD34" s="421">
        <f>AD33+AE33</f>
        <v>420434.71860000002</v>
      </c>
      <c r="AE34" s="421"/>
      <c r="AF34" s="421"/>
      <c r="AG34" s="294"/>
      <c r="AH34" s="49"/>
      <c r="AI34" s="49"/>
      <c r="AJ34" s="294"/>
      <c r="AK34" s="49"/>
      <c r="AL34" s="614"/>
      <c r="AM34" s="403"/>
      <c r="AN34" s="403"/>
      <c r="AO34" s="403"/>
    </row>
    <row r="35" spans="1:41" s="124" customFormat="1" x14ac:dyDescent="0.25">
      <c r="A35" s="13"/>
      <c r="B35" s="13"/>
      <c r="C35" s="417"/>
      <c r="D35" s="690"/>
      <c r="E35" s="690"/>
      <c r="F35" s="691"/>
      <c r="G35" s="691"/>
      <c r="H35" s="692"/>
      <c r="I35" s="692"/>
      <c r="J35" s="692"/>
      <c r="K35" s="692"/>
      <c r="L35" s="163"/>
      <c r="M35" s="163"/>
      <c r="N35" s="163">
        <f>N33-P33</f>
        <v>192488.87139999983</v>
      </c>
      <c r="O35" s="163"/>
      <c r="P35" s="418"/>
      <c r="Q35" s="419"/>
      <c r="R35" s="420"/>
      <c r="S35" s="420"/>
      <c r="T35" s="420"/>
      <c r="U35" s="420"/>
      <c r="V35" s="421"/>
      <c r="W35" s="419"/>
      <c r="X35" s="419"/>
      <c r="Y35" s="421"/>
      <c r="Z35" s="421"/>
      <c r="AA35" s="421"/>
      <c r="AB35" s="421"/>
      <c r="AC35" s="421"/>
      <c r="AD35" s="421"/>
      <c r="AE35" s="421"/>
      <c r="AF35" s="421"/>
      <c r="AG35" s="294"/>
      <c r="AH35" s="49"/>
      <c r="AI35" s="49"/>
      <c r="AJ35" s="294"/>
      <c r="AK35" s="49"/>
      <c r="AL35" s="614"/>
      <c r="AM35" s="403"/>
      <c r="AN35" s="403"/>
      <c r="AO35" s="403"/>
    </row>
    <row r="36" spans="1:41" s="124" customFormat="1" x14ac:dyDescent="0.25">
      <c r="A36" s="13"/>
      <c r="B36" s="13"/>
      <c r="C36" s="417"/>
      <c r="D36" s="690"/>
      <c r="E36" s="690"/>
      <c r="F36" s="691"/>
      <c r="G36" s="691"/>
      <c r="H36" s="692"/>
      <c r="I36" s="692"/>
      <c r="J36" s="692"/>
      <c r="K36" s="692"/>
      <c r="L36" s="163"/>
      <c r="M36" s="163"/>
      <c r="N36" s="163"/>
      <c r="O36" s="163"/>
      <c r="P36" s="418"/>
      <c r="Q36" s="419"/>
      <c r="R36" s="420"/>
      <c r="S36" s="420"/>
      <c r="T36" s="420"/>
      <c r="U36" s="420"/>
      <c r="V36" s="421"/>
      <c r="W36" s="419"/>
      <c r="X36" s="419"/>
      <c r="Y36" s="421"/>
      <c r="Z36" s="421"/>
      <c r="AA36" s="421"/>
      <c r="AB36" s="421"/>
      <c r="AC36" s="421"/>
      <c r="AD36" s="421"/>
      <c r="AE36" s="421"/>
      <c r="AF36" s="421"/>
      <c r="AG36" s="294"/>
      <c r="AH36" s="49"/>
      <c r="AI36" s="49"/>
      <c r="AJ36" s="294"/>
      <c r="AK36" s="49"/>
      <c r="AL36" s="614"/>
      <c r="AM36" s="403"/>
      <c r="AN36" s="403"/>
      <c r="AO36" s="403"/>
    </row>
    <row r="37" spans="1:41" s="124" customFormat="1" x14ac:dyDescent="0.25">
      <c r="A37" s="13"/>
      <c r="B37" s="13"/>
      <c r="C37" s="417"/>
      <c r="D37" s="690"/>
      <c r="E37" s="690"/>
      <c r="F37" s="691"/>
      <c r="G37" s="691"/>
      <c r="H37" s="692"/>
      <c r="I37" s="692"/>
      <c r="J37" s="692"/>
      <c r="K37" s="692"/>
      <c r="L37" s="163"/>
      <c r="M37" s="163"/>
      <c r="N37" s="163"/>
      <c r="O37" s="163"/>
      <c r="P37" s="418"/>
      <c r="Q37" s="419"/>
      <c r="R37" s="420"/>
      <c r="S37" s="420"/>
      <c r="T37" s="420"/>
      <c r="U37" s="420"/>
      <c r="V37" s="421"/>
      <c r="W37" s="419"/>
      <c r="X37" s="419"/>
      <c r="Y37" s="421"/>
      <c r="Z37" s="421"/>
      <c r="AA37" s="421"/>
      <c r="AB37" s="421"/>
      <c r="AC37" s="421"/>
      <c r="AD37" s="421"/>
      <c r="AE37" s="421"/>
      <c r="AF37" s="421"/>
      <c r="AG37" s="294"/>
      <c r="AH37" s="49"/>
      <c r="AI37" s="49"/>
      <c r="AJ37" s="294"/>
      <c r="AK37" s="49"/>
      <c r="AL37" s="614"/>
      <c r="AM37" s="403"/>
      <c r="AN37" s="403"/>
      <c r="AO37" s="403"/>
    </row>
    <row r="38" spans="1:41" s="124" customFormat="1" x14ac:dyDescent="0.25">
      <c r="A38" s="13"/>
      <c r="B38" s="13"/>
      <c r="C38" s="417"/>
      <c r="D38" s="690"/>
      <c r="E38" s="690"/>
      <c r="F38" s="691"/>
      <c r="G38" s="691"/>
      <c r="H38" s="692"/>
      <c r="I38" s="692"/>
      <c r="J38" s="692"/>
      <c r="K38" s="692"/>
      <c r="L38" s="163"/>
      <c r="M38" s="163"/>
      <c r="N38" s="163"/>
      <c r="O38" s="163"/>
      <c r="P38" s="418"/>
      <c r="Q38" s="419"/>
      <c r="R38" s="420"/>
      <c r="S38" s="420"/>
      <c r="T38" s="420"/>
      <c r="U38" s="420"/>
      <c r="V38" s="421"/>
      <c r="W38" s="419"/>
      <c r="X38" s="419"/>
      <c r="Y38" s="421"/>
      <c r="Z38" s="421"/>
      <c r="AA38" s="421"/>
      <c r="AB38" s="421"/>
      <c r="AC38" s="421"/>
      <c r="AD38" s="421"/>
      <c r="AE38" s="421"/>
      <c r="AF38" s="421"/>
      <c r="AG38" s="294"/>
      <c r="AH38" s="49"/>
      <c r="AI38" s="49"/>
      <c r="AJ38" s="294"/>
      <c r="AK38" s="49"/>
      <c r="AL38" s="614"/>
      <c r="AM38" s="403"/>
      <c r="AN38" s="403"/>
      <c r="AO38" s="403"/>
    </row>
    <row r="39" spans="1:41" s="124" customFormat="1" x14ac:dyDescent="0.25">
      <c r="A39" s="13"/>
      <c r="B39" s="13"/>
      <c r="C39" s="417" t="s">
        <v>642</v>
      </c>
      <c r="D39" s="690"/>
      <c r="E39" s="690"/>
      <c r="F39" s="691"/>
      <c r="G39" s="691"/>
      <c r="H39" s="692"/>
      <c r="I39" s="692"/>
      <c r="J39" s="692"/>
      <c r="K39" s="692"/>
      <c r="L39" s="163"/>
      <c r="M39" s="163"/>
      <c r="N39" s="163"/>
      <c r="O39" s="163"/>
      <c r="P39" s="418"/>
      <c r="Q39" s="419"/>
      <c r="R39" s="420"/>
      <c r="S39" s="420"/>
      <c r="T39" s="420"/>
      <c r="U39" s="420"/>
      <c r="V39" s="421"/>
      <c r="W39" s="419"/>
      <c r="X39" s="419"/>
      <c r="Y39" s="421"/>
      <c r="Z39" s="421"/>
      <c r="AA39" s="421"/>
      <c r="AB39" s="421"/>
      <c r="AC39" s="421"/>
      <c r="AD39" s="421"/>
      <c r="AE39" s="421"/>
      <c r="AF39" s="421"/>
      <c r="AG39" s="294"/>
      <c r="AH39" s="49"/>
      <c r="AI39" s="49"/>
      <c r="AJ39" s="294"/>
      <c r="AK39" s="49"/>
      <c r="AL39" s="614"/>
      <c r="AM39" s="403"/>
      <c r="AN39" s="403"/>
      <c r="AO39" s="403"/>
    </row>
    <row r="40" spans="1:41" s="124" customFormat="1" x14ac:dyDescent="0.25">
      <c r="A40" s="13"/>
      <c r="B40" s="13"/>
      <c r="C40" s="417"/>
      <c r="D40" s="690"/>
      <c r="E40" s="690"/>
      <c r="F40" s="691"/>
      <c r="G40" s="691"/>
      <c r="H40" s="692"/>
      <c r="I40" s="692"/>
      <c r="J40" s="692"/>
      <c r="K40" s="692"/>
      <c r="L40" s="163"/>
      <c r="M40" s="163"/>
      <c r="N40" s="163"/>
      <c r="O40" s="163"/>
      <c r="P40" s="418"/>
      <c r="Q40" s="419"/>
      <c r="R40" s="420"/>
      <c r="S40" s="420"/>
      <c r="T40" s="420"/>
      <c r="U40" s="420"/>
      <c r="V40" s="421"/>
      <c r="W40" s="419"/>
      <c r="X40" s="419"/>
      <c r="Y40" s="421"/>
      <c r="Z40" s="421"/>
      <c r="AA40" s="421"/>
      <c r="AB40" s="421"/>
      <c r="AC40" s="421"/>
      <c r="AD40" s="421"/>
      <c r="AE40" s="421"/>
      <c r="AF40" s="421"/>
      <c r="AG40" s="294"/>
      <c r="AH40" s="49"/>
      <c r="AI40" s="49"/>
      <c r="AJ40" s="294"/>
      <c r="AK40" s="49"/>
      <c r="AL40" s="614"/>
      <c r="AM40" s="403"/>
      <c r="AN40" s="403"/>
      <c r="AO40" s="403"/>
    </row>
    <row r="41" spans="1:41" s="124" customFormat="1" x14ac:dyDescent="0.25">
      <c r="A41" s="13"/>
      <c r="B41" s="13"/>
      <c r="C41" s="417"/>
      <c r="D41" s="690"/>
      <c r="E41" s="690"/>
      <c r="F41" s="691"/>
      <c r="G41" s="691"/>
      <c r="H41" s="692"/>
      <c r="I41" s="692"/>
      <c r="J41" s="692"/>
      <c r="K41" s="692"/>
      <c r="L41" s="163"/>
      <c r="M41" s="163"/>
      <c r="N41" s="163"/>
      <c r="O41" s="163"/>
      <c r="P41" s="418"/>
      <c r="Q41" s="419"/>
      <c r="R41" s="420"/>
      <c r="S41" s="420"/>
      <c r="T41" s="420"/>
      <c r="U41" s="420"/>
      <c r="V41" s="421"/>
      <c r="W41" s="419"/>
      <c r="X41" s="419"/>
      <c r="Y41" s="421"/>
      <c r="Z41" s="421"/>
      <c r="AA41" s="421"/>
      <c r="AB41" s="421"/>
      <c r="AC41" s="421"/>
      <c r="AD41" s="421"/>
      <c r="AE41" s="421"/>
      <c r="AF41" s="421"/>
      <c r="AG41" s="294"/>
      <c r="AH41" s="49"/>
      <c r="AI41" s="49"/>
      <c r="AJ41" s="294"/>
      <c r="AK41" s="49"/>
      <c r="AL41" s="614"/>
      <c r="AM41" s="403"/>
      <c r="AN41" s="403"/>
      <c r="AO41" s="403"/>
    </row>
    <row r="42" spans="1:41" s="124" customFormat="1" x14ac:dyDescent="0.25">
      <c r="A42" s="13"/>
      <c r="B42" s="13"/>
      <c r="C42" s="417"/>
      <c r="D42" s="690"/>
      <c r="E42" s="690"/>
      <c r="F42" s="691"/>
      <c r="G42" s="691"/>
      <c r="H42" s="692"/>
      <c r="I42" s="692"/>
      <c r="J42" s="692"/>
      <c r="K42" s="692"/>
      <c r="L42" s="163"/>
      <c r="M42" s="163"/>
      <c r="N42" s="163"/>
      <c r="O42" s="163"/>
      <c r="P42" s="418"/>
      <c r="Q42" s="419"/>
      <c r="R42" s="420"/>
      <c r="S42" s="420"/>
      <c r="T42" s="420"/>
      <c r="U42" s="420"/>
      <c r="V42" s="421"/>
      <c r="W42" s="419"/>
      <c r="X42" s="419"/>
      <c r="Y42" s="421"/>
      <c r="Z42" s="421"/>
      <c r="AA42" s="421"/>
      <c r="AB42" s="421"/>
      <c r="AC42" s="421"/>
      <c r="AD42" s="421"/>
      <c r="AE42" s="421"/>
      <c r="AF42" s="421"/>
      <c r="AG42" s="294"/>
      <c r="AH42" s="49"/>
      <c r="AI42" s="49"/>
      <c r="AJ42" s="294"/>
      <c r="AK42" s="49"/>
      <c r="AL42" s="614"/>
      <c r="AM42" s="403"/>
      <c r="AN42" s="403"/>
      <c r="AO42" s="403"/>
    </row>
    <row r="43" spans="1:41" s="124" customFormat="1" x14ac:dyDescent="0.25">
      <c r="A43" s="13"/>
      <c r="B43" s="13"/>
      <c r="C43" s="417"/>
      <c r="D43" s="690"/>
      <c r="E43" s="690"/>
      <c r="F43" s="691"/>
      <c r="G43" s="691"/>
      <c r="H43" s="692"/>
      <c r="I43" s="692"/>
      <c r="J43" s="692"/>
      <c r="K43" s="692"/>
      <c r="L43" s="163"/>
      <c r="M43" s="163"/>
      <c r="N43" s="163"/>
      <c r="O43" s="163"/>
      <c r="P43" s="418"/>
      <c r="Q43" s="419"/>
      <c r="R43" s="420"/>
      <c r="S43" s="420"/>
      <c r="T43" s="420"/>
      <c r="U43" s="420"/>
      <c r="V43" s="421"/>
      <c r="W43" s="419"/>
      <c r="X43" s="419"/>
      <c r="Y43" s="421"/>
      <c r="Z43" s="421"/>
      <c r="AA43" s="421"/>
      <c r="AB43" s="421"/>
      <c r="AC43" s="421"/>
      <c r="AD43" s="421"/>
      <c r="AE43" s="421"/>
      <c r="AF43" s="421"/>
      <c r="AG43" s="294"/>
      <c r="AH43" s="49"/>
      <c r="AI43" s="49"/>
      <c r="AJ43" s="294"/>
      <c r="AK43" s="49"/>
      <c r="AL43" s="614"/>
      <c r="AM43" s="403"/>
      <c r="AN43" s="403"/>
      <c r="AO43" s="403"/>
    </row>
    <row r="44" spans="1:41" s="124" customFormat="1" ht="15" customHeight="1" x14ac:dyDescent="0.25">
      <c r="A44" s="2017" t="s">
        <v>0</v>
      </c>
      <c r="B44" s="2020"/>
      <c r="C44" s="2017" t="s">
        <v>184</v>
      </c>
      <c r="D44" s="2163" t="s">
        <v>54</v>
      </c>
      <c r="E44" s="2163" t="s">
        <v>55</v>
      </c>
      <c r="F44" s="2163" t="s">
        <v>56</v>
      </c>
      <c r="G44" s="2163" t="s">
        <v>57</v>
      </c>
      <c r="H44" s="2163" t="s">
        <v>6</v>
      </c>
      <c r="I44" s="2228" t="s">
        <v>282</v>
      </c>
      <c r="J44" s="693"/>
      <c r="K44" s="693"/>
      <c r="L44" s="2249" t="s">
        <v>284</v>
      </c>
      <c r="M44" s="2250"/>
      <c r="N44" s="615"/>
      <c r="O44" s="615"/>
      <c r="P44" s="1987" t="s">
        <v>457</v>
      </c>
      <c r="Q44" s="2009" t="s">
        <v>370</v>
      </c>
      <c r="R44" s="1987" t="s">
        <v>333</v>
      </c>
      <c r="S44" s="1257"/>
      <c r="T44" s="1257"/>
      <c r="U44" s="2102" t="s">
        <v>606</v>
      </c>
      <c r="V44" s="2003" t="s">
        <v>475</v>
      </c>
      <c r="W44" s="2003" t="s">
        <v>10</v>
      </c>
      <c r="X44" s="2003" t="s">
        <v>476</v>
      </c>
      <c r="Y44" s="2003" t="s">
        <v>309</v>
      </c>
      <c r="Z44" s="2003" t="s">
        <v>319</v>
      </c>
      <c r="AA44" s="1268"/>
      <c r="AB44" s="2194" t="s">
        <v>461</v>
      </c>
      <c r="AC44" s="2107" t="s">
        <v>338</v>
      </c>
      <c r="AD44" s="2009" t="s">
        <v>321</v>
      </c>
      <c r="AE44" s="2005" t="s">
        <v>569</v>
      </c>
      <c r="AF44" s="1987" t="s">
        <v>369</v>
      </c>
      <c r="AG44" s="1987" t="s">
        <v>175</v>
      </c>
      <c r="AH44" s="1987" t="s">
        <v>183</v>
      </c>
      <c r="AI44" s="1230"/>
      <c r="AJ44" s="2251" t="s">
        <v>182</v>
      </c>
      <c r="AK44" s="2253" t="s">
        <v>544</v>
      </c>
      <c r="AL44" s="2257" t="s">
        <v>566</v>
      </c>
      <c r="AM44" s="403"/>
      <c r="AN44" s="403"/>
      <c r="AO44" s="403"/>
    </row>
    <row r="45" spans="1:41" s="124" customFormat="1" ht="30" customHeight="1" x14ac:dyDescent="0.25">
      <c r="A45" s="2017"/>
      <c r="B45" s="2021"/>
      <c r="C45" s="2017"/>
      <c r="D45" s="2163"/>
      <c r="E45" s="2163"/>
      <c r="F45" s="2163"/>
      <c r="G45" s="2163"/>
      <c r="H45" s="2163"/>
      <c r="I45" s="2229"/>
      <c r="J45" s="694"/>
      <c r="K45" s="694"/>
      <c r="L45" s="51" t="s">
        <v>15</v>
      </c>
      <c r="M45" s="1232" t="s">
        <v>16</v>
      </c>
      <c r="N45" s="616"/>
      <c r="O45" s="616"/>
      <c r="P45" s="1988"/>
      <c r="Q45" s="2009"/>
      <c r="R45" s="1988"/>
      <c r="S45" s="1258"/>
      <c r="T45" s="1258"/>
      <c r="U45" s="2102"/>
      <c r="V45" s="2004"/>
      <c r="W45" s="2002"/>
      <c r="X45" s="2004"/>
      <c r="Y45" s="2004"/>
      <c r="Z45" s="2004"/>
      <c r="AA45" s="1260"/>
      <c r="AB45" s="2004"/>
      <c r="AC45" s="2107"/>
      <c r="AD45" s="2009"/>
      <c r="AE45" s="2099"/>
      <c r="AF45" s="2002"/>
      <c r="AG45" s="1988"/>
      <c r="AH45" s="1988"/>
      <c r="AI45" s="1231"/>
      <c r="AJ45" s="2252"/>
      <c r="AK45" s="2254"/>
      <c r="AL45" s="2258"/>
      <c r="AM45" s="403"/>
      <c r="AN45" s="403"/>
      <c r="AO45" s="403"/>
    </row>
    <row r="46" spans="1:41" s="124" customFormat="1" x14ac:dyDescent="0.25">
      <c r="A46" s="112">
        <v>1</v>
      </c>
      <c r="B46" s="112"/>
      <c r="C46" s="422" t="s">
        <v>210</v>
      </c>
      <c r="D46" s="671">
        <v>1975</v>
      </c>
      <c r="E46" s="671">
        <v>2</v>
      </c>
      <c r="F46" s="671">
        <v>18</v>
      </c>
      <c r="G46" s="672">
        <v>60</v>
      </c>
      <c r="H46" s="673">
        <v>783.27</v>
      </c>
      <c r="I46" s="674">
        <v>85.12</v>
      </c>
      <c r="J46" s="695"/>
      <c r="K46" s="695"/>
      <c r="L46" s="620">
        <v>8822.4599999999991</v>
      </c>
      <c r="M46" s="620">
        <v>8178.93</v>
      </c>
      <c r="N46" s="621"/>
      <c r="O46" s="621"/>
      <c r="P46" s="524">
        <f t="shared" ref="P46:P66" si="20">Q46+R46+U46+V46+W46+X46+Y46+Z46+AB46+AC46+AD46+AE46+AF46</f>
        <v>0</v>
      </c>
      <c r="Q46" s="622"/>
      <c r="R46" s="623"/>
      <c r="S46" s="623"/>
      <c r="T46" s="623"/>
      <c r="U46" s="623"/>
      <c r="V46" s="623"/>
      <c r="W46" s="623"/>
      <c r="X46" s="623"/>
      <c r="Y46" s="623"/>
      <c r="Z46" s="623"/>
      <c r="AA46" s="623"/>
      <c r="AB46" s="623"/>
      <c r="AC46" s="624"/>
      <c r="AD46" s="624"/>
      <c r="AE46" s="624"/>
      <c r="AF46" s="624"/>
      <c r="AG46" s="525">
        <f>L46-P46</f>
        <v>8822.4599999999991</v>
      </c>
      <c r="AH46" s="524">
        <f>M46/L46*100</f>
        <v>92.705775940043949</v>
      </c>
      <c r="AI46" s="524"/>
      <c r="AJ46" s="525">
        <f>P46/H46/6</f>
        <v>0</v>
      </c>
      <c r="AK46" s="622">
        <v>1.88</v>
      </c>
      <c r="AL46" s="625">
        <f>L46-M46</f>
        <v>643.52999999999884</v>
      </c>
      <c r="AM46" s="403"/>
      <c r="AN46" s="403"/>
      <c r="AO46" s="403"/>
    </row>
    <row r="47" spans="1:41" s="124" customFormat="1" x14ac:dyDescent="0.25">
      <c r="A47" s="13">
        <v>2</v>
      </c>
      <c r="B47" s="13"/>
      <c r="C47" s="422" t="s">
        <v>211</v>
      </c>
      <c r="D47" s="675">
        <v>1975</v>
      </c>
      <c r="E47" s="675">
        <v>2</v>
      </c>
      <c r="F47" s="675">
        <v>18</v>
      </c>
      <c r="G47" s="672">
        <v>52</v>
      </c>
      <c r="H47" s="676">
        <v>784.97</v>
      </c>
      <c r="I47" s="677">
        <v>85.12</v>
      </c>
      <c r="J47" s="686"/>
      <c r="K47" s="686"/>
      <c r="L47" s="620">
        <v>8807.4</v>
      </c>
      <c r="M47" s="620">
        <v>8590.35</v>
      </c>
      <c r="N47" s="621"/>
      <c r="O47" s="621"/>
      <c r="P47" s="524">
        <f t="shared" si="20"/>
        <v>0</v>
      </c>
      <c r="Q47" s="622"/>
      <c r="R47" s="623"/>
      <c r="S47" s="623"/>
      <c r="T47" s="623"/>
      <c r="U47" s="623"/>
      <c r="V47" s="623"/>
      <c r="W47" s="623"/>
      <c r="X47" s="623"/>
      <c r="Y47" s="623"/>
      <c r="Z47" s="623"/>
      <c r="AA47" s="623"/>
      <c r="AB47" s="623"/>
      <c r="AC47" s="624"/>
      <c r="AD47" s="624"/>
      <c r="AE47" s="624"/>
      <c r="AF47" s="624"/>
      <c r="AG47" s="525">
        <f t="shared" ref="AG47:AG66" si="21">L47-P47</f>
        <v>8807.4</v>
      </c>
      <c r="AH47" s="524">
        <f t="shared" ref="AH47:AH67" si="22">M47/L47*100</f>
        <v>97.535595067783916</v>
      </c>
      <c r="AI47" s="524"/>
      <c r="AJ47" s="525">
        <f t="shared" ref="AJ47:AJ67" si="23">P47/H47/6</f>
        <v>0</v>
      </c>
      <c r="AK47" s="622">
        <v>1.87</v>
      </c>
      <c r="AL47" s="625">
        <f t="shared" ref="AL47:AL66" si="24">L47-M47</f>
        <v>217.04999999999927</v>
      </c>
      <c r="AM47" s="403"/>
      <c r="AN47" s="403"/>
      <c r="AO47" s="403"/>
    </row>
    <row r="48" spans="1:41" s="124" customFormat="1" x14ac:dyDescent="0.25">
      <c r="A48" s="13">
        <v>3</v>
      </c>
      <c r="B48" s="13"/>
      <c r="C48" s="422" t="s">
        <v>212</v>
      </c>
      <c r="D48" s="675">
        <v>1975</v>
      </c>
      <c r="E48" s="675">
        <v>2</v>
      </c>
      <c r="F48" s="675">
        <v>18</v>
      </c>
      <c r="G48" s="679">
        <v>58</v>
      </c>
      <c r="H48" s="677">
        <v>788.23</v>
      </c>
      <c r="I48" s="677">
        <v>86.42</v>
      </c>
      <c r="J48" s="686"/>
      <c r="K48" s="686"/>
      <c r="L48" s="620">
        <v>8844.06</v>
      </c>
      <c r="M48" s="620">
        <v>9447.24</v>
      </c>
      <c r="N48" s="621"/>
      <c r="O48" s="621"/>
      <c r="P48" s="524">
        <f t="shared" si="20"/>
        <v>0</v>
      </c>
      <c r="Q48" s="622"/>
      <c r="R48" s="623"/>
      <c r="S48" s="623"/>
      <c r="T48" s="623"/>
      <c r="U48" s="623"/>
      <c r="V48" s="623"/>
      <c r="W48" s="623"/>
      <c r="X48" s="623"/>
      <c r="Y48" s="623"/>
      <c r="Z48" s="623"/>
      <c r="AA48" s="623"/>
      <c r="AB48" s="623"/>
      <c r="AC48" s="624"/>
      <c r="AD48" s="624"/>
      <c r="AE48" s="624"/>
      <c r="AF48" s="624"/>
      <c r="AG48" s="525">
        <f t="shared" si="21"/>
        <v>8844.06</v>
      </c>
      <c r="AH48" s="524">
        <f t="shared" si="22"/>
        <v>106.82017082652087</v>
      </c>
      <c r="AI48" s="524"/>
      <c r="AJ48" s="525">
        <f t="shared" si="23"/>
        <v>0</v>
      </c>
      <c r="AK48" s="622">
        <v>1.87</v>
      </c>
      <c r="AL48" s="625">
        <f t="shared" si="24"/>
        <v>-603.18000000000029</v>
      </c>
      <c r="AM48" s="403"/>
      <c r="AN48" s="403"/>
      <c r="AO48" s="403"/>
    </row>
    <row r="49" spans="1:41" s="124" customFormat="1" x14ac:dyDescent="0.25">
      <c r="A49" s="13">
        <v>4</v>
      </c>
      <c r="B49" s="13"/>
      <c r="C49" s="422" t="s">
        <v>213</v>
      </c>
      <c r="D49" s="675">
        <v>1975</v>
      </c>
      <c r="E49" s="675">
        <v>2</v>
      </c>
      <c r="F49" s="675">
        <v>18</v>
      </c>
      <c r="G49" s="680">
        <v>42</v>
      </c>
      <c r="H49" s="677">
        <v>789.57</v>
      </c>
      <c r="I49" s="677">
        <v>86.42</v>
      </c>
      <c r="J49" s="686"/>
      <c r="K49" s="686"/>
      <c r="L49" s="620">
        <v>12080.64</v>
      </c>
      <c r="M49" s="620">
        <v>13905.9</v>
      </c>
      <c r="N49" s="621"/>
      <c r="O49" s="621"/>
      <c r="P49" s="524">
        <f t="shared" si="20"/>
        <v>0</v>
      </c>
      <c r="Q49" s="622"/>
      <c r="R49" s="623"/>
      <c r="S49" s="623"/>
      <c r="T49" s="623"/>
      <c r="U49" s="623"/>
      <c r="V49" s="623"/>
      <c r="W49" s="623"/>
      <c r="X49" s="623"/>
      <c r="Y49" s="623"/>
      <c r="Z49" s="623"/>
      <c r="AA49" s="623"/>
      <c r="AB49" s="623"/>
      <c r="AC49" s="624"/>
      <c r="AD49" s="624"/>
      <c r="AE49" s="624"/>
      <c r="AF49" s="624"/>
      <c r="AG49" s="525">
        <f t="shared" si="21"/>
        <v>12080.64</v>
      </c>
      <c r="AH49" s="524">
        <f t="shared" si="22"/>
        <v>115.10896773680865</v>
      </c>
      <c r="AI49" s="524"/>
      <c r="AJ49" s="525">
        <f t="shared" si="23"/>
        <v>0</v>
      </c>
      <c r="AK49" s="622">
        <v>2.5499999999999998</v>
      </c>
      <c r="AL49" s="625">
        <f t="shared" si="24"/>
        <v>-1825.2600000000002</v>
      </c>
      <c r="AM49" s="403"/>
      <c r="AN49" s="403"/>
      <c r="AO49" s="403"/>
    </row>
    <row r="50" spans="1:41" s="124" customFormat="1" ht="17.25" customHeight="1" x14ac:dyDescent="0.25">
      <c r="A50" s="13">
        <v>5</v>
      </c>
      <c r="B50" s="13"/>
      <c r="C50" s="422" t="s">
        <v>214</v>
      </c>
      <c r="D50" s="675">
        <v>1975</v>
      </c>
      <c r="E50" s="675">
        <v>5</v>
      </c>
      <c r="F50" s="675">
        <v>90</v>
      </c>
      <c r="G50" s="679">
        <v>268</v>
      </c>
      <c r="H50" s="677">
        <v>4496.09</v>
      </c>
      <c r="I50" s="677">
        <v>423.6</v>
      </c>
      <c r="J50" s="686"/>
      <c r="K50" s="686"/>
      <c r="L50" s="620">
        <v>65270.46</v>
      </c>
      <c r="M50" s="620">
        <v>63645.11</v>
      </c>
      <c r="N50" s="621"/>
      <c r="O50" s="621"/>
      <c r="P50" s="524">
        <f t="shared" si="20"/>
        <v>0</v>
      </c>
      <c r="Q50" s="622"/>
      <c r="R50" s="623"/>
      <c r="S50" s="623"/>
      <c r="T50" s="623"/>
      <c r="U50" s="623"/>
      <c r="V50" s="623"/>
      <c r="W50" s="623"/>
      <c r="X50" s="623"/>
      <c r="Y50" s="623"/>
      <c r="Z50" s="623"/>
      <c r="AA50" s="623"/>
      <c r="AB50" s="623"/>
      <c r="AC50" s="624"/>
      <c r="AD50" s="624"/>
      <c r="AE50" s="624"/>
      <c r="AF50" s="624"/>
      <c r="AG50" s="525">
        <f t="shared" si="21"/>
        <v>65270.46</v>
      </c>
      <c r="AH50" s="524">
        <f t="shared" si="22"/>
        <v>97.509822973516663</v>
      </c>
      <c r="AI50" s="524"/>
      <c r="AJ50" s="525">
        <f t="shared" si="23"/>
        <v>0</v>
      </c>
      <c r="AK50" s="524">
        <v>2.42</v>
      </c>
      <c r="AL50" s="625">
        <f t="shared" si="24"/>
        <v>1625.3499999999985</v>
      </c>
      <c r="AM50" s="403"/>
      <c r="AN50" s="403"/>
      <c r="AO50" s="403"/>
    </row>
    <row r="51" spans="1:41" s="124" customFormat="1" x14ac:dyDescent="0.25">
      <c r="A51" s="13">
        <v>6</v>
      </c>
      <c r="B51" s="13"/>
      <c r="C51" s="422" t="s">
        <v>215</v>
      </c>
      <c r="D51" s="675">
        <v>1963</v>
      </c>
      <c r="E51" s="675">
        <v>2</v>
      </c>
      <c r="F51" s="675">
        <v>12</v>
      </c>
      <c r="G51" s="680">
        <v>39</v>
      </c>
      <c r="H51" s="677">
        <v>515.1</v>
      </c>
      <c r="I51" s="677">
        <v>49.6</v>
      </c>
      <c r="J51" s="686"/>
      <c r="K51" s="686"/>
      <c r="L51" s="620">
        <v>5686.62</v>
      </c>
      <c r="M51" s="620">
        <v>4591.3999999999996</v>
      </c>
      <c r="N51" s="621"/>
      <c r="O51" s="621"/>
      <c r="P51" s="524">
        <f t="shared" si="20"/>
        <v>0</v>
      </c>
      <c r="Q51" s="622"/>
      <c r="R51" s="623"/>
      <c r="S51" s="623"/>
      <c r="T51" s="623"/>
      <c r="U51" s="623"/>
      <c r="V51" s="623"/>
      <c r="W51" s="623"/>
      <c r="X51" s="623"/>
      <c r="Y51" s="623"/>
      <c r="Z51" s="623"/>
      <c r="AA51" s="623"/>
      <c r="AB51" s="623"/>
      <c r="AC51" s="624"/>
      <c r="AD51" s="624"/>
      <c r="AE51" s="624"/>
      <c r="AF51" s="624"/>
      <c r="AG51" s="525">
        <f t="shared" si="21"/>
        <v>5686.62</v>
      </c>
      <c r="AH51" s="524">
        <f t="shared" si="22"/>
        <v>80.740404669205958</v>
      </c>
      <c r="AI51" s="524"/>
      <c r="AJ51" s="525">
        <f t="shared" si="23"/>
        <v>0</v>
      </c>
      <c r="AK51" s="524">
        <v>1.84</v>
      </c>
      <c r="AL51" s="625">
        <f t="shared" si="24"/>
        <v>1095.2200000000003</v>
      </c>
      <c r="AM51" s="403"/>
      <c r="AN51" s="403"/>
      <c r="AO51" s="403"/>
    </row>
    <row r="52" spans="1:41" s="124" customFormat="1" x14ac:dyDescent="0.25">
      <c r="A52" s="13">
        <v>7</v>
      </c>
      <c r="B52" s="13"/>
      <c r="C52" s="422" t="s">
        <v>216</v>
      </c>
      <c r="D52" s="675">
        <v>1963</v>
      </c>
      <c r="E52" s="675">
        <v>2</v>
      </c>
      <c r="F52" s="675">
        <v>16</v>
      </c>
      <c r="G52" s="679">
        <v>43</v>
      </c>
      <c r="H52" s="677">
        <v>624.4</v>
      </c>
      <c r="I52" s="677">
        <v>76</v>
      </c>
      <c r="J52" s="686"/>
      <c r="K52" s="686"/>
      <c r="L52" s="620">
        <v>6901.14</v>
      </c>
      <c r="M52" s="620">
        <v>7369.1</v>
      </c>
      <c r="N52" s="621"/>
      <c r="O52" s="621"/>
      <c r="P52" s="524">
        <f t="shared" si="20"/>
        <v>0</v>
      </c>
      <c r="Q52" s="622"/>
      <c r="R52" s="623"/>
      <c r="S52" s="623"/>
      <c r="T52" s="623"/>
      <c r="U52" s="623"/>
      <c r="V52" s="623"/>
      <c r="W52" s="623"/>
      <c r="X52" s="623"/>
      <c r="Y52" s="623"/>
      <c r="Z52" s="623"/>
      <c r="AA52" s="623"/>
      <c r="AB52" s="623"/>
      <c r="AC52" s="624"/>
      <c r="AD52" s="624"/>
      <c r="AE52" s="624"/>
      <c r="AF52" s="624"/>
      <c r="AG52" s="525">
        <f t="shared" si="21"/>
        <v>6901.14</v>
      </c>
      <c r="AH52" s="524">
        <f t="shared" si="22"/>
        <v>106.78090866146752</v>
      </c>
      <c r="AI52" s="524"/>
      <c r="AJ52" s="525">
        <f t="shared" si="23"/>
        <v>0</v>
      </c>
      <c r="AK52" s="524">
        <v>1.85</v>
      </c>
      <c r="AL52" s="625">
        <f t="shared" si="24"/>
        <v>-467.96000000000004</v>
      </c>
      <c r="AM52" s="403"/>
      <c r="AN52" s="403"/>
      <c r="AO52" s="403"/>
    </row>
    <row r="53" spans="1:41" s="124" customFormat="1" x14ac:dyDescent="0.25">
      <c r="A53" s="13">
        <v>8</v>
      </c>
      <c r="B53" s="13"/>
      <c r="C53" s="422" t="s">
        <v>217</v>
      </c>
      <c r="D53" s="675">
        <v>1963</v>
      </c>
      <c r="E53" s="675">
        <v>2</v>
      </c>
      <c r="F53" s="675">
        <v>16</v>
      </c>
      <c r="G53" s="680">
        <v>27</v>
      </c>
      <c r="H53" s="677">
        <v>630.29999999999995</v>
      </c>
      <c r="I53" s="677">
        <v>76</v>
      </c>
      <c r="J53" s="686"/>
      <c r="K53" s="686"/>
      <c r="L53" s="620">
        <v>6996.54</v>
      </c>
      <c r="M53" s="620">
        <v>5570.45</v>
      </c>
      <c r="N53" s="621"/>
      <c r="O53" s="621"/>
      <c r="P53" s="524">
        <f t="shared" si="20"/>
        <v>0</v>
      </c>
      <c r="Q53" s="622"/>
      <c r="R53" s="623"/>
      <c r="S53" s="623"/>
      <c r="T53" s="623"/>
      <c r="U53" s="623"/>
      <c r="V53" s="623"/>
      <c r="W53" s="623"/>
      <c r="X53" s="623"/>
      <c r="Y53" s="623"/>
      <c r="Z53" s="623"/>
      <c r="AA53" s="623"/>
      <c r="AB53" s="623"/>
      <c r="AC53" s="624"/>
      <c r="AD53" s="624"/>
      <c r="AE53" s="624"/>
      <c r="AF53" s="624"/>
      <c r="AG53" s="525">
        <f t="shared" si="21"/>
        <v>6996.54</v>
      </c>
      <c r="AH53" s="524">
        <f t="shared" si="22"/>
        <v>79.617210792763288</v>
      </c>
      <c r="AI53" s="524"/>
      <c r="AJ53" s="525">
        <f t="shared" si="23"/>
        <v>0</v>
      </c>
      <c r="AK53" s="524">
        <v>1.85</v>
      </c>
      <c r="AL53" s="625">
        <f t="shared" si="24"/>
        <v>1426.0900000000001</v>
      </c>
      <c r="AM53" s="403"/>
      <c r="AN53" s="403"/>
      <c r="AO53" s="403"/>
    </row>
    <row r="54" spans="1:41" s="124" customFormat="1" ht="14.25" customHeight="1" x14ac:dyDescent="0.25">
      <c r="A54" s="13">
        <v>9</v>
      </c>
      <c r="B54" s="13"/>
      <c r="C54" s="422" t="s">
        <v>218</v>
      </c>
      <c r="D54" s="675">
        <v>1963</v>
      </c>
      <c r="E54" s="675">
        <v>2</v>
      </c>
      <c r="F54" s="675">
        <v>8</v>
      </c>
      <c r="G54" s="679">
        <v>18</v>
      </c>
      <c r="H54" s="677">
        <v>313</v>
      </c>
      <c r="I54" s="677">
        <v>73.5</v>
      </c>
      <c r="J54" s="686"/>
      <c r="K54" s="686"/>
      <c r="L54" s="620">
        <v>3530.58</v>
      </c>
      <c r="M54" s="620">
        <v>2877.38</v>
      </c>
      <c r="N54" s="621"/>
      <c r="O54" s="621"/>
      <c r="P54" s="524">
        <f t="shared" si="20"/>
        <v>0</v>
      </c>
      <c r="Q54" s="622"/>
      <c r="R54" s="623"/>
      <c r="S54" s="623"/>
      <c r="T54" s="623"/>
      <c r="U54" s="623"/>
      <c r="V54" s="623"/>
      <c r="W54" s="623"/>
      <c r="X54" s="623"/>
      <c r="Y54" s="623"/>
      <c r="Z54" s="623"/>
      <c r="AA54" s="623"/>
      <c r="AB54" s="623"/>
      <c r="AC54" s="624"/>
      <c r="AD54" s="624"/>
      <c r="AE54" s="624"/>
      <c r="AF54" s="624"/>
      <c r="AG54" s="525">
        <f t="shared" si="21"/>
        <v>3530.58</v>
      </c>
      <c r="AH54" s="524">
        <f t="shared" si="22"/>
        <v>81.498790566989001</v>
      </c>
      <c r="AI54" s="524"/>
      <c r="AJ54" s="525">
        <f t="shared" si="23"/>
        <v>0</v>
      </c>
      <c r="AK54" s="524">
        <v>1.88</v>
      </c>
      <c r="AL54" s="625">
        <f t="shared" si="24"/>
        <v>653.19999999999982</v>
      </c>
      <c r="AM54" s="403"/>
      <c r="AN54" s="403"/>
      <c r="AO54" s="403"/>
    </row>
    <row r="55" spans="1:41" s="124" customFormat="1" ht="14.25" customHeight="1" x14ac:dyDescent="0.25">
      <c r="A55" s="36">
        <v>10</v>
      </c>
      <c r="B55" s="36"/>
      <c r="C55" s="423" t="s">
        <v>219</v>
      </c>
      <c r="D55" s="681">
        <v>1977</v>
      </c>
      <c r="E55" s="681">
        <v>5</v>
      </c>
      <c r="F55" s="681">
        <v>90</v>
      </c>
      <c r="G55" s="682">
        <v>231</v>
      </c>
      <c r="H55" s="677">
        <v>4846.6000000000004</v>
      </c>
      <c r="I55" s="677">
        <v>585</v>
      </c>
      <c r="J55" s="686"/>
      <c r="K55" s="686"/>
      <c r="L55" s="626">
        <v>67174.02</v>
      </c>
      <c r="M55" s="626">
        <v>67093.98</v>
      </c>
      <c r="N55" s="621"/>
      <c r="O55" s="621"/>
      <c r="P55" s="524">
        <f t="shared" si="20"/>
        <v>8511.0499999999993</v>
      </c>
      <c r="Q55" s="591">
        <v>8511.0499999999993</v>
      </c>
      <c r="R55" s="623"/>
      <c r="S55" s="623"/>
      <c r="T55" s="623"/>
      <c r="U55" s="623"/>
      <c r="V55" s="623"/>
      <c r="W55" s="627"/>
      <c r="X55" s="627"/>
      <c r="Y55" s="623"/>
      <c r="Z55" s="623"/>
      <c r="AA55" s="623"/>
      <c r="AB55" s="623"/>
      <c r="AC55" s="624"/>
      <c r="AD55" s="624"/>
      <c r="AE55" s="624"/>
      <c r="AF55" s="624"/>
      <c r="AG55" s="525">
        <f t="shared" si="21"/>
        <v>58662.97</v>
      </c>
      <c r="AH55" s="524">
        <f t="shared" si="22"/>
        <v>99.880846791661398</v>
      </c>
      <c r="AI55" s="524"/>
      <c r="AJ55" s="525">
        <f t="shared" si="23"/>
        <v>0.29268112353677489</v>
      </c>
      <c r="AK55" s="591">
        <v>2.31</v>
      </c>
      <c r="AL55" s="625">
        <f t="shared" si="24"/>
        <v>80.040000000008149</v>
      </c>
      <c r="AM55" s="403"/>
      <c r="AN55" s="403"/>
      <c r="AO55" s="403"/>
    </row>
    <row r="56" spans="1:41" s="124" customFormat="1" ht="14.25" customHeight="1" x14ac:dyDescent="0.25">
      <c r="A56" s="13">
        <v>11</v>
      </c>
      <c r="B56" s="13"/>
      <c r="C56" s="422" t="s">
        <v>220</v>
      </c>
      <c r="D56" s="675">
        <v>1983</v>
      </c>
      <c r="E56" s="675">
        <v>4</v>
      </c>
      <c r="F56" s="675">
        <v>48</v>
      </c>
      <c r="G56" s="679">
        <v>143</v>
      </c>
      <c r="H56" s="677">
        <v>2619.02</v>
      </c>
      <c r="I56" s="677">
        <v>317.89999999999998</v>
      </c>
      <c r="J56" s="686"/>
      <c r="K56" s="686"/>
      <c r="L56" s="620">
        <v>35042.400000000001</v>
      </c>
      <c r="M56" s="620">
        <v>33827.620000000003</v>
      </c>
      <c r="N56" s="621"/>
      <c r="O56" s="621"/>
      <c r="P56" s="524">
        <f t="shared" si="20"/>
        <v>0</v>
      </c>
      <c r="Q56" s="622"/>
      <c r="R56" s="623"/>
      <c r="S56" s="623"/>
      <c r="T56" s="623"/>
      <c r="U56" s="623"/>
      <c r="V56" s="623"/>
      <c r="W56" s="623"/>
      <c r="X56" s="623"/>
      <c r="Y56" s="623"/>
      <c r="Z56" s="623"/>
      <c r="AA56" s="623"/>
      <c r="AB56" s="623"/>
      <c r="AC56" s="624"/>
      <c r="AD56" s="624"/>
      <c r="AE56" s="624"/>
      <c r="AF56" s="624"/>
      <c r="AG56" s="525">
        <f t="shared" si="21"/>
        <v>35042.400000000001</v>
      </c>
      <c r="AH56" s="524">
        <f t="shared" si="22"/>
        <v>96.533399538844378</v>
      </c>
      <c r="AI56" s="524"/>
      <c r="AJ56" s="525">
        <f t="shared" si="23"/>
        <v>0</v>
      </c>
      <c r="AK56" s="524">
        <v>2.23</v>
      </c>
      <c r="AL56" s="625">
        <f t="shared" si="24"/>
        <v>1214.7799999999988</v>
      </c>
      <c r="AM56" s="403"/>
      <c r="AN56" s="403"/>
      <c r="AO56" s="403"/>
    </row>
    <row r="57" spans="1:41" s="124" customFormat="1" ht="14.25" customHeight="1" x14ac:dyDescent="0.25">
      <c r="A57" s="13">
        <v>12</v>
      </c>
      <c r="B57" s="13"/>
      <c r="C57" s="422" t="s">
        <v>221</v>
      </c>
      <c r="D57" s="675">
        <v>1983</v>
      </c>
      <c r="E57" s="675">
        <v>4</v>
      </c>
      <c r="F57" s="675">
        <v>48</v>
      </c>
      <c r="G57" s="680">
        <v>137</v>
      </c>
      <c r="H57" s="677">
        <v>2614.1999999999998</v>
      </c>
      <c r="I57" s="677">
        <v>317.89999999999998</v>
      </c>
      <c r="J57" s="686"/>
      <c r="K57" s="686"/>
      <c r="L57" s="620">
        <v>38100.480000000003</v>
      </c>
      <c r="M57" s="620">
        <v>38827.019999999997</v>
      </c>
      <c r="N57" s="621"/>
      <c r="O57" s="621"/>
      <c r="P57" s="524">
        <f t="shared" si="20"/>
        <v>0</v>
      </c>
      <c r="Q57" s="622"/>
      <c r="R57" s="623"/>
      <c r="S57" s="623"/>
      <c r="T57" s="623"/>
      <c r="U57" s="623"/>
      <c r="V57" s="623"/>
      <c r="W57" s="623"/>
      <c r="X57" s="623"/>
      <c r="Y57" s="623"/>
      <c r="Z57" s="623"/>
      <c r="AA57" s="623"/>
      <c r="AB57" s="623"/>
      <c r="AC57" s="624"/>
      <c r="AD57" s="624"/>
      <c r="AE57" s="624"/>
      <c r="AF57" s="624"/>
      <c r="AG57" s="525">
        <f t="shared" si="21"/>
        <v>38100.480000000003</v>
      </c>
      <c r="AH57" s="524">
        <f t="shared" si="22"/>
        <v>101.90690510985687</v>
      </c>
      <c r="AI57" s="524"/>
      <c r="AJ57" s="525">
        <f t="shared" si="23"/>
        <v>0</v>
      </c>
      <c r="AK57" s="524">
        <v>2.4300000000000002</v>
      </c>
      <c r="AL57" s="625">
        <f t="shared" si="24"/>
        <v>-726.5399999999936</v>
      </c>
      <c r="AM57" s="403"/>
      <c r="AN57" s="403"/>
      <c r="AO57" s="403"/>
    </row>
    <row r="58" spans="1:41" s="124" customFormat="1" ht="15" customHeight="1" x14ac:dyDescent="0.25">
      <c r="A58" s="13">
        <v>13</v>
      </c>
      <c r="B58" s="13"/>
      <c r="C58" s="424" t="s">
        <v>222</v>
      </c>
      <c r="D58" s="675">
        <v>1975</v>
      </c>
      <c r="E58" s="675">
        <v>2</v>
      </c>
      <c r="F58" s="675">
        <v>12</v>
      </c>
      <c r="G58" s="679">
        <v>30</v>
      </c>
      <c r="H58" s="677">
        <v>503.62</v>
      </c>
      <c r="I58" s="677">
        <v>58.2</v>
      </c>
      <c r="J58" s="686"/>
      <c r="K58" s="686"/>
      <c r="L58" s="620">
        <v>6013.32</v>
      </c>
      <c r="M58" s="620">
        <v>4765.3100000000004</v>
      </c>
      <c r="N58" s="621"/>
      <c r="O58" s="621"/>
      <c r="P58" s="524">
        <f t="shared" si="20"/>
        <v>831.15</v>
      </c>
      <c r="Q58" s="622">
        <v>831.15</v>
      </c>
      <c r="R58" s="623"/>
      <c r="S58" s="623"/>
      <c r="T58" s="623"/>
      <c r="U58" s="623"/>
      <c r="V58" s="623"/>
      <c r="W58" s="623"/>
      <c r="X58" s="623"/>
      <c r="Y58" s="623"/>
      <c r="Z58" s="623"/>
      <c r="AA58" s="623"/>
      <c r="AB58" s="623"/>
      <c r="AC58" s="624"/>
      <c r="AD58" s="624"/>
      <c r="AE58" s="624"/>
      <c r="AF58" s="624"/>
      <c r="AG58" s="525">
        <f t="shared" si="21"/>
        <v>5182.17</v>
      </c>
      <c r="AH58" s="524">
        <f t="shared" si="22"/>
        <v>79.245907418863467</v>
      </c>
      <c r="AI58" s="524"/>
      <c r="AJ58" s="525">
        <f t="shared" si="23"/>
        <v>0.27505857591040866</v>
      </c>
      <c r="AK58" s="524">
        <v>1.99</v>
      </c>
      <c r="AL58" s="625">
        <f t="shared" si="24"/>
        <v>1248.0099999999993</v>
      </c>
      <c r="AM58" s="403"/>
      <c r="AN58" s="403"/>
      <c r="AO58" s="403"/>
    </row>
    <row r="59" spans="1:41" s="124" customFormat="1" x14ac:dyDescent="0.25">
      <c r="A59" s="13">
        <v>14</v>
      </c>
      <c r="B59" s="13"/>
      <c r="C59" s="424" t="s">
        <v>122</v>
      </c>
      <c r="D59" s="675">
        <v>1975</v>
      </c>
      <c r="E59" s="675">
        <v>2</v>
      </c>
      <c r="F59" s="675">
        <v>12</v>
      </c>
      <c r="G59" s="680">
        <v>31</v>
      </c>
      <c r="H59" s="677">
        <v>528.76</v>
      </c>
      <c r="I59" s="677">
        <v>52.8</v>
      </c>
      <c r="J59" s="686"/>
      <c r="K59" s="686"/>
      <c r="L59" s="620">
        <v>6311.64</v>
      </c>
      <c r="M59" s="620">
        <v>6530.21</v>
      </c>
      <c r="N59" s="621"/>
      <c r="O59" s="621"/>
      <c r="P59" s="524">
        <f t="shared" si="20"/>
        <v>0</v>
      </c>
      <c r="Q59" s="622"/>
      <c r="R59" s="623"/>
      <c r="S59" s="623"/>
      <c r="T59" s="623"/>
      <c r="U59" s="623"/>
      <c r="V59" s="623"/>
      <c r="W59" s="623"/>
      <c r="X59" s="623"/>
      <c r="Y59" s="623"/>
      <c r="Z59" s="623"/>
      <c r="AA59" s="623"/>
      <c r="AB59" s="623"/>
      <c r="AC59" s="624"/>
      <c r="AD59" s="624"/>
      <c r="AE59" s="624"/>
      <c r="AF59" s="624"/>
      <c r="AG59" s="525">
        <f t="shared" si="21"/>
        <v>6311.64</v>
      </c>
      <c r="AH59" s="524">
        <f t="shared" si="22"/>
        <v>103.46296683587784</v>
      </c>
      <c r="AI59" s="524"/>
      <c r="AJ59" s="525">
        <f t="shared" si="23"/>
        <v>0</v>
      </c>
      <c r="AK59" s="524">
        <v>2.0099999999999998</v>
      </c>
      <c r="AL59" s="625">
        <f t="shared" si="24"/>
        <v>-218.56999999999971</v>
      </c>
      <c r="AM59" s="403"/>
      <c r="AN59" s="403"/>
      <c r="AO59" s="403"/>
    </row>
    <row r="60" spans="1:41" s="124" customFormat="1" x14ac:dyDescent="0.25">
      <c r="A60" s="13">
        <v>15</v>
      </c>
      <c r="B60" s="13"/>
      <c r="C60" s="424" t="s">
        <v>223</v>
      </c>
      <c r="D60" s="675">
        <v>1975</v>
      </c>
      <c r="E60" s="675">
        <v>2</v>
      </c>
      <c r="F60" s="675">
        <v>12</v>
      </c>
      <c r="G60" s="679">
        <v>23</v>
      </c>
      <c r="H60" s="677">
        <v>528.33000000000004</v>
      </c>
      <c r="I60" s="677">
        <v>52.4</v>
      </c>
      <c r="J60" s="686"/>
      <c r="K60" s="686"/>
      <c r="L60" s="620">
        <v>6351.72</v>
      </c>
      <c r="M60" s="620">
        <v>5548.58</v>
      </c>
      <c r="N60" s="621"/>
      <c r="O60" s="621"/>
      <c r="P60" s="524">
        <f t="shared" si="20"/>
        <v>0</v>
      </c>
      <c r="Q60" s="622"/>
      <c r="R60" s="623"/>
      <c r="S60" s="623"/>
      <c r="T60" s="623"/>
      <c r="U60" s="623"/>
      <c r="V60" s="623"/>
      <c r="W60" s="623"/>
      <c r="X60" s="623"/>
      <c r="Y60" s="623"/>
      <c r="Z60" s="623"/>
      <c r="AA60" s="623"/>
      <c r="AB60" s="623"/>
      <c r="AC60" s="624"/>
      <c r="AD60" s="624"/>
      <c r="AE60" s="624"/>
      <c r="AF60" s="624"/>
      <c r="AG60" s="525">
        <f t="shared" si="21"/>
        <v>6351.72</v>
      </c>
      <c r="AH60" s="524">
        <f t="shared" si="22"/>
        <v>87.355550937383882</v>
      </c>
      <c r="AI60" s="524"/>
      <c r="AJ60" s="525">
        <f t="shared" si="23"/>
        <v>0</v>
      </c>
      <c r="AK60" s="524">
        <v>2.0099999999999998</v>
      </c>
      <c r="AL60" s="625">
        <f t="shared" si="24"/>
        <v>803.14000000000033</v>
      </c>
      <c r="AM60" s="403"/>
      <c r="AN60" s="403"/>
      <c r="AO60" s="403"/>
    </row>
    <row r="61" spans="1:41" s="124" customFormat="1" x14ac:dyDescent="0.25">
      <c r="A61" s="13">
        <v>16</v>
      </c>
      <c r="B61" s="13"/>
      <c r="C61" s="424" t="s">
        <v>224</v>
      </c>
      <c r="D61" s="675">
        <v>1968</v>
      </c>
      <c r="E61" s="675">
        <v>2</v>
      </c>
      <c r="F61" s="675">
        <v>16</v>
      </c>
      <c r="G61" s="680">
        <v>35</v>
      </c>
      <c r="H61" s="677">
        <v>715.87</v>
      </c>
      <c r="I61" s="677">
        <v>76</v>
      </c>
      <c r="J61" s="686"/>
      <c r="K61" s="686"/>
      <c r="L61" s="620">
        <v>8719.26</v>
      </c>
      <c r="M61" s="620">
        <v>7963.5</v>
      </c>
      <c r="N61" s="621"/>
      <c r="O61" s="621"/>
      <c r="P61" s="524">
        <f t="shared" si="20"/>
        <v>0</v>
      </c>
      <c r="Q61" s="622"/>
      <c r="R61" s="623"/>
      <c r="S61" s="623"/>
      <c r="T61" s="623"/>
      <c r="U61" s="623"/>
      <c r="V61" s="623"/>
      <c r="W61" s="623"/>
      <c r="X61" s="623"/>
      <c r="Y61" s="623"/>
      <c r="Z61" s="623"/>
      <c r="AA61" s="623"/>
      <c r="AB61" s="623"/>
      <c r="AC61" s="624"/>
      <c r="AD61" s="624"/>
      <c r="AE61" s="624"/>
      <c r="AF61" s="624"/>
      <c r="AG61" s="525">
        <f t="shared" si="21"/>
        <v>8719.26</v>
      </c>
      <c r="AH61" s="524">
        <f t="shared" si="22"/>
        <v>91.33229196055629</v>
      </c>
      <c r="AI61" s="524"/>
      <c r="AJ61" s="525">
        <f t="shared" si="23"/>
        <v>0</v>
      </c>
      <c r="AK61" s="524">
        <v>2.0299999999999998</v>
      </c>
      <c r="AL61" s="625">
        <f t="shared" si="24"/>
        <v>755.76000000000022</v>
      </c>
      <c r="AM61" s="403"/>
      <c r="AN61" s="403"/>
      <c r="AO61" s="403"/>
    </row>
    <row r="62" spans="1:41" ht="16.5" customHeight="1" x14ac:dyDescent="0.25">
      <c r="A62" s="13">
        <v>17</v>
      </c>
      <c r="B62" s="13"/>
      <c r="C62" s="425" t="s">
        <v>227</v>
      </c>
      <c r="D62" s="681">
        <v>2010</v>
      </c>
      <c r="E62" s="681">
        <v>2</v>
      </c>
      <c r="F62" s="681">
        <v>10</v>
      </c>
      <c r="G62" s="681">
        <v>30</v>
      </c>
      <c r="H62" s="676">
        <v>637.20000000000005</v>
      </c>
      <c r="I62" s="676"/>
      <c r="J62" s="696"/>
      <c r="K62" s="696"/>
      <c r="L62" s="628">
        <v>1185.3599999999999</v>
      </c>
      <c r="M62" s="628">
        <v>1161.78</v>
      </c>
      <c r="N62" s="629"/>
      <c r="O62" s="629"/>
      <c r="P62" s="524">
        <f t="shared" si="20"/>
        <v>0</v>
      </c>
      <c r="Q62" s="591"/>
      <c r="R62" s="623"/>
      <c r="S62" s="623"/>
      <c r="T62" s="623"/>
      <c r="U62" s="623"/>
      <c r="V62" s="623"/>
      <c r="W62" s="591"/>
      <c r="X62" s="591"/>
      <c r="Y62" s="623"/>
      <c r="Z62" s="623"/>
      <c r="AA62" s="623"/>
      <c r="AB62" s="623"/>
      <c r="AC62" s="624"/>
      <c r="AD62" s="624"/>
      <c r="AE62" s="624"/>
      <c r="AF62" s="624"/>
      <c r="AG62" s="525">
        <f t="shared" si="21"/>
        <v>1185.3599999999999</v>
      </c>
      <c r="AH62" s="524">
        <f t="shared" si="22"/>
        <v>98.010730917189733</v>
      </c>
      <c r="AI62" s="524"/>
      <c r="AJ62" s="525">
        <f t="shared" si="23"/>
        <v>0</v>
      </c>
      <c r="AK62" s="524">
        <v>0.31</v>
      </c>
      <c r="AL62" s="625">
        <f t="shared" si="24"/>
        <v>23.579999999999927</v>
      </c>
      <c r="AM62" s="403"/>
      <c r="AN62" s="403"/>
      <c r="AO62" s="403"/>
    </row>
    <row r="63" spans="1:41" ht="14.25" customHeight="1" x14ac:dyDescent="0.25">
      <c r="A63" s="13">
        <v>18</v>
      </c>
      <c r="B63" s="13"/>
      <c r="C63" s="425" t="s">
        <v>329</v>
      </c>
      <c r="D63" s="681">
        <v>2013</v>
      </c>
      <c r="E63" s="681">
        <v>2</v>
      </c>
      <c r="F63" s="681"/>
      <c r="G63" s="681"/>
      <c r="H63" s="676">
        <v>1179.9000000000001</v>
      </c>
      <c r="I63" s="676"/>
      <c r="J63" s="696"/>
      <c r="K63" s="696"/>
      <c r="L63" s="628">
        <v>13450.86</v>
      </c>
      <c r="M63" s="628">
        <v>10737.8</v>
      </c>
      <c r="N63" s="629"/>
      <c r="O63" s="629"/>
      <c r="P63" s="524">
        <f t="shared" si="20"/>
        <v>0</v>
      </c>
      <c r="Q63" s="591"/>
      <c r="R63" s="623"/>
      <c r="S63" s="623"/>
      <c r="T63" s="623"/>
      <c r="U63" s="623"/>
      <c r="V63" s="623"/>
      <c r="W63" s="591"/>
      <c r="X63" s="591"/>
      <c r="Y63" s="623"/>
      <c r="Z63" s="623"/>
      <c r="AA63" s="623"/>
      <c r="AB63" s="623"/>
      <c r="AC63" s="624"/>
      <c r="AD63" s="624"/>
      <c r="AE63" s="624"/>
      <c r="AF63" s="624"/>
      <c r="AG63" s="525">
        <f t="shared" si="21"/>
        <v>13450.86</v>
      </c>
      <c r="AH63" s="524">
        <f t="shared" si="22"/>
        <v>79.82983987640938</v>
      </c>
      <c r="AI63" s="524"/>
      <c r="AJ63" s="525">
        <f t="shared" si="23"/>
        <v>0</v>
      </c>
      <c r="AK63" s="524">
        <v>1.9</v>
      </c>
      <c r="AL63" s="625">
        <f t="shared" si="24"/>
        <v>2713.0600000000013</v>
      </c>
      <c r="AM63" s="403"/>
      <c r="AN63" s="403"/>
      <c r="AO63" s="403"/>
    </row>
    <row r="64" spans="1:41" ht="15.75" customHeight="1" x14ac:dyDescent="0.25">
      <c r="A64" s="13">
        <v>19</v>
      </c>
      <c r="B64" s="187"/>
      <c r="C64" s="426" t="s">
        <v>330</v>
      </c>
      <c r="D64" s="688">
        <v>2013</v>
      </c>
      <c r="E64" s="688">
        <v>3</v>
      </c>
      <c r="F64" s="688">
        <v>28</v>
      </c>
      <c r="G64" s="688"/>
      <c r="H64" s="689">
        <v>1588.6</v>
      </c>
      <c r="I64" s="689"/>
      <c r="J64" s="697"/>
      <c r="K64" s="697"/>
      <c r="L64" s="630">
        <v>18074.400000000001</v>
      </c>
      <c r="M64" s="630">
        <v>17253.849999999999</v>
      </c>
      <c r="N64" s="631"/>
      <c r="O64" s="631"/>
      <c r="P64" s="524">
        <f t="shared" si="20"/>
        <v>6000</v>
      </c>
      <c r="Q64" s="632"/>
      <c r="R64" s="623"/>
      <c r="S64" s="633"/>
      <c r="T64" s="633"/>
      <c r="U64" s="633">
        <v>6000</v>
      </c>
      <c r="V64" s="623"/>
      <c r="W64" s="632"/>
      <c r="X64" s="632"/>
      <c r="Y64" s="623"/>
      <c r="Z64" s="623"/>
      <c r="AA64" s="623"/>
      <c r="AB64" s="623"/>
      <c r="AC64" s="624"/>
      <c r="AD64" s="624"/>
      <c r="AE64" s="624"/>
      <c r="AF64" s="624"/>
      <c r="AG64" s="525">
        <f t="shared" si="21"/>
        <v>12074.400000000001</v>
      </c>
      <c r="AH64" s="524">
        <f t="shared" si="22"/>
        <v>95.460153587394316</v>
      </c>
      <c r="AI64" s="524"/>
      <c r="AJ64" s="525">
        <f t="shared" si="23"/>
        <v>0.62948508120357549</v>
      </c>
      <c r="AK64" s="528">
        <v>2</v>
      </c>
      <c r="AL64" s="625">
        <f t="shared" si="24"/>
        <v>820.55000000000291</v>
      </c>
      <c r="AM64" s="403"/>
      <c r="AN64" s="403"/>
      <c r="AO64" s="403"/>
    </row>
    <row r="65" spans="1:41" s="124" customFormat="1" x14ac:dyDescent="0.25">
      <c r="A65" s="13">
        <v>20</v>
      </c>
      <c r="B65" s="187"/>
      <c r="C65" s="426" t="s">
        <v>474</v>
      </c>
      <c r="D65" s="681"/>
      <c r="E65" s="681"/>
      <c r="F65" s="681"/>
      <c r="G65" s="681"/>
      <c r="H65" s="696">
        <v>586.1</v>
      </c>
      <c r="I65" s="676"/>
      <c r="J65" s="696"/>
      <c r="K65" s="696"/>
      <c r="L65" s="628">
        <v>6793.2</v>
      </c>
      <c r="M65" s="628">
        <v>5476.9</v>
      </c>
      <c r="N65" s="629"/>
      <c r="O65" s="629"/>
      <c r="P65" s="524">
        <f t="shared" si="20"/>
        <v>0</v>
      </c>
      <c r="Q65" s="591"/>
      <c r="R65" s="623"/>
      <c r="S65" s="623"/>
      <c r="T65" s="623"/>
      <c r="U65" s="622"/>
      <c r="V65" s="623"/>
      <c r="W65" s="591"/>
      <c r="X65" s="591"/>
      <c r="Y65" s="623"/>
      <c r="Z65" s="623"/>
      <c r="AA65" s="623"/>
      <c r="AB65" s="623"/>
      <c r="AC65" s="624"/>
      <c r="AD65" s="525"/>
      <c r="AE65" s="624"/>
      <c r="AF65" s="624"/>
      <c r="AG65" s="525">
        <f t="shared" si="21"/>
        <v>6793.2</v>
      </c>
      <c r="AH65" s="524">
        <f t="shared" si="22"/>
        <v>80.623270329152675</v>
      </c>
      <c r="AI65" s="524"/>
      <c r="AJ65" s="525">
        <f t="shared" si="23"/>
        <v>0</v>
      </c>
      <c r="AK65" s="524">
        <v>2</v>
      </c>
      <c r="AL65" s="625">
        <f t="shared" si="24"/>
        <v>1316.3000000000002</v>
      </c>
      <c r="AM65" s="403"/>
      <c r="AN65" s="403"/>
      <c r="AO65" s="403"/>
    </row>
    <row r="66" spans="1:41" s="124" customFormat="1" ht="15.75" customHeight="1" x14ac:dyDescent="0.25">
      <c r="A66" s="13">
        <v>21</v>
      </c>
      <c r="B66" s="580">
        <v>42648</v>
      </c>
      <c r="C66" s="426" t="s">
        <v>473</v>
      </c>
      <c r="D66" s="688"/>
      <c r="E66" s="688"/>
      <c r="F66" s="688"/>
      <c r="G66" s="688"/>
      <c r="H66" s="697">
        <v>1372.13</v>
      </c>
      <c r="I66" s="689"/>
      <c r="J66" s="697"/>
      <c r="K66" s="697"/>
      <c r="L66" s="630">
        <v>20343.54</v>
      </c>
      <c r="M66" s="630">
        <v>11928.51</v>
      </c>
      <c r="N66" s="631"/>
      <c r="O66" s="631"/>
      <c r="P66" s="524">
        <f t="shared" si="20"/>
        <v>12543.01</v>
      </c>
      <c r="Q66" s="632">
        <v>6543.01</v>
      </c>
      <c r="R66" s="623"/>
      <c r="S66" s="633"/>
      <c r="T66" s="633"/>
      <c r="U66" s="634">
        <v>6000</v>
      </c>
      <c r="V66" s="633"/>
      <c r="W66" s="632"/>
      <c r="X66" s="632"/>
      <c r="Y66" s="633"/>
      <c r="Z66" s="633"/>
      <c r="AA66" s="633"/>
      <c r="AB66" s="633"/>
      <c r="AC66" s="635"/>
      <c r="AD66" s="636"/>
      <c r="AE66" s="624"/>
      <c r="AF66" s="624"/>
      <c r="AG66" s="525">
        <f t="shared" si="21"/>
        <v>7800.5300000000007</v>
      </c>
      <c r="AH66" s="524">
        <f t="shared" si="22"/>
        <v>58.635370245296535</v>
      </c>
      <c r="AI66" s="524"/>
      <c r="AJ66" s="525">
        <f t="shared" si="23"/>
        <v>1.5235449022080025</v>
      </c>
      <c r="AK66" s="528">
        <v>2.5</v>
      </c>
      <c r="AL66" s="625">
        <f t="shared" si="24"/>
        <v>8415.0300000000007</v>
      </c>
      <c r="AM66" s="250"/>
      <c r="AN66" s="250"/>
      <c r="AO66" s="403"/>
    </row>
    <row r="67" spans="1:41" s="124" customFormat="1" ht="15" customHeight="1" x14ac:dyDescent="0.25">
      <c r="A67" s="13"/>
      <c r="B67" s="13"/>
      <c r="C67" s="417" t="s">
        <v>296</v>
      </c>
      <c r="D67" s="690"/>
      <c r="E67" s="690"/>
      <c r="F67" s="691">
        <f>SUM(F46:F62)</f>
        <v>462</v>
      </c>
      <c r="G67" s="691">
        <f>SUM(G46:G62)</f>
        <v>1267</v>
      </c>
      <c r="H67" s="653">
        <f>SUM(H46:H66)</f>
        <v>27445.26</v>
      </c>
      <c r="I67" s="653">
        <f>SUM(I46:I62)</f>
        <v>2501.9800000000005</v>
      </c>
      <c r="J67" s="698"/>
      <c r="K67" s="698"/>
      <c r="L67" s="637">
        <f t="shared" ref="L67:V67" si="25">SUM(L46:L66)</f>
        <v>354500.1</v>
      </c>
      <c r="M67" s="637">
        <f t="shared" si="25"/>
        <v>335290.92000000004</v>
      </c>
      <c r="N67" s="638"/>
      <c r="O67" s="638"/>
      <c r="P67" s="639">
        <f t="shared" si="25"/>
        <v>27885.21</v>
      </c>
      <c r="Q67" s="637">
        <f t="shared" si="25"/>
        <v>15885.21</v>
      </c>
      <c r="R67" s="640">
        <f t="shared" si="25"/>
        <v>0</v>
      </c>
      <c r="S67" s="640"/>
      <c r="T67" s="640"/>
      <c r="U67" s="640">
        <f t="shared" si="25"/>
        <v>12000</v>
      </c>
      <c r="V67" s="641">
        <f t="shared" si="25"/>
        <v>0</v>
      </c>
      <c r="W67" s="642">
        <f>SUM(W46:W64)</f>
        <v>0</v>
      </c>
      <c r="X67" s="642">
        <f t="shared" ref="X67:AD67" si="26">SUM(X46:X66)</f>
        <v>0</v>
      </c>
      <c r="Y67" s="641">
        <f t="shared" si="26"/>
        <v>0</v>
      </c>
      <c r="Z67" s="641">
        <f t="shared" si="26"/>
        <v>0</v>
      </c>
      <c r="AA67" s="641"/>
      <c r="AB67" s="641">
        <f t="shared" si="26"/>
        <v>0</v>
      </c>
      <c r="AC67" s="641">
        <f t="shared" si="26"/>
        <v>0</v>
      </c>
      <c r="AD67" s="641">
        <f t="shared" si="26"/>
        <v>0</v>
      </c>
      <c r="AE67" s="643">
        <f t="shared" ref="AE67" si="27">AD67*0.302</f>
        <v>0</v>
      </c>
      <c r="AF67" s="641">
        <f>SUM(AF46:AF66)</f>
        <v>0</v>
      </c>
      <c r="AG67" s="644">
        <f>SUM(AG46:AG66)</f>
        <v>326614.89</v>
      </c>
      <c r="AH67" s="639">
        <f t="shared" si="22"/>
        <v>94.581332981288313</v>
      </c>
      <c r="AI67" s="639"/>
      <c r="AJ67" s="1155">
        <f t="shared" si="23"/>
        <v>0.16933834840697448</v>
      </c>
      <c r="AK67" s="646"/>
      <c r="AL67" s="647">
        <f>SUM(AL46:AL66)</f>
        <v>19209.180000000015</v>
      </c>
      <c r="AM67" s="250"/>
      <c r="AN67" s="250"/>
      <c r="AO67" s="403"/>
    </row>
    <row r="68" spans="1:41" s="124" customFormat="1" ht="15" customHeight="1" x14ac:dyDescent="0.25">
      <c r="A68" s="13"/>
      <c r="B68" s="13"/>
      <c r="C68" s="417" t="s">
        <v>491</v>
      </c>
      <c r="D68" s="690"/>
      <c r="E68" s="690"/>
      <c r="F68" s="691"/>
      <c r="G68" s="691"/>
      <c r="H68" s="692"/>
      <c r="I68" s="692"/>
      <c r="J68" s="692"/>
      <c r="K68" s="692"/>
      <c r="L68" s="163"/>
      <c r="M68" s="163"/>
      <c r="N68" s="163"/>
      <c r="O68" s="163"/>
      <c r="P68" s="418"/>
      <c r="Q68" s="419"/>
      <c r="R68" s="420"/>
      <c r="S68" s="420"/>
      <c r="T68" s="420"/>
      <c r="U68" s="420"/>
      <c r="V68" s="421"/>
      <c r="W68" s="419"/>
      <c r="X68" s="419"/>
      <c r="Y68" s="421"/>
      <c r="Z68" s="421"/>
      <c r="AA68" s="421"/>
      <c r="AB68" s="421"/>
      <c r="AC68" s="421"/>
      <c r="AD68" s="421"/>
      <c r="AE68" s="421"/>
      <c r="AF68" s="421"/>
      <c r="AG68" s="294"/>
      <c r="AH68" s="49"/>
      <c r="AI68" s="49"/>
      <c r="AJ68" s="294"/>
      <c r="AK68" s="49"/>
      <c r="AL68" s="391"/>
      <c r="AM68" s="250"/>
      <c r="AN68" s="250"/>
      <c r="AO68" s="403"/>
    </row>
    <row r="69" spans="1:41" s="124" customFormat="1" ht="14.25" customHeight="1" x14ac:dyDescent="0.25">
      <c r="A69" s="13"/>
      <c r="B69" s="13"/>
      <c r="C69" s="417"/>
      <c r="D69" s="690"/>
      <c r="E69" s="690"/>
      <c r="F69" s="691"/>
      <c r="G69" s="691"/>
      <c r="H69" s="692"/>
      <c r="I69" s="692"/>
      <c r="J69" s="692"/>
      <c r="K69" s="692"/>
      <c r="L69" s="163"/>
      <c r="M69" s="163"/>
      <c r="N69" s="163"/>
      <c r="O69" s="163"/>
      <c r="P69" s="418"/>
      <c r="Q69" s="419"/>
      <c r="R69" s="420"/>
      <c r="S69" s="420"/>
      <c r="T69" s="420"/>
      <c r="U69" s="420"/>
      <c r="V69" s="421"/>
      <c r="W69" s="419"/>
      <c r="X69" s="419"/>
      <c r="Y69" s="421"/>
      <c r="Z69" s="421"/>
      <c r="AA69" s="421"/>
      <c r="AB69" s="421"/>
      <c r="AC69" s="421"/>
      <c r="AD69" s="421"/>
      <c r="AE69" s="421"/>
      <c r="AF69" s="421"/>
      <c r="AG69" s="294"/>
      <c r="AH69" s="49"/>
      <c r="AI69" s="49"/>
      <c r="AJ69" s="294"/>
      <c r="AK69" s="49"/>
      <c r="AL69" s="391"/>
      <c r="AM69" s="250"/>
      <c r="AN69" s="250"/>
      <c r="AO69" s="403"/>
    </row>
    <row r="70" spans="1:41" s="124" customFormat="1" ht="15.75" customHeight="1" x14ac:dyDescent="0.25">
      <c r="A70" s="296"/>
      <c r="B70" s="296"/>
      <c r="C70" s="296"/>
      <c r="D70" s="699"/>
      <c r="E70" s="699"/>
      <c r="F70" s="699"/>
      <c r="G70" s="699"/>
      <c r="H70" s="699"/>
      <c r="I70" s="699"/>
      <c r="J70" s="699"/>
      <c r="K70" s="699"/>
      <c r="L70" s="296"/>
      <c r="M70" s="296"/>
      <c r="N70" s="296"/>
      <c r="O70" s="296"/>
      <c r="P70" s="296"/>
      <c r="Q70" s="296"/>
      <c r="R70" s="296"/>
      <c r="S70" s="296"/>
      <c r="T70" s="296"/>
      <c r="U70" s="296"/>
      <c r="V70" s="296"/>
      <c r="W70" s="296"/>
      <c r="X70" s="296"/>
      <c r="Y70" s="296"/>
      <c r="Z70" s="296"/>
      <c r="AA70" s="296"/>
      <c r="AB70" s="250"/>
      <c r="AC70" s="250"/>
      <c r="AD70" s="250"/>
      <c r="AE70" s="250"/>
      <c r="AF70" s="250"/>
      <c r="AG70" s="250"/>
      <c r="AH70" s="250"/>
      <c r="AI70" s="250"/>
      <c r="AJ70" s="250"/>
      <c r="AK70" s="250"/>
      <c r="AL70" s="250"/>
      <c r="AM70" s="250"/>
      <c r="AN70" s="250"/>
      <c r="AO70" s="403"/>
    </row>
    <row r="71" spans="1:41" x14ac:dyDescent="0.25">
      <c r="A71" s="15"/>
      <c r="B71" s="15"/>
      <c r="C71" s="15"/>
      <c r="D71" s="661"/>
      <c r="E71" s="661"/>
      <c r="F71" s="661"/>
      <c r="G71" s="661"/>
      <c r="H71" s="661"/>
      <c r="I71" s="661"/>
      <c r="J71" s="661"/>
      <c r="K71" s="661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9"/>
      <c r="AB71" s="250"/>
      <c r="AC71" s="250"/>
      <c r="AD71" s="250"/>
      <c r="AE71" s="250"/>
      <c r="AF71" s="250"/>
      <c r="AG71" s="250"/>
      <c r="AH71" s="250"/>
      <c r="AI71" s="250"/>
      <c r="AJ71" s="250"/>
      <c r="AK71" s="250"/>
      <c r="AL71" s="250"/>
      <c r="AM71" s="250"/>
      <c r="AN71" s="250"/>
    </row>
    <row r="72" spans="1:41" ht="15.75" x14ac:dyDescent="0.25">
      <c r="A72" s="10"/>
      <c r="B72" s="10"/>
      <c r="C72" s="222" t="s">
        <v>643</v>
      </c>
      <c r="D72" s="700"/>
      <c r="E72" s="700"/>
      <c r="F72" s="700"/>
      <c r="G72" s="700"/>
      <c r="H72" s="700"/>
      <c r="I72" s="700"/>
      <c r="J72" s="700"/>
      <c r="K72" s="700"/>
      <c r="L72" s="11"/>
      <c r="M72" s="11"/>
      <c r="N72" s="11"/>
      <c r="O72" s="11"/>
      <c r="AB72" s="250"/>
      <c r="AC72" s="250"/>
      <c r="AD72" s="250"/>
      <c r="AE72" s="250"/>
      <c r="AF72" s="250"/>
      <c r="AG72" s="250"/>
      <c r="AH72" s="250"/>
      <c r="AI72" s="250"/>
      <c r="AJ72" s="250"/>
      <c r="AK72" s="250"/>
      <c r="AL72" s="250"/>
      <c r="AM72" s="250"/>
      <c r="AN72" s="250"/>
    </row>
    <row r="73" spans="1:41" ht="18" x14ac:dyDescent="0.25">
      <c r="A73" s="10"/>
      <c r="B73" s="10"/>
      <c r="C73" s="12"/>
      <c r="D73" s="701"/>
      <c r="E73" s="701"/>
      <c r="F73" s="701"/>
      <c r="G73" s="701"/>
      <c r="H73" s="701"/>
      <c r="I73" s="701"/>
      <c r="J73" s="701"/>
      <c r="K73" s="701"/>
      <c r="L73" s="12"/>
      <c r="M73" s="12"/>
      <c r="N73" s="12"/>
      <c r="O73" s="12"/>
      <c r="AB73" s="250"/>
      <c r="AC73" s="250"/>
      <c r="AD73" s="250"/>
      <c r="AE73" s="250"/>
      <c r="AF73" s="250"/>
      <c r="AG73" s="250"/>
      <c r="AH73" s="250"/>
      <c r="AI73" s="250"/>
      <c r="AJ73" s="250"/>
      <c r="AK73" s="250"/>
      <c r="AL73" s="250"/>
      <c r="AM73" s="250"/>
      <c r="AN73" s="250"/>
    </row>
    <row r="74" spans="1:41" ht="29.25" customHeight="1" x14ac:dyDescent="0.25">
      <c r="A74" s="2017" t="s">
        <v>0</v>
      </c>
      <c r="B74" s="1233"/>
      <c r="C74" s="2017" t="s">
        <v>184</v>
      </c>
      <c r="D74" s="2163" t="s">
        <v>54</v>
      </c>
      <c r="E74" s="2163" t="s">
        <v>55</v>
      </c>
      <c r="F74" s="2163" t="s">
        <v>56</v>
      </c>
      <c r="G74" s="2163" t="s">
        <v>57</v>
      </c>
      <c r="H74" s="2163" t="s">
        <v>6</v>
      </c>
      <c r="I74" s="2228" t="s">
        <v>282</v>
      </c>
      <c r="J74" s="693"/>
      <c r="K74" s="693"/>
      <c r="L74" s="2249" t="s">
        <v>556</v>
      </c>
      <c r="M74" s="2250"/>
      <c r="N74" s="615"/>
      <c r="O74" s="615"/>
      <c r="P74" s="1987" t="s">
        <v>181</v>
      </c>
      <c r="Q74" s="2083" t="s">
        <v>7</v>
      </c>
      <c r="R74" s="2014" t="s">
        <v>8</v>
      </c>
      <c r="S74" s="1263"/>
      <c r="T74" s="1263"/>
      <c r="U74" s="2255" t="s">
        <v>177</v>
      </c>
      <c r="V74" s="2012" t="s">
        <v>493</v>
      </c>
      <c r="W74" s="2012" t="s">
        <v>494</v>
      </c>
      <c r="X74" s="2012" t="s">
        <v>569</v>
      </c>
      <c r="Y74" s="1997" t="s">
        <v>175</v>
      </c>
      <c r="Z74" s="1997" t="s">
        <v>183</v>
      </c>
      <c r="AA74" s="2251" t="s">
        <v>182</v>
      </c>
      <c r="AB74" s="2253" t="s">
        <v>544</v>
      </c>
      <c r="AC74" s="2257" t="s">
        <v>566</v>
      </c>
      <c r="AD74" s="250"/>
      <c r="AE74" s="250"/>
      <c r="AF74" s="250"/>
      <c r="AG74" s="250"/>
      <c r="AH74" s="250"/>
      <c r="AI74" s="250"/>
      <c r="AJ74" s="250"/>
      <c r="AK74" s="250"/>
      <c r="AL74" s="250"/>
      <c r="AM74" s="250"/>
      <c r="AN74" s="250"/>
    </row>
    <row r="75" spans="1:41" ht="24" customHeight="1" x14ac:dyDescent="0.25">
      <c r="A75" s="2017"/>
      <c r="B75" s="1233"/>
      <c r="C75" s="2017"/>
      <c r="D75" s="2163"/>
      <c r="E75" s="2163"/>
      <c r="F75" s="2163"/>
      <c r="G75" s="2163"/>
      <c r="H75" s="2163"/>
      <c r="I75" s="2229"/>
      <c r="J75" s="694"/>
      <c r="K75" s="694"/>
      <c r="L75" s="51" t="s">
        <v>15</v>
      </c>
      <c r="M75" s="1232" t="s">
        <v>16</v>
      </c>
      <c r="N75" s="616"/>
      <c r="O75" s="616"/>
      <c r="P75" s="1988"/>
      <c r="Q75" s="2083"/>
      <c r="R75" s="2015"/>
      <c r="S75" s="1264"/>
      <c r="T75" s="1264"/>
      <c r="U75" s="2255"/>
      <c r="V75" s="2013"/>
      <c r="W75" s="2256"/>
      <c r="X75" s="2013"/>
      <c r="Y75" s="1998"/>
      <c r="Z75" s="1998"/>
      <c r="AA75" s="2252"/>
      <c r="AB75" s="2254"/>
      <c r="AC75" s="2258"/>
      <c r="AD75" s="250"/>
      <c r="AE75" s="250"/>
      <c r="AF75" s="250"/>
      <c r="AG75" s="250"/>
      <c r="AH75" s="250"/>
      <c r="AI75" s="250"/>
      <c r="AJ75" s="250"/>
      <c r="AK75" s="250"/>
      <c r="AL75" s="250"/>
      <c r="AM75" s="250"/>
      <c r="AN75" s="250"/>
    </row>
    <row r="76" spans="1:41" x14ac:dyDescent="0.25">
      <c r="A76" s="112">
        <v>1</v>
      </c>
      <c r="B76" s="112"/>
      <c r="C76" s="41" t="s">
        <v>210</v>
      </c>
      <c r="D76" s="702">
        <v>1975</v>
      </c>
      <c r="E76" s="702">
        <v>2</v>
      </c>
      <c r="F76" s="702">
        <v>18</v>
      </c>
      <c r="G76" s="661">
        <v>60</v>
      </c>
      <c r="H76" s="703">
        <v>784.25</v>
      </c>
      <c r="I76" s="704">
        <v>85.12</v>
      </c>
      <c r="J76" s="714"/>
      <c r="K76" s="714"/>
      <c r="L76" s="617">
        <v>9667.3799999999992</v>
      </c>
      <c r="M76" s="617">
        <v>8962.2000000000007</v>
      </c>
      <c r="N76" s="718"/>
      <c r="O76" s="718"/>
      <c r="P76" s="655">
        <f>Q76+R76+U76+V76+W76+X76</f>
        <v>9880.9023512379099</v>
      </c>
      <c r="Q76" s="656"/>
      <c r="R76" s="657">
        <f>3989.48/25682.68*H76</f>
        <v>121.82333346831406</v>
      </c>
      <c r="S76" s="657"/>
      <c r="T76" s="657"/>
      <c r="U76" s="658"/>
      <c r="V76" s="659"/>
      <c r="W76" s="660">
        <f>275646.55/2889.88*I76</f>
        <v>8119.0341246003291</v>
      </c>
      <c r="X76" s="660">
        <f>W76*0.202</f>
        <v>1640.0448931692665</v>
      </c>
      <c r="Y76" s="660">
        <f>L76-P76</f>
        <v>-213.5223512379107</v>
      </c>
      <c r="Z76" s="659">
        <f>M76/L76*100</f>
        <v>92.705572761182466</v>
      </c>
      <c r="AA76" s="659">
        <f>P76/H76/6</f>
        <v>2.0998623634550868</v>
      </c>
      <c r="AB76" s="672">
        <v>2.06</v>
      </c>
      <c r="AC76" s="562">
        <f>L76-M76</f>
        <v>705.17999999999847</v>
      </c>
      <c r="AD76" s="250"/>
      <c r="AE76" s="250"/>
      <c r="AF76" s="250"/>
      <c r="AG76" s="250"/>
      <c r="AH76" s="250"/>
      <c r="AI76" s="250"/>
      <c r="AJ76" s="250"/>
      <c r="AK76" s="250"/>
      <c r="AL76" s="250"/>
      <c r="AM76" s="250"/>
      <c r="AN76" s="250"/>
    </row>
    <row r="77" spans="1:41" x14ac:dyDescent="0.25">
      <c r="A77" s="13">
        <v>2</v>
      </c>
      <c r="B77" s="13"/>
      <c r="C77" s="41" t="s">
        <v>211</v>
      </c>
      <c r="D77" s="705">
        <v>1975</v>
      </c>
      <c r="E77" s="705">
        <v>2</v>
      </c>
      <c r="F77" s="705">
        <v>18</v>
      </c>
      <c r="G77" s="661">
        <v>52</v>
      </c>
      <c r="H77" s="706">
        <v>785</v>
      </c>
      <c r="I77" s="707">
        <v>85.12</v>
      </c>
      <c r="J77" s="715"/>
      <c r="K77" s="715"/>
      <c r="L77" s="617">
        <v>9702.24</v>
      </c>
      <c r="M77" s="617">
        <v>9463.11</v>
      </c>
      <c r="N77" s="718"/>
      <c r="O77" s="718"/>
      <c r="P77" s="655">
        <f t="shared" ref="P77:P94" si="28">Q77+R77+U77+V77+W77+X77</f>
        <v>10231.018854266409</v>
      </c>
      <c r="Q77" s="656">
        <v>350</v>
      </c>
      <c r="R77" s="657">
        <f t="shared" ref="R77:R94" si="29">3989.48/25682.68*H77</f>
        <v>121.93983649681419</v>
      </c>
      <c r="S77" s="657"/>
      <c r="T77" s="657"/>
      <c r="U77" s="658"/>
      <c r="V77" s="659"/>
      <c r="W77" s="660">
        <f t="shared" ref="W77:W94" si="30">275646.55/2889.88*I77</f>
        <v>8119.0341246003291</v>
      </c>
      <c r="X77" s="660">
        <f t="shared" ref="X77:X94" si="31">W77*0.202</f>
        <v>1640.0448931692665</v>
      </c>
      <c r="Y77" s="660">
        <f t="shared" ref="Y77:Y94" si="32">L77-P77</f>
        <v>-528.77885426640933</v>
      </c>
      <c r="Z77" s="659">
        <f t="shared" ref="Z77:Z94" si="33">M77/L77*100</f>
        <v>97.535311433236046</v>
      </c>
      <c r="AA77" s="659">
        <f t="shared" ref="AA77:AA95" si="34">P77/H77/6</f>
        <v>2.1721908395470084</v>
      </c>
      <c r="AB77" s="672">
        <v>2.06</v>
      </c>
      <c r="AC77" s="562">
        <f t="shared" ref="AC77:AC95" si="35">L77-M77</f>
        <v>239.1299999999992</v>
      </c>
      <c r="AD77" s="250"/>
      <c r="AE77" s="250"/>
      <c r="AF77" s="250"/>
      <c r="AG77" s="250"/>
      <c r="AH77" s="250"/>
      <c r="AI77" s="250"/>
      <c r="AJ77" s="250"/>
      <c r="AK77" s="250"/>
      <c r="AL77" s="250"/>
      <c r="AM77" s="250"/>
      <c r="AN77" s="250"/>
    </row>
    <row r="78" spans="1:41" x14ac:dyDescent="0.25">
      <c r="A78" s="13">
        <v>3</v>
      </c>
      <c r="B78" s="13"/>
      <c r="C78" s="41" t="s">
        <v>212</v>
      </c>
      <c r="D78" s="705">
        <v>1975</v>
      </c>
      <c r="E78" s="705">
        <v>2</v>
      </c>
      <c r="F78" s="705">
        <v>18</v>
      </c>
      <c r="G78" s="349">
        <v>58</v>
      </c>
      <c r="H78" s="707">
        <v>788.23</v>
      </c>
      <c r="I78" s="707">
        <v>86.42</v>
      </c>
      <c r="J78" s="715"/>
      <c r="K78" s="715"/>
      <c r="L78" s="617">
        <v>9742.44</v>
      </c>
      <c r="M78" s="617">
        <v>10406.86</v>
      </c>
      <c r="N78" s="718"/>
      <c r="O78" s="718"/>
      <c r="P78" s="655">
        <f t="shared" si="28"/>
        <v>10030.566678598709</v>
      </c>
      <c r="Q78" s="656"/>
      <c r="R78" s="657">
        <f t="shared" si="29"/>
        <v>122.44157620622147</v>
      </c>
      <c r="S78" s="657"/>
      <c r="T78" s="657"/>
      <c r="U78" s="658"/>
      <c r="V78" s="659"/>
      <c r="W78" s="660">
        <f t="shared" si="30"/>
        <v>8243.032531108558</v>
      </c>
      <c r="X78" s="660">
        <f t="shared" si="31"/>
        <v>1665.0925712839289</v>
      </c>
      <c r="Y78" s="660">
        <f t="shared" si="32"/>
        <v>-288.12667859870817</v>
      </c>
      <c r="Z78" s="659">
        <f t="shared" si="33"/>
        <v>106.81985211097013</v>
      </c>
      <c r="AA78" s="659">
        <f t="shared" si="34"/>
        <v>2.1209052092660579</v>
      </c>
      <c r="AB78" s="672">
        <v>2.06</v>
      </c>
      <c r="AC78" s="562">
        <f t="shared" si="35"/>
        <v>-664.42000000000007</v>
      </c>
      <c r="AD78" s="250"/>
      <c r="AE78" s="250"/>
      <c r="AF78" s="250"/>
      <c r="AG78" s="250"/>
      <c r="AH78" s="250"/>
      <c r="AI78" s="250"/>
      <c r="AJ78" s="250"/>
      <c r="AK78" s="250"/>
      <c r="AL78" s="250"/>
      <c r="AM78" s="250"/>
      <c r="AN78" s="250"/>
    </row>
    <row r="79" spans="1:41" x14ac:dyDescent="0.25">
      <c r="A79" s="13">
        <v>4</v>
      </c>
      <c r="B79" s="13"/>
      <c r="C79" s="41" t="s">
        <v>213</v>
      </c>
      <c r="D79" s="705">
        <v>1975</v>
      </c>
      <c r="E79" s="705">
        <v>2</v>
      </c>
      <c r="F79" s="705">
        <v>18</v>
      </c>
      <c r="G79" s="708">
        <v>42</v>
      </c>
      <c r="H79" s="707">
        <v>789.57</v>
      </c>
      <c r="I79" s="707">
        <v>86.42</v>
      </c>
      <c r="J79" s="715"/>
      <c r="K79" s="715"/>
      <c r="L79" s="617">
        <v>8764.3799999999992</v>
      </c>
      <c r="M79" s="617">
        <v>9274.84</v>
      </c>
      <c r="N79" s="718"/>
      <c r="O79" s="718"/>
      <c r="P79" s="655">
        <f t="shared" si="28"/>
        <v>10030.774830676295</v>
      </c>
      <c r="Q79" s="656"/>
      <c r="R79" s="657">
        <f t="shared" si="29"/>
        <v>122.6497282838084</v>
      </c>
      <c r="S79" s="657"/>
      <c r="T79" s="657"/>
      <c r="U79" s="658"/>
      <c r="V79" s="659"/>
      <c r="W79" s="660">
        <f t="shared" si="30"/>
        <v>8243.032531108558</v>
      </c>
      <c r="X79" s="660">
        <f t="shared" si="31"/>
        <v>1665.0925712839289</v>
      </c>
      <c r="Y79" s="660">
        <f t="shared" si="32"/>
        <v>-1266.3948306762959</v>
      </c>
      <c r="Z79" s="659">
        <f t="shared" si="33"/>
        <v>105.82425682136103</v>
      </c>
      <c r="AA79" s="659">
        <f t="shared" si="34"/>
        <v>2.1173497031456563</v>
      </c>
      <c r="AB79" s="672">
        <v>1.85</v>
      </c>
      <c r="AC79" s="562">
        <f t="shared" si="35"/>
        <v>-510.46000000000095</v>
      </c>
      <c r="AD79" s="250"/>
      <c r="AE79" s="250"/>
      <c r="AF79" s="250"/>
      <c r="AG79" s="250"/>
      <c r="AH79" s="250"/>
      <c r="AI79" s="250"/>
      <c r="AJ79" s="250"/>
      <c r="AK79" s="250"/>
      <c r="AL79" s="250"/>
      <c r="AM79" s="250"/>
      <c r="AN79" s="250"/>
    </row>
    <row r="80" spans="1:41" x14ac:dyDescent="0.25">
      <c r="A80" s="13">
        <v>5</v>
      </c>
      <c r="B80" s="13"/>
      <c r="C80" s="41" t="s">
        <v>214</v>
      </c>
      <c r="D80" s="705">
        <v>1975</v>
      </c>
      <c r="E80" s="705">
        <v>5</v>
      </c>
      <c r="F80" s="705">
        <v>90</v>
      </c>
      <c r="G80" s="349">
        <v>268</v>
      </c>
      <c r="H80" s="707">
        <v>4496</v>
      </c>
      <c r="I80" s="707">
        <v>423.6</v>
      </c>
      <c r="J80" s="715"/>
      <c r="K80" s="715"/>
      <c r="L80" s="617">
        <v>49087.68</v>
      </c>
      <c r="M80" s="617">
        <v>47865.45</v>
      </c>
      <c r="N80" s="718"/>
      <c r="O80" s="718"/>
      <c r="P80" s="655">
        <f t="shared" si="28"/>
        <v>49492.310241712883</v>
      </c>
      <c r="Q80" s="656">
        <v>227.82</v>
      </c>
      <c r="R80" s="657">
        <f t="shared" si="29"/>
        <v>698.39682151551165</v>
      </c>
      <c r="S80" s="657"/>
      <c r="T80" s="657"/>
      <c r="U80" s="658"/>
      <c r="V80" s="659"/>
      <c r="W80" s="660">
        <f t="shared" si="30"/>
        <v>40404.403843758213</v>
      </c>
      <c r="X80" s="660">
        <f t="shared" si="31"/>
        <v>8161.6895764391593</v>
      </c>
      <c r="Y80" s="660">
        <f t="shared" si="32"/>
        <v>-404.63024171288271</v>
      </c>
      <c r="Z80" s="659">
        <f t="shared" si="33"/>
        <v>97.510108442688676</v>
      </c>
      <c r="AA80" s="659">
        <f t="shared" si="34"/>
        <v>1.8346793535629036</v>
      </c>
      <c r="AB80" s="672">
        <v>1.82</v>
      </c>
      <c r="AC80" s="562">
        <f t="shared" si="35"/>
        <v>1222.2300000000032</v>
      </c>
      <c r="AD80" s="250"/>
      <c r="AE80" s="250"/>
      <c r="AF80" s="250"/>
      <c r="AG80" s="250"/>
      <c r="AH80" s="250"/>
      <c r="AI80" s="250"/>
      <c r="AJ80" s="250"/>
      <c r="AK80" s="250"/>
      <c r="AL80" s="250"/>
      <c r="AM80" s="250"/>
      <c r="AN80" s="250"/>
    </row>
    <row r="81" spans="1:40" x14ac:dyDescent="0.25">
      <c r="A81" s="13">
        <v>6</v>
      </c>
      <c r="B81" s="13"/>
      <c r="C81" s="41" t="s">
        <v>215</v>
      </c>
      <c r="D81" s="705">
        <v>1963</v>
      </c>
      <c r="E81" s="705">
        <v>2</v>
      </c>
      <c r="F81" s="705">
        <v>12</v>
      </c>
      <c r="G81" s="708">
        <v>39</v>
      </c>
      <c r="H81" s="707">
        <v>515.1</v>
      </c>
      <c r="I81" s="707">
        <v>49.6</v>
      </c>
      <c r="J81" s="715"/>
      <c r="K81" s="715"/>
      <c r="L81" s="617">
        <v>6397.5</v>
      </c>
      <c r="M81" s="617">
        <v>5165.3599999999997</v>
      </c>
      <c r="N81" s="718"/>
      <c r="O81" s="718"/>
      <c r="P81" s="655">
        <f t="shared" si="28"/>
        <v>5766.6956625088114</v>
      </c>
      <c r="Q81" s="656"/>
      <c r="R81" s="657">
        <f t="shared" si="29"/>
        <v>80.014279973896805</v>
      </c>
      <c r="S81" s="657"/>
      <c r="T81" s="657"/>
      <c r="U81" s="658"/>
      <c r="V81" s="659"/>
      <c r="W81" s="660">
        <f t="shared" si="30"/>
        <v>4731.0161252370335</v>
      </c>
      <c r="X81" s="660">
        <f t="shared" si="31"/>
        <v>955.66525729788088</v>
      </c>
      <c r="Y81" s="660">
        <f t="shared" si="32"/>
        <v>630.80433749118856</v>
      </c>
      <c r="Z81" s="659">
        <f t="shared" si="33"/>
        <v>80.740289175459154</v>
      </c>
      <c r="AA81" s="659">
        <f t="shared" si="34"/>
        <v>1.8658822437419307</v>
      </c>
      <c r="AB81" s="672">
        <v>2.0699999999999998</v>
      </c>
      <c r="AC81" s="562">
        <f t="shared" si="35"/>
        <v>1232.1400000000003</v>
      </c>
      <c r="AD81" s="250"/>
      <c r="AE81" s="250"/>
      <c r="AF81" s="250"/>
      <c r="AG81" s="250"/>
      <c r="AH81" s="250"/>
      <c r="AI81" s="250"/>
      <c r="AJ81" s="250"/>
      <c r="AK81" s="250"/>
      <c r="AL81" s="250"/>
      <c r="AM81" s="250"/>
      <c r="AN81" s="250"/>
    </row>
    <row r="82" spans="1:40" x14ac:dyDescent="0.25">
      <c r="A82" s="13">
        <v>7</v>
      </c>
      <c r="B82" s="13"/>
      <c r="C82" s="41" t="s">
        <v>216</v>
      </c>
      <c r="D82" s="705">
        <v>1963</v>
      </c>
      <c r="E82" s="705">
        <v>2</v>
      </c>
      <c r="F82" s="705">
        <v>16</v>
      </c>
      <c r="G82" s="349">
        <v>43</v>
      </c>
      <c r="H82" s="707">
        <v>624.4</v>
      </c>
      <c r="I82" s="707">
        <v>76</v>
      </c>
      <c r="J82" s="715"/>
      <c r="K82" s="715"/>
      <c r="L82" s="617">
        <v>7758.66</v>
      </c>
      <c r="M82" s="617">
        <v>8284.76</v>
      </c>
      <c r="N82" s="718"/>
      <c r="O82" s="718"/>
      <c r="P82" s="655">
        <f t="shared" si="28"/>
        <v>8810.4560633835026</v>
      </c>
      <c r="Q82" s="656"/>
      <c r="R82" s="657">
        <f t="shared" si="29"/>
        <v>96.992654660650672</v>
      </c>
      <c r="S82" s="657"/>
      <c r="T82" s="657"/>
      <c r="U82" s="658"/>
      <c r="V82" s="659"/>
      <c r="W82" s="660">
        <f t="shared" si="30"/>
        <v>7249.137611250293</v>
      </c>
      <c r="X82" s="660">
        <f t="shared" si="31"/>
        <v>1464.3257974725593</v>
      </c>
      <c r="Y82" s="660">
        <f t="shared" si="32"/>
        <v>-1051.7960633835028</v>
      </c>
      <c r="Z82" s="659">
        <f t="shared" si="33"/>
        <v>106.78081008833999</v>
      </c>
      <c r="AA82" s="659">
        <f t="shared" si="34"/>
        <v>2.3517125943261541</v>
      </c>
      <c r="AB82" s="672">
        <v>2.08</v>
      </c>
      <c r="AC82" s="562">
        <f t="shared" si="35"/>
        <v>-526.10000000000036</v>
      </c>
      <c r="AD82" s="250"/>
      <c r="AE82" s="250"/>
      <c r="AF82" s="250"/>
      <c r="AG82" s="250"/>
      <c r="AH82" s="250"/>
      <c r="AI82" s="250"/>
      <c r="AJ82" s="250"/>
      <c r="AK82" s="250"/>
      <c r="AL82" s="250"/>
      <c r="AM82" s="250"/>
      <c r="AN82" s="250"/>
    </row>
    <row r="83" spans="1:40" x14ac:dyDescent="0.25">
      <c r="A83" s="13">
        <v>8</v>
      </c>
      <c r="B83" s="13"/>
      <c r="C83" s="41" t="s">
        <v>217</v>
      </c>
      <c r="D83" s="705">
        <v>1963</v>
      </c>
      <c r="E83" s="705">
        <v>2</v>
      </c>
      <c r="F83" s="705">
        <v>16</v>
      </c>
      <c r="G83" s="708">
        <v>27</v>
      </c>
      <c r="H83" s="707">
        <v>630.29999999999995</v>
      </c>
      <c r="I83" s="707">
        <v>76</v>
      </c>
      <c r="J83" s="715"/>
      <c r="K83" s="715"/>
      <c r="L83" s="617">
        <v>7866.23</v>
      </c>
      <c r="M83" s="617">
        <v>6262.94</v>
      </c>
      <c r="N83" s="718"/>
      <c r="O83" s="718"/>
      <c r="P83" s="655">
        <f t="shared" si="28"/>
        <v>8811.3725538743711</v>
      </c>
      <c r="Q83" s="656"/>
      <c r="R83" s="657">
        <f t="shared" si="29"/>
        <v>97.909145151518445</v>
      </c>
      <c r="S83" s="657"/>
      <c r="T83" s="657"/>
      <c r="U83" s="658"/>
      <c r="V83" s="659"/>
      <c r="W83" s="660">
        <f t="shared" si="30"/>
        <v>7249.137611250293</v>
      </c>
      <c r="X83" s="660">
        <f t="shared" si="31"/>
        <v>1464.3257974725593</v>
      </c>
      <c r="Y83" s="660">
        <f t="shared" si="32"/>
        <v>-945.14255387437152</v>
      </c>
      <c r="Z83" s="659">
        <f t="shared" si="33"/>
        <v>79.618063545052706</v>
      </c>
      <c r="AA83" s="659">
        <f t="shared" si="34"/>
        <v>2.3299414442525705</v>
      </c>
      <c r="AB83" s="672">
        <v>2.08</v>
      </c>
      <c r="AC83" s="562">
        <f t="shared" si="35"/>
        <v>1603.29</v>
      </c>
      <c r="AD83" s="250"/>
      <c r="AE83" s="250"/>
      <c r="AF83" s="250"/>
      <c r="AG83" s="250"/>
      <c r="AH83" s="250"/>
      <c r="AI83" s="250"/>
      <c r="AJ83" s="250"/>
      <c r="AK83" s="250"/>
      <c r="AL83" s="250"/>
      <c r="AM83" s="250"/>
      <c r="AN83" s="250"/>
    </row>
    <row r="84" spans="1:40" x14ac:dyDescent="0.25">
      <c r="A84" s="13">
        <v>9</v>
      </c>
      <c r="B84" s="13"/>
      <c r="C84" s="41" t="s">
        <v>218</v>
      </c>
      <c r="D84" s="705">
        <v>1963</v>
      </c>
      <c r="E84" s="705">
        <v>2</v>
      </c>
      <c r="F84" s="705">
        <v>8</v>
      </c>
      <c r="G84" s="349">
        <v>18</v>
      </c>
      <c r="H84" s="707">
        <v>313</v>
      </c>
      <c r="I84" s="707">
        <v>73.5</v>
      </c>
      <c r="J84" s="715"/>
      <c r="K84" s="715"/>
      <c r="L84" s="617">
        <v>3906.18</v>
      </c>
      <c r="M84" s="617">
        <v>3183.49</v>
      </c>
      <c r="N84" s="718"/>
      <c r="O84" s="718"/>
      <c r="P84" s="655">
        <f t="shared" si="28"/>
        <v>8475.4569201369923</v>
      </c>
      <c r="Q84" s="656"/>
      <c r="R84" s="657">
        <f t="shared" si="29"/>
        <v>48.62059722739216</v>
      </c>
      <c r="S84" s="657"/>
      <c r="T84" s="657"/>
      <c r="U84" s="658"/>
      <c r="V84" s="659"/>
      <c r="W84" s="660">
        <f t="shared" si="30"/>
        <v>7010.6791371960071</v>
      </c>
      <c r="X84" s="660">
        <f t="shared" si="31"/>
        <v>1416.1571857135934</v>
      </c>
      <c r="Y84" s="660">
        <f t="shared" si="32"/>
        <v>-4569.276920136992</v>
      </c>
      <c r="Z84" s="659">
        <f t="shared" si="33"/>
        <v>81.49880445857589</v>
      </c>
      <c r="AA84" s="659">
        <f t="shared" si="34"/>
        <v>4.5130228541730526</v>
      </c>
      <c r="AB84" s="672">
        <v>2.08</v>
      </c>
      <c r="AC84" s="562">
        <f t="shared" si="35"/>
        <v>722.69</v>
      </c>
      <c r="AD84" s="250"/>
      <c r="AE84" s="250"/>
      <c r="AF84" s="250"/>
      <c r="AG84" s="250"/>
      <c r="AH84" s="250"/>
      <c r="AI84" s="250"/>
      <c r="AJ84" s="250"/>
      <c r="AK84" s="250"/>
      <c r="AL84" s="250"/>
      <c r="AM84" s="250"/>
      <c r="AN84" s="250"/>
    </row>
    <row r="85" spans="1:40" x14ac:dyDescent="0.25">
      <c r="A85" s="13">
        <v>10</v>
      </c>
      <c r="B85" s="13"/>
      <c r="C85" s="41" t="s">
        <v>219</v>
      </c>
      <c r="D85" s="705">
        <v>1977</v>
      </c>
      <c r="E85" s="705">
        <v>5</v>
      </c>
      <c r="F85" s="705">
        <v>90</v>
      </c>
      <c r="G85" s="708">
        <v>231</v>
      </c>
      <c r="H85" s="707">
        <v>4847.7</v>
      </c>
      <c r="I85" s="707">
        <v>585</v>
      </c>
      <c r="J85" s="715"/>
      <c r="K85" s="715"/>
      <c r="L85" s="617">
        <v>56706.720000000001</v>
      </c>
      <c r="M85" s="617">
        <v>56639.22</v>
      </c>
      <c r="N85" s="718"/>
      <c r="O85" s="718"/>
      <c r="P85" s="655">
        <f t="shared" si="28"/>
        <v>68240.727055314419</v>
      </c>
      <c r="Q85" s="656">
        <v>416.96</v>
      </c>
      <c r="R85" s="657">
        <f t="shared" si="29"/>
        <v>753.02897501351106</v>
      </c>
      <c r="S85" s="657"/>
      <c r="T85" s="657"/>
      <c r="U85" s="658"/>
      <c r="V85" s="659"/>
      <c r="W85" s="660">
        <f t="shared" si="30"/>
        <v>55799.282928702916</v>
      </c>
      <c r="X85" s="660">
        <f t="shared" si="31"/>
        <v>11271.455151597989</v>
      </c>
      <c r="Y85" s="660">
        <f t="shared" si="32"/>
        <v>-11534.007055314418</v>
      </c>
      <c r="Z85" s="659">
        <f t="shared" si="33"/>
        <v>99.880966488627791</v>
      </c>
      <c r="AA85" s="659">
        <f t="shared" si="34"/>
        <v>2.3461547763308519</v>
      </c>
      <c r="AB85" s="672">
        <v>1.95</v>
      </c>
      <c r="AC85" s="562">
        <f t="shared" si="35"/>
        <v>67.5</v>
      </c>
      <c r="AD85" s="250"/>
      <c r="AE85" s="250"/>
      <c r="AF85" s="250"/>
      <c r="AG85" s="250"/>
      <c r="AH85" s="250"/>
      <c r="AI85" s="250"/>
      <c r="AJ85" s="250"/>
      <c r="AK85" s="250"/>
      <c r="AL85" s="250"/>
      <c r="AM85" s="250"/>
      <c r="AN85" s="250"/>
    </row>
    <row r="86" spans="1:40" x14ac:dyDescent="0.25">
      <c r="A86" s="13">
        <v>11</v>
      </c>
      <c r="B86" s="13"/>
      <c r="C86" s="41" t="s">
        <v>220</v>
      </c>
      <c r="D86" s="705">
        <v>1983</v>
      </c>
      <c r="E86" s="705">
        <v>4</v>
      </c>
      <c r="F86" s="705">
        <v>48</v>
      </c>
      <c r="G86" s="349">
        <v>143</v>
      </c>
      <c r="H86" s="707">
        <v>2618.7199999999998</v>
      </c>
      <c r="I86" s="707">
        <v>317.89999999999998</v>
      </c>
      <c r="J86" s="715"/>
      <c r="K86" s="715"/>
      <c r="L86" s="617">
        <v>30799.74</v>
      </c>
      <c r="M86" s="617">
        <v>29732.02</v>
      </c>
      <c r="N86" s="718"/>
      <c r="O86" s="718"/>
      <c r="P86" s="655">
        <f t="shared" si="28"/>
        <v>37191.835313071606</v>
      </c>
      <c r="Q86" s="656">
        <v>337.55</v>
      </c>
      <c r="R86" s="657">
        <f t="shared" si="29"/>
        <v>406.78508105851876</v>
      </c>
      <c r="S86" s="657"/>
      <c r="T86" s="657"/>
      <c r="U86" s="658"/>
      <c r="V86" s="659"/>
      <c r="W86" s="660">
        <f t="shared" si="30"/>
        <v>30322.379560743</v>
      </c>
      <c r="X86" s="660">
        <f t="shared" si="31"/>
        <v>6125.1206712700869</v>
      </c>
      <c r="Y86" s="660">
        <f t="shared" si="32"/>
        <v>-6392.0953130716043</v>
      </c>
      <c r="Z86" s="659">
        <f t="shared" si="33"/>
        <v>96.533347359425761</v>
      </c>
      <c r="AA86" s="659">
        <f t="shared" si="34"/>
        <v>2.3670492526292493</v>
      </c>
      <c r="AB86" s="672">
        <v>1.96</v>
      </c>
      <c r="AC86" s="562">
        <f t="shared" si="35"/>
        <v>1067.7200000000012</v>
      </c>
      <c r="AD86" s="250"/>
      <c r="AE86" s="250"/>
      <c r="AF86" s="250"/>
      <c r="AG86" s="250"/>
      <c r="AH86" s="250"/>
      <c r="AI86" s="250"/>
      <c r="AJ86" s="250"/>
      <c r="AK86" s="250"/>
      <c r="AL86" s="250"/>
      <c r="AM86" s="250"/>
      <c r="AN86" s="250"/>
    </row>
    <row r="87" spans="1:40" x14ac:dyDescent="0.25">
      <c r="A87" s="13">
        <v>12</v>
      </c>
      <c r="B87" s="13"/>
      <c r="C87" s="41" t="s">
        <v>221</v>
      </c>
      <c r="D87" s="705">
        <v>1983</v>
      </c>
      <c r="E87" s="705">
        <v>4</v>
      </c>
      <c r="F87" s="705">
        <v>48</v>
      </c>
      <c r="G87" s="708">
        <v>137</v>
      </c>
      <c r="H87" s="707">
        <v>2615</v>
      </c>
      <c r="I87" s="707">
        <v>317.89999999999998</v>
      </c>
      <c r="J87" s="715"/>
      <c r="K87" s="715"/>
      <c r="L87" s="617">
        <v>30731.22</v>
      </c>
      <c r="M87" s="617">
        <v>31317.19</v>
      </c>
      <c r="N87" s="718"/>
      <c r="O87" s="718"/>
      <c r="P87" s="655">
        <f t="shared" si="28"/>
        <v>37096.687458050241</v>
      </c>
      <c r="Q87" s="656">
        <v>242.98</v>
      </c>
      <c r="R87" s="657">
        <f t="shared" si="29"/>
        <v>406.20722603715814</v>
      </c>
      <c r="S87" s="657"/>
      <c r="T87" s="657"/>
      <c r="U87" s="658"/>
      <c r="V87" s="659"/>
      <c r="W87" s="660">
        <f t="shared" si="30"/>
        <v>30322.379560743</v>
      </c>
      <c r="X87" s="660">
        <f t="shared" si="31"/>
        <v>6125.1206712700869</v>
      </c>
      <c r="Y87" s="660">
        <f t="shared" si="32"/>
        <v>-6365.4674580502397</v>
      </c>
      <c r="Z87" s="659">
        <f t="shared" si="33"/>
        <v>101.90675801351199</v>
      </c>
      <c r="AA87" s="659">
        <f t="shared" si="34"/>
        <v>2.364352291781405</v>
      </c>
      <c r="AB87" s="672">
        <v>1.96</v>
      </c>
      <c r="AC87" s="562">
        <f t="shared" si="35"/>
        <v>-585.96999999999753</v>
      </c>
      <c r="AD87" s="250"/>
      <c r="AE87" s="250"/>
      <c r="AF87" s="250"/>
      <c r="AG87" s="250"/>
      <c r="AH87" s="250"/>
      <c r="AI87" s="250"/>
      <c r="AJ87" s="250"/>
      <c r="AK87" s="250"/>
      <c r="AL87" s="250"/>
      <c r="AM87" s="250"/>
      <c r="AN87" s="250"/>
    </row>
    <row r="88" spans="1:40" x14ac:dyDescent="0.25">
      <c r="A88" s="13">
        <v>13</v>
      </c>
      <c r="B88" s="13"/>
      <c r="C88" s="42" t="s">
        <v>222</v>
      </c>
      <c r="D88" s="705">
        <v>1975</v>
      </c>
      <c r="E88" s="705">
        <v>2</v>
      </c>
      <c r="F88" s="705">
        <v>12</v>
      </c>
      <c r="G88" s="349">
        <v>30</v>
      </c>
      <c r="H88" s="707">
        <v>504.74</v>
      </c>
      <c r="I88" s="707">
        <v>58.2</v>
      </c>
      <c r="J88" s="715"/>
      <c r="K88" s="715"/>
      <c r="L88" s="617">
        <v>5680.86</v>
      </c>
      <c r="M88" s="617">
        <v>4501.92</v>
      </c>
      <c r="N88" s="718"/>
      <c r="O88" s="718"/>
      <c r="P88" s="655">
        <f t="shared" si="28"/>
        <v>6820.0835425393816</v>
      </c>
      <c r="Q88" s="656">
        <v>69</v>
      </c>
      <c r="R88" s="657">
        <f t="shared" si="29"/>
        <v>78.404984806881529</v>
      </c>
      <c r="S88" s="657"/>
      <c r="T88" s="657"/>
      <c r="U88" s="658"/>
      <c r="V88" s="659"/>
      <c r="W88" s="660">
        <f t="shared" si="30"/>
        <v>5551.3132759837772</v>
      </c>
      <c r="X88" s="660">
        <f t="shared" si="31"/>
        <v>1121.365281748723</v>
      </c>
      <c r="Y88" s="660">
        <f t="shared" si="32"/>
        <v>-1139.2235425393819</v>
      </c>
      <c r="Z88" s="659">
        <f t="shared" si="33"/>
        <v>79.247156240428396</v>
      </c>
      <c r="AA88" s="659">
        <f t="shared" si="34"/>
        <v>2.2520121060808145</v>
      </c>
      <c r="AB88" s="672">
        <v>1.88</v>
      </c>
      <c r="AC88" s="562">
        <f t="shared" si="35"/>
        <v>1178.9399999999996</v>
      </c>
      <c r="AD88" s="250"/>
      <c r="AE88" s="250"/>
      <c r="AF88" s="250"/>
      <c r="AG88" s="250"/>
      <c r="AH88" s="250"/>
      <c r="AI88" s="250"/>
      <c r="AJ88" s="250"/>
      <c r="AK88" s="250"/>
      <c r="AL88" s="250"/>
      <c r="AM88" s="250"/>
      <c r="AN88" s="250"/>
    </row>
    <row r="89" spans="1:40" x14ac:dyDescent="0.25">
      <c r="A89" s="13">
        <v>14</v>
      </c>
      <c r="B89" s="13"/>
      <c r="C89" s="42" t="s">
        <v>122</v>
      </c>
      <c r="D89" s="705">
        <v>1975</v>
      </c>
      <c r="E89" s="705">
        <v>2</v>
      </c>
      <c r="F89" s="705">
        <v>12</v>
      </c>
      <c r="G89" s="708">
        <v>31</v>
      </c>
      <c r="H89" s="707">
        <v>527.04</v>
      </c>
      <c r="I89" s="707">
        <v>52.8</v>
      </c>
      <c r="J89" s="715"/>
      <c r="K89" s="715"/>
      <c r="L89" s="617">
        <v>5871.96</v>
      </c>
      <c r="M89" s="617">
        <v>6004.22</v>
      </c>
      <c r="N89" s="718"/>
      <c r="O89" s="718"/>
      <c r="P89" s="655">
        <f t="shared" si="28"/>
        <v>6135.433060563495</v>
      </c>
      <c r="Q89" s="656"/>
      <c r="R89" s="657">
        <f t="shared" si="29"/>
        <v>81.869008187619045</v>
      </c>
      <c r="S89" s="657"/>
      <c r="T89" s="657"/>
      <c r="U89" s="658"/>
      <c r="V89" s="659"/>
      <c r="W89" s="660">
        <f t="shared" si="30"/>
        <v>5036.2429720265191</v>
      </c>
      <c r="X89" s="660">
        <f t="shared" si="31"/>
        <v>1017.3210803493569</v>
      </c>
      <c r="Y89" s="660">
        <f t="shared" si="32"/>
        <v>-263.47306056349498</v>
      </c>
      <c r="Z89" s="659">
        <f t="shared" si="33"/>
        <v>102.2523995395064</v>
      </c>
      <c r="AA89" s="659">
        <f t="shared" si="34"/>
        <v>1.9402173967072376</v>
      </c>
      <c r="AB89" s="672">
        <v>1.87</v>
      </c>
      <c r="AC89" s="562">
        <f t="shared" si="35"/>
        <v>-132.26000000000022</v>
      </c>
      <c r="AD89" s="250"/>
      <c r="AE89" s="250"/>
      <c r="AF89" s="250"/>
      <c r="AG89" s="250"/>
      <c r="AH89" s="250"/>
      <c r="AI89" s="250"/>
      <c r="AJ89" s="250"/>
      <c r="AK89" s="250"/>
      <c r="AL89" s="250"/>
      <c r="AM89" s="250"/>
      <c r="AN89" s="250"/>
    </row>
    <row r="90" spans="1:40" x14ac:dyDescent="0.25">
      <c r="A90" s="13">
        <v>15</v>
      </c>
      <c r="B90" s="13"/>
      <c r="C90" s="42" t="s">
        <v>223</v>
      </c>
      <c r="D90" s="705">
        <v>1975</v>
      </c>
      <c r="E90" s="705">
        <v>2</v>
      </c>
      <c r="F90" s="705">
        <v>12</v>
      </c>
      <c r="G90" s="349">
        <v>23</v>
      </c>
      <c r="H90" s="707">
        <v>529.83000000000004</v>
      </c>
      <c r="I90" s="707">
        <v>52.4</v>
      </c>
      <c r="J90" s="715"/>
      <c r="K90" s="715"/>
      <c r="L90" s="617">
        <v>5909.4</v>
      </c>
      <c r="M90" s="617">
        <v>5162.17</v>
      </c>
      <c r="N90" s="718"/>
      <c r="O90" s="718"/>
      <c r="P90" s="655">
        <f t="shared" si="28"/>
        <v>6090.0061180993962</v>
      </c>
      <c r="Q90" s="656"/>
      <c r="R90" s="657">
        <f t="shared" si="29"/>
        <v>82.30239945363958</v>
      </c>
      <c r="S90" s="657"/>
      <c r="T90" s="657"/>
      <c r="U90" s="658"/>
      <c r="V90" s="659"/>
      <c r="W90" s="660">
        <f t="shared" si="30"/>
        <v>4998.0896161778337</v>
      </c>
      <c r="X90" s="660">
        <f t="shared" si="31"/>
        <v>1009.6141024679225</v>
      </c>
      <c r="Y90" s="660">
        <f t="shared" si="32"/>
        <v>-180.60611809939655</v>
      </c>
      <c r="Z90" s="659">
        <f t="shared" si="33"/>
        <v>87.355230649473725</v>
      </c>
      <c r="AA90" s="659">
        <f t="shared" si="34"/>
        <v>1.9157107368084718</v>
      </c>
      <c r="AB90" s="672">
        <v>1.87</v>
      </c>
      <c r="AC90" s="562">
        <f t="shared" si="35"/>
        <v>747.22999999999956</v>
      </c>
      <c r="AD90" s="250"/>
      <c r="AE90" s="250"/>
      <c r="AF90" s="250"/>
      <c r="AG90" s="250"/>
      <c r="AH90" s="250"/>
      <c r="AI90" s="250"/>
      <c r="AJ90" s="250"/>
      <c r="AK90" s="250"/>
      <c r="AL90" s="250"/>
      <c r="AM90" s="250"/>
      <c r="AN90" s="250"/>
    </row>
    <row r="91" spans="1:40" x14ac:dyDescent="0.25">
      <c r="A91" s="13">
        <v>16</v>
      </c>
      <c r="B91" s="13"/>
      <c r="C91" s="42" t="s">
        <v>224</v>
      </c>
      <c r="D91" s="705">
        <v>1968</v>
      </c>
      <c r="E91" s="705">
        <v>2</v>
      </c>
      <c r="F91" s="705">
        <v>16</v>
      </c>
      <c r="G91" s="708">
        <v>35</v>
      </c>
      <c r="H91" s="707">
        <v>715.87</v>
      </c>
      <c r="I91" s="707">
        <v>76</v>
      </c>
      <c r="J91" s="715"/>
      <c r="K91" s="715"/>
      <c r="L91" s="617">
        <v>7989.18</v>
      </c>
      <c r="M91" s="617">
        <v>7296.67</v>
      </c>
      <c r="N91" s="718"/>
      <c r="O91" s="718"/>
      <c r="P91" s="655">
        <f t="shared" si="28"/>
        <v>8824.6647727393793</v>
      </c>
      <c r="Q91" s="656"/>
      <c r="R91" s="657">
        <f t="shared" si="29"/>
        <v>111.20136401652788</v>
      </c>
      <c r="S91" s="657"/>
      <c r="T91" s="657"/>
      <c r="U91" s="658"/>
      <c r="V91" s="659"/>
      <c r="W91" s="660">
        <f t="shared" si="30"/>
        <v>7249.137611250293</v>
      </c>
      <c r="X91" s="660">
        <f t="shared" si="31"/>
        <v>1464.3257974725593</v>
      </c>
      <c r="Y91" s="660">
        <f t="shared" si="32"/>
        <v>-835.48477273937897</v>
      </c>
      <c r="Z91" s="659">
        <f t="shared" si="33"/>
        <v>91.331901396638955</v>
      </c>
      <c r="AA91" s="659">
        <f t="shared" si="34"/>
        <v>2.0545314961141408</v>
      </c>
      <c r="AB91" s="672">
        <v>1.86</v>
      </c>
      <c r="AC91" s="562">
        <f t="shared" si="35"/>
        <v>692.51000000000022</v>
      </c>
      <c r="AD91" s="250"/>
      <c r="AE91" s="250"/>
      <c r="AF91" s="250"/>
      <c r="AG91" s="250"/>
      <c r="AH91" s="250"/>
      <c r="AI91" s="250"/>
      <c r="AJ91" s="250"/>
      <c r="AK91" s="250"/>
      <c r="AL91" s="250"/>
      <c r="AM91" s="250"/>
      <c r="AN91" s="250"/>
    </row>
    <row r="92" spans="1:40" x14ac:dyDescent="0.25">
      <c r="A92" s="13">
        <v>17</v>
      </c>
      <c r="B92" s="13"/>
      <c r="C92" s="45" t="s">
        <v>227</v>
      </c>
      <c r="D92" s="690"/>
      <c r="E92" s="690">
        <v>2</v>
      </c>
      <c r="F92" s="690">
        <v>10</v>
      </c>
      <c r="G92" s="690">
        <v>30</v>
      </c>
      <c r="H92" s="706">
        <v>637.20000000000005</v>
      </c>
      <c r="I92" s="706">
        <v>111</v>
      </c>
      <c r="J92" s="716"/>
      <c r="K92" s="716"/>
      <c r="L92" s="618">
        <v>15101.76</v>
      </c>
      <c r="M92" s="618">
        <v>14801.3</v>
      </c>
      <c r="N92" s="719"/>
      <c r="O92" s="719"/>
      <c r="P92" s="655">
        <f t="shared" si="28"/>
        <v>12825.223583122097</v>
      </c>
      <c r="Q92" s="662"/>
      <c r="R92" s="657">
        <f t="shared" si="29"/>
        <v>98.980973013719762</v>
      </c>
      <c r="S92" s="657"/>
      <c r="T92" s="657"/>
      <c r="U92" s="658"/>
      <c r="V92" s="659"/>
      <c r="W92" s="660">
        <f t="shared" si="30"/>
        <v>10587.556248010296</v>
      </c>
      <c r="X92" s="660">
        <f t="shared" si="31"/>
        <v>2138.6863620980798</v>
      </c>
      <c r="Y92" s="660">
        <f t="shared" si="32"/>
        <v>2276.5364168779033</v>
      </c>
      <c r="Z92" s="659">
        <f t="shared" si="33"/>
        <v>98.010430572330634</v>
      </c>
      <c r="AA92" s="659">
        <f t="shared" si="34"/>
        <v>3.3545782546354093</v>
      </c>
      <c r="AB92" s="672">
        <v>3.95</v>
      </c>
      <c r="AC92" s="562">
        <f t="shared" si="35"/>
        <v>300.46000000000095</v>
      </c>
      <c r="AD92" s="250"/>
      <c r="AE92" s="250"/>
      <c r="AF92" s="250"/>
      <c r="AG92" s="250"/>
      <c r="AH92" s="250"/>
      <c r="AI92" s="250"/>
      <c r="AJ92" s="250"/>
      <c r="AK92" s="250"/>
      <c r="AL92" s="250"/>
      <c r="AM92" s="250"/>
      <c r="AN92" s="250"/>
    </row>
    <row r="93" spans="1:40" x14ac:dyDescent="0.25">
      <c r="A93" s="13">
        <v>18</v>
      </c>
      <c r="B93" s="13"/>
      <c r="C93" s="45" t="s">
        <v>330</v>
      </c>
      <c r="D93" s="690">
        <v>2013</v>
      </c>
      <c r="E93" s="690">
        <v>3</v>
      </c>
      <c r="F93" s="690">
        <v>28</v>
      </c>
      <c r="G93" s="690"/>
      <c r="H93" s="706">
        <v>1588.6</v>
      </c>
      <c r="I93" s="706">
        <v>124.9</v>
      </c>
      <c r="J93" s="716"/>
      <c r="K93" s="716"/>
      <c r="L93" s="618">
        <v>36781.440000000002</v>
      </c>
      <c r="M93" s="618">
        <v>34368.49</v>
      </c>
      <c r="N93" s="719"/>
      <c r="O93" s="719"/>
      <c r="P93" s="655">
        <f t="shared" si="28"/>
        <v>14715.068155330489</v>
      </c>
      <c r="Q93" s="662">
        <v>148.41</v>
      </c>
      <c r="R93" s="657">
        <f t="shared" si="29"/>
        <v>246.76894810043188</v>
      </c>
      <c r="S93" s="657"/>
      <c r="T93" s="657"/>
      <c r="U93" s="658"/>
      <c r="V93" s="659"/>
      <c r="W93" s="660">
        <f t="shared" si="30"/>
        <v>11913.385363752128</v>
      </c>
      <c r="X93" s="660">
        <f t="shared" si="31"/>
        <v>2406.5038434779299</v>
      </c>
      <c r="Y93" s="660">
        <f t="shared" si="32"/>
        <v>22066.371844669513</v>
      </c>
      <c r="Z93" s="659">
        <f t="shared" si="33"/>
        <v>93.439762010405232</v>
      </c>
      <c r="AA93" s="659">
        <f t="shared" si="34"/>
        <v>1.5438193121123935</v>
      </c>
      <c r="AB93" s="672">
        <v>4.07</v>
      </c>
      <c r="AC93" s="562">
        <f t="shared" si="35"/>
        <v>2412.9500000000044</v>
      </c>
      <c r="AD93" s="250"/>
      <c r="AE93" s="250"/>
      <c r="AF93" s="250"/>
      <c r="AG93" s="250"/>
      <c r="AH93" s="250"/>
      <c r="AI93" s="250"/>
      <c r="AJ93" s="250"/>
      <c r="AK93" s="250"/>
      <c r="AL93" s="250"/>
      <c r="AM93" s="250"/>
      <c r="AN93" s="250"/>
    </row>
    <row r="94" spans="1:40" ht="15.75" thickBot="1" x14ac:dyDescent="0.3">
      <c r="A94" s="187">
        <v>19</v>
      </c>
      <c r="B94" s="580">
        <v>42648</v>
      </c>
      <c r="C94" s="188" t="s">
        <v>473</v>
      </c>
      <c r="D94" s="709"/>
      <c r="E94" s="709"/>
      <c r="F94" s="709"/>
      <c r="G94" s="709"/>
      <c r="H94" s="710">
        <v>1372.13</v>
      </c>
      <c r="I94" s="710">
        <v>152</v>
      </c>
      <c r="J94" s="717"/>
      <c r="K94" s="717"/>
      <c r="L94" s="619">
        <v>16531.060000000001</v>
      </c>
      <c r="M94" s="619">
        <v>5437.66</v>
      </c>
      <c r="N94" s="720"/>
      <c r="O94" s="720"/>
      <c r="P94" s="1279">
        <f t="shared" si="28"/>
        <v>17942.35988477357</v>
      </c>
      <c r="Q94" s="663">
        <v>302.29000000000002</v>
      </c>
      <c r="R94" s="1280">
        <f t="shared" si="29"/>
        <v>213.14306732786454</v>
      </c>
      <c r="S94" s="1280"/>
      <c r="T94" s="1280"/>
      <c r="U94" s="1281"/>
      <c r="V94" s="664"/>
      <c r="W94" s="660">
        <f t="shared" si="30"/>
        <v>14498.275222500586</v>
      </c>
      <c r="X94" s="660">
        <f t="shared" si="31"/>
        <v>2928.6515949451186</v>
      </c>
      <c r="Y94" s="660">
        <f t="shared" si="32"/>
        <v>-1411.2998847735689</v>
      </c>
      <c r="Z94" s="664">
        <f t="shared" si="33"/>
        <v>32.893595450019539</v>
      </c>
      <c r="AA94" s="664">
        <f t="shared" si="34"/>
        <v>2.1793804625865829</v>
      </c>
      <c r="AB94" s="777">
        <v>4.07</v>
      </c>
      <c r="AC94" s="1277">
        <f t="shared" si="35"/>
        <v>11093.400000000001</v>
      </c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</row>
    <row r="95" spans="1:40" ht="15.75" thickBot="1" x14ac:dyDescent="0.3">
      <c r="A95" s="195"/>
      <c r="B95" s="579"/>
      <c r="C95" s="196" t="s">
        <v>296</v>
      </c>
      <c r="D95" s="711"/>
      <c r="E95" s="711"/>
      <c r="F95" s="712"/>
      <c r="G95" s="712">
        <f t="shared" ref="G95:R95" si="36">SUM(G76:G94)</f>
        <v>1267</v>
      </c>
      <c r="H95" s="713">
        <f t="shared" si="36"/>
        <v>25682.680000000004</v>
      </c>
      <c r="I95" s="713">
        <f t="shared" si="36"/>
        <v>2889.8800000000006</v>
      </c>
      <c r="J95" s="722"/>
      <c r="K95" s="722"/>
      <c r="L95" s="1282">
        <f t="shared" si="36"/>
        <v>324996.02999999991</v>
      </c>
      <c r="M95" s="1282">
        <f t="shared" si="36"/>
        <v>304129.87</v>
      </c>
      <c r="N95" s="1283"/>
      <c r="O95" s="1284"/>
      <c r="P95" s="1285">
        <f t="shared" si="36"/>
        <v>337411.64309999999</v>
      </c>
      <c r="Q95" s="1286">
        <f t="shared" si="36"/>
        <v>2095.0100000000002</v>
      </c>
      <c r="R95" s="1286">
        <f t="shared" si="36"/>
        <v>3989.4800000000005</v>
      </c>
      <c r="S95" s="1286"/>
      <c r="T95" s="1286"/>
      <c r="U95" s="1286">
        <f>SUM(U76:U94)</f>
        <v>0</v>
      </c>
      <c r="V95" s="1287">
        <f>SUM(V76:V94)</f>
        <v>0</v>
      </c>
      <c r="W95" s="1288">
        <f>SUM(W76:W94)</f>
        <v>275646.55</v>
      </c>
      <c r="X95" s="1286">
        <f>SUM(X76:X94)</f>
        <v>55680.603099999993</v>
      </c>
      <c r="Y95" s="1289">
        <f>SUM(Y76:Y94)</f>
        <v>-12415.613099999955</v>
      </c>
      <c r="Z95" s="1290">
        <f>M95/L95*100</f>
        <v>93.579564648835884</v>
      </c>
      <c r="AA95" s="1291">
        <f t="shared" si="34"/>
        <v>2.1896186009404</v>
      </c>
      <c r="AB95" s="1292"/>
      <c r="AC95" s="1293">
        <f t="shared" si="35"/>
        <v>20866.159999999916</v>
      </c>
      <c r="AD95" s="250"/>
      <c r="AE95" s="250"/>
      <c r="AF95" s="250"/>
      <c r="AG95" s="250"/>
      <c r="AH95" s="250"/>
      <c r="AI95" s="250"/>
      <c r="AJ95" s="250"/>
      <c r="AK95" s="250"/>
      <c r="AL95" s="250"/>
      <c r="AM95" s="250"/>
      <c r="AN95" s="250"/>
    </row>
    <row r="96" spans="1:40" x14ac:dyDescent="0.25">
      <c r="A96" s="189"/>
      <c r="B96" s="189"/>
      <c r="C96" s="190"/>
      <c r="D96" s="191"/>
      <c r="E96" s="191"/>
      <c r="F96" s="409"/>
      <c r="G96" s="409"/>
      <c r="H96" s="410"/>
      <c r="I96" s="410"/>
      <c r="J96" s="410"/>
      <c r="K96" s="410"/>
      <c r="L96" s="193"/>
      <c r="M96" s="193"/>
      <c r="N96" s="193"/>
      <c r="O96" s="193"/>
      <c r="P96" s="411"/>
      <c r="Q96" s="723">
        <f>Q95+R95</f>
        <v>6084.4900000000007</v>
      </c>
      <c r="R96" s="724"/>
      <c r="S96" s="724"/>
      <c r="T96" s="724"/>
      <c r="U96" s="725"/>
      <c r="V96" s="725"/>
      <c r="W96" s="723">
        <f>W95+X95</f>
        <v>331327.1531</v>
      </c>
      <c r="X96" s="145"/>
      <c r="Y96" s="145"/>
      <c r="Z96" s="146"/>
      <c r="AA96" s="146"/>
      <c r="AB96" s="1278"/>
      <c r="AC96" s="1278"/>
      <c r="AD96" s="250"/>
      <c r="AE96" s="250"/>
      <c r="AF96" s="250"/>
      <c r="AG96" s="250"/>
      <c r="AH96" s="250"/>
      <c r="AI96" s="250"/>
      <c r="AJ96" s="250"/>
      <c r="AK96" s="250"/>
      <c r="AL96" s="250"/>
      <c r="AM96" s="250"/>
      <c r="AN96" s="250"/>
    </row>
    <row r="97" spans="1:40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247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50"/>
      <c r="AC97" s="250"/>
      <c r="AD97" s="250"/>
      <c r="AE97" s="250"/>
      <c r="AF97" s="250"/>
      <c r="AG97" s="250"/>
      <c r="AH97" s="250"/>
      <c r="AI97" s="250"/>
      <c r="AJ97" s="250"/>
      <c r="AK97" s="250"/>
      <c r="AL97" s="250"/>
      <c r="AM97" s="250"/>
      <c r="AN97" s="250"/>
    </row>
    <row r="98" spans="1:40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247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50"/>
      <c r="AC98" s="250"/>
      <c r="AD98" s="250"/>
      <c r="AE98" s="250"/>
      <c r="AF98" s="250"/>
      <c r="AG98" s="250"/>
      <c r="AH98" s="250"/>
      <c r="AI98" s="250"/>
      <c r="AJ98" s="250"/>
      <c r="AK98" s="250"/>
      <c r="AL98" s="250"/>
      <c r="AM98" s="250"/>
      <c r="AN98" s="250"/>
    </row>
    <row r="99" spans="1:40" x14ac:dyDescent="0.25">
      <c r="A99" s="247"/>
      <c r="B99" s="247"/>
      <c r="C99" s="247"/>
      <c r="D99" s="247"/>
      <c r="E99" s="596"/>
      <c r="F99" s="247"/>
      <c r="G99" s="247"/>
      <c r="H99" s="247"/>
      <c r="I99" s="247"/>
      <c r="J99" s="247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50"/>
      <c r="AC99" s="250"/>
      <c r="AD99" s="250"/>
      <c r="AE99" s="250"/>
      <c r="AF99" s="250"/>
      <c r="AG99" s="250"/>
      <c r="AH99" s="250"/>
      <c r="AI99" s="250"/>
      <c r="AJ99" s="250"/>
      <c r="AK99" s="250"/>
      <c r="AL99" s="250"/>
      <c r="AM99" s="250"/>
      <c r="AN99" s="250"/>
    </row>
    <row r="100" spans="1:40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50"/>
      <c r="AC100" s="250"/>
      <c r="AD100" s="250"/>
      <c r="AE100" s="250"/>
      <c r="AF100" s="250"/>
      <c r="AG100" s="250"/>
      <c r="AH100" s="250"/>
      <c r="AI100" s="250"/>
      <c r="AJ100" s="250"/>
      <c r="AK100" s="250"/>
      <c r="AL100" s="250"/>
      <c r="AM100" s="250"/>
      <c r="AN100" s="250"/>
    </row>
    <row r="101" spans="1:40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50"/>
      <c r="AC101" s="250"/>
      <c r="AD101" s="250"/>
      <c r="AE101" s="250"/>
      <c r="AF101" s="250"/>
      <c r="AG101" s="250"/>
      <c r="AH101" s="250"/>
      <c r="AI101" s="250"/>
      <c r="AJ101" s="250"/>
      <c r="AK101" s="250"/>
      <c r="AL101" s="250"/>
      <c r="AM101" s="250"/>
      <c r="AN101" s="250"/>
    </row>
    <row r="102" spans="1:40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247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50"/>
      <c r="AC102" s="250"/>
      <c r="AD102" s="250"/>
      <c r="AE102" s="250"/>
      <c r="AF102" s="250"/>
      <c r="AG102" s="250"/>
      <c r="AH102" s="250"/>
      <c r="AI102" s="250"/>
      <c r="AJ102" s="250"/>
      <c r="AK102" s="250"/>
      <c r="AL102" s="250"/>
      <c r="AM102" s="250"/>
      <c r="AN102" s="250"/>
    </row>
    <row r="103" spans="1:40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50"/>
      <c r="AC103" s="250"/>
      <c r="AD103" s="250"/>
      <c r="AE103" s="250"/>
      <c r="AF103" s="250"/>
      <c r="AG103" s="250"/>
      <c r="AH103" s="250"/>
      <c r="AI103" s="250"/>
      <c r="AJ103" s="250"/>
      <c r="AK103" s="250"/>
      <c r="AL103" s="250"/>
      <c r="AM103" s="250"/>
      <c r="AN103" s="250"/>
    </row>
    <row r="104" spans="1:40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50"/>
      <c r="AC104" s="250"/>
      <c r="AD104" s="250"/>
      <c r="AE104" s="250"/>
      <c r="AF104" s="250"/>
      <c r="AG104" s="250"/>
      <c r="AH104" s="250"/>
      <c r="AI104" s="250"/>
      <c r="AJ104" s="250"/>
      <c r="AK104" s="250"/>
      <c r="AL104" s="250"/>
      <c r="AM104" s="250"/>
      <c r="AN104" s="250"/>
    </row>
    <row r="105" spans="1:40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247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50"/>
      <c r="AL105" s="250"/>
      <c r="AM105" s="250"/>
      <c r="AN105" s="250"/>
    </row>
    <row r="106" spans="1:40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50"/>
      <c r="AL106" s="250"/>
      <c r="AM106" s="250"/>
      <c r="AN106" s="250"/>
    </row>
    <row r="107" spans="1:40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50"/>
      <c r="AL107" s="250"/>
      <c r="AM107" s="250"/>
      <c r="AN107" s="250"/>
    </row>
    <row r="108" spans="1:40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247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50"/>
      <c r="AC108" s="250"/>
      <c r="AD108" s="250"/>
      <c r="AE108" s="250"/>
      <c r="AF108" s="250"/>
      <c r="AG108" s="250"/>
      <c r="AH108" s="250"/>
      <c r="AI108" s="250"/>
      <c r="AJ108" s="250"/>
      <c r="AK108" s="250"/>
      <c r="AL108" s="250"/>
      <c r="AM108" s="250"/>
      <c r="AN108" s="250"/>
    </row>
    <row r="109" spans="1:40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50"/>
      <c r="AC109" s="250"/>
      <c r="AD109" s="250"/>
      <c r="AE109" s="250"/>
      <c r="AF109" s="250"/>
      <c r="AG109" s="250"/>
      <c r="AH109" s="250"/>
      <c r="AI109" s="250"/>
      <c r="AJ109" s="250"/>
      <c r="AK109" s="250"/>
      <c r="AL109" s="250"/>
      <c r="AM109" s="250"/>
      <c r="AN109" s="250"/>
    </row>
    <row r="110" spans="1:40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50"/>
      <c r="AC110" s="250"/>
      <c r="AD110" s="250"/>
      <c r="AE110" s="250"/>
      <c r="AF110" s="250"/>
      <c r="AG110" s="250"/>
      <c r="AH110" s="250"/>
      <c r="AI110" s="250"/>
      <c r="AJ110" s="250"/>
      <c r="AK110" s="250"/>
      <c r="AL110" s="250"/>
      <c r="AM110" s="250"/>
      <c r="AN110" s="250"/>
    </row>
    <row r="111" spans="1:40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50"/>
      <c r="AC111" s="250"/>
      <c r="AD111" s="250"/>
      <c r="AE111" s="250"/>
      <c r="AF111" s="250"/>
      <c r="AG111" s="250"/>
      <c r="AH111" s="250"/>
      <c r="AI111" s="250"/>
      <c r="AJ111" s="250"/>
      <c r="AK111" s="250"/>
      <c r="AL111" s="250"/>
      <c r="AM111" s="250"/>
      <c r="AN111" s="250"/>
    </row>
    <row r="112" spans="1:40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247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50"/>
      <c r="AC112" s="250"/>
      <c r="AD112" s="250"/>
      <c r="AE112" s="250"/>
      <c r="AF112" s="250"/>
      <c r="AG112" s="250"/>
      <c r="AH112" s="250"/>
      <c r="AI112" s="250"/>
      <c r="AJ112" s="250"/>
      <c r="AK112" s="250"/>
      <c r="AL112" s="250"/>
      <c r="AM112" s="250"/>
      <c r="AN112" s="250"/>
    </row>
    <row r="113" spans="1:40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247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50"/>
      <c r="AC113" s="250"/>
      <c r="AD113" s="250"/>
      <c r="AE113" s="250"/>
      <c r="AF113" s="250"/>
      <c r="AG113" s="250"/>
      <c r="AH113" s="250"/>
      <c r="AI113" s="250"/>
      <c r="AJ113" s="250"/>
      <c r="AK113" s="250"/>
      <c r="AL113" s="250"/>
      <c r="AM113" s="250"/>
      <c r="AN113" s="250"/>
    </row>
    <row r="114" spans="1:40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247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50"/>
      <c r="AC114" s="250"/>
      <c r="AD114" s="250"/>
      <c r="AE114" s="250"/>
      <c r="AF114" s="250"/>
      <c r="AG114" s="250"/>
      <c r="AH114" s="250"/>
      <c r="AI114" s="250"/>
      <c r="AJ114" s="250"/>
      <c r="AK114" s="250"/>
      <c r="AL114" s="250"/>
      <c r="AM114" s="250"/>
      <c r="AN114" s="250"/>
    </row>
    <row r="115" spans="1:40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50"/>
      <c r="AC115" s="250"/>
      <c r="AD115" s="250"/>
      <c r="AE115" s="250"/>
      <c r="AF115" s="250"/>
      <c r="AG115" s="250"/>
      <c r="AH115" s="250"/>
      <c r="AI115" s="250"/>
      <c r="AJ115" s="250"/>
      <c r="AK115" s="250"/>
      <c r="AL115" s="250"/>
      <c r="AM115" s="250"/>
      <c r="AN115" s="250"/>
    </row>
    <row r="116" spans="1:40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  <c r="AJ116" s="247"/>
      <c r="AK116" s="247"/>
    </row>
    <row r="117" spans="1:40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  <c r="AJ117" s="247"/>
      <c r="AK117" s="247"/>
    </row>
  </sheetData>
  <mergeCells count="82">
    <mergeCell ref="F7:F8"/>
    <mergeCell ref="A7:A8"/>
    <mergeCell ref="B7:B8"/>
    <mergeCell ref="C7:C8"/>
    <mergeCell ref="D7:D8"/>
    <mergeCell ref="E7:E8"/>
    <mergeCell ref="W7:W8"/>
    <mergeCell ref="G7:G8"/>
    <mergeCell ref="H7:H8"/>
    <mergeCell ref="I7:I8"/>
    <mergeCell ref="J7:K7"/>
    <mergeCell ref="L7:M7"/>
    <mergeCell ref="N7:O7"/>
    <mergeCell ref="P7:P8"/>
    <mergeCell ref="Q7:Q8"/>
    <mergeCell ref="R7:R8"/>
    <mergeCell ref="U7:U8"/>
    <mergeCell ref="V7:V8"/>
    <mergeCell ref="AJ7:AJ8"/>
    <mergeCell ref="X7:X8"/>
    <mergeCell ref="Y7:Y8"/>
    <mergeCell ref="Z7:Z8"/>
    <mergeCell ref="AB7:AB8"/>
    <mergeCell ref="AC7:AC8"/>
    <mergeCell ref="AD7:AD8"/>
    <mergeCell ref="U44:U45"/>
    <mergeCell ref="AK7:AK8"/>
    <mergeCell ref="AL7:AL8"/>
    <mergeCell ref="A44:A45"/>
    <mergeCell ref="B44:B45"/>
    <mergeCell ref="C44:C45"/>
    <mergeCell ref="D44:D45"/>
    <mergeCell ref="E44:E45"/>
    <mergeCell ref="F44:F45"/>
    <mergeCell ref="G44:G45"/>
    <mergeCell ref="H44:H45"/>
    <mergeCell ref="AE7:AE8"/>
    <mergeCell ref="AF7:AF8"/>
    <mergeCell ref="AG7:AG8"/>
    <mergeCell ref="AH7:AH8"/>
    <mergeCell ref="AI7:AI8"/>
    <mergeCell ref="I44:I45"/>
    <mergeCell ref="L44:M44"/>
    <mergeCell ref="P44:P45"/>
    <mergeCell ref="Q44:Q45"/>
    <mergeCell ref="R44:R45"/>
    <mergeCell ref="AH44:AH45"/>
    <mergeCell ref="V44:V45"/>
    <mergeCell ref="W44:W45"/>
    <mergeCell ref="X44:X45"/>
    <mergeCell ref="Y44:Y45"/>
    <mergeCell ref="Z44:Z45"/>
    <mergeCell ref="AB44:AB45"/>
    <mergeCell ref="U74:U75"/>
    <mergeCell ref="AJ44:AJ45"/>
    <mergeCell ref="AK44:AK45"/>
    <mergeCell ref="AL44:AL45"/>
    <mergeCell ref="A74:A75"/>
    <mergeCell ref="C74:C75"/>
    <mergeCell ref="D74:D75"/>
    <mergeCell ref="E74:E75"/>
    <mergeCell ref="F74:F75"/>
    <mergeCell ref="G74:G75"/>
    <mergeCell ref="H74:H75"/>
    <mergeCell ref="AC44:AC45"/>
    <mergeCell ref="AD44:AD45"/>
    <mergeCell ref="AE44:AE45"/>
    <mergeCell ref="AF44:AF45"/>
    <mergeCell ref="AG44:AG45"/>
    <mergeCell ref="I74:I75"/>
    <mergeCell ref="L74:M74"/>
    <mergeCell ref="P74:P75"/>
    <mergeCell ref="Q74:Q75"/>
    <mergeCell ref="R74:R75"/>
    <mergeCell ref="AC74:AC75"/>
    <mergeCell ref="V74:V75"/>
    <mergeCell ref="W74:W75"/>
    <mergeCell ref="X74:X75"/>
    <mergeCell ref="Y74:Y75"/>
    <mergeCell ref="Z74:Z75"/>
    <mergeCell ref="AB74:AB75"/>
    <mergeCell ref="AA74:AA75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0" r:id="rId1"/>
  <ignoredErrors>
    <ignoredError sqref="H67 W67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117"/>
  <sheetViews>
    <sheetView zoomScaleNormal="100" workbookViewId="0">
      <selection activeCell="M8" sqref="M8"/>
    </sheetView>
  </sheetViews>
  <sheetFormatPr defaultRowHeight="15" x14ac:dyDescent="0.25"/>
  <cols>
    <col min="1" max="1" width="3.5703125" customWidth="1"/>
    <col min="2" max="2" width="10.5703125" hidden="1" customWidth="1"/>
    <col min="3" max="3" width="21.7109375" customWidth="1"/>
    <col min="4" max="4" width="7.42578125" customWidth="1"/>
    <col min="5" max="5" width="8.42578125" customWidth="1"/>
    <col min="6" max="6" width="9.85546875" customWidth="1"/>
    <col min="7" max="7" width="10" customWidth="1"/>
    <col min="8" max="8" width="11.5703125" customWidth="1"/>
    <col min="9" max="19" width="11" customWidth="1"/>
    <col min="20" max="20" width="12.42578125" customWidth="1"/>
    <col min="21" max="25" width="11.5703125" customWidth="1"/>
    <col min="26" max="27" width="12.28515625" customWidth="1"/>
    <col min="28" max="28" width="12.42578125" customWidth="1"/>
    <col min="29" max="29" width="9.85546875" customWidth="1"/>
    <col min="30" max="30" width="11.28515625" customWidth="1"/>
    <col min="31" max="31" width="12.42578125" customWidth="1"/>
    <col min="32" max="32" width="11.85546875" customWidth="1"/>
    <col min="33" max="33" width="11.140625" customWidth="1"/>
    <col min="34" max="36" width="10.7109375" customWidth="1"/>
    <col min="37" max="38" width="10.85546875" customWidth="1"/>
    <col min="39" max="39" width="11.42578125" customWidth="1"/>
    <col min="40" max="40" width="10.140625" customWidth="1"/>
    <col min="41" max="41" width="11" customWidth="1"/>
    <col min="42" max="42" width="11.140625" customWidth="1"/>
    <col min="43" max="43" width="10.5703125" customWidth="1"/>
    <col min="44" max="44" width="11.140625" customWidth="1"/>
    <col min="45" max="45" width="13.42578125" customWidth="1"/>
    <col min="46" max="46" width="12.42578125" customWidth="1"/>
    <col min="47" max="47" width="12.5703125" customWidth="1"/>
    <col min="48" max="49" width="10.7109375" customWidth="1"/>
    <col min="50" max="50" width="9.42578125" customWidth="1"/>
    <col min="51" max="51" width="10.42578125" customWidth="1"/>
    <col min="52" max="52" width="11.28515625" customWidth="1"/>
    <col min="53" max="53" width="13.140625" customWidth="1"/>
    <col min="54" max="54" width="11.28515625" style="34" customWidth="1"/>
    <col min="55" max="55" width="9.140625" customWidth="1"/>
    <col min="56" max="56" width="10.7109375" customWidth="1"/>
    <col min="57" max="57" width="10.85546875" customWidth="1"/>
    <col min="58" max="59" width="9.140625" customWidth="1"/>
    <col min="60" max="60" width="11.7109375" customWidth="1"/>
    <col min="61" max="61" width="11.5703125" customWidth="1"/>
    <col min="62" max="62" width="11.85546875" customWidth="1"/>
    <col min="63" max="63" width="12" customWidth="1"/>
  </cols>
  <sheetData>
    <row r="2" spans="1:63" ht="15.75" x14ac:dyDescent="0.25">
      <c r="A2" s="10"/>
      <c r="B2" s="10"/>
      <c r="C2" s="11" t="s">
        <v>762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Q2" s="250"/>
      <c r="AR2" s="250"/>
      <c r="AS2" s="250"/>
    </row>
    <row r="3" spans="1:63" ht="15.75" x14ac:dyDescent="0.25">
      <c r="A3" s="10"/>
      <c r="B3" s="10"/>
      <c r="C3" s="11"/>
      <c r="D3" s="11" t="s">
        <v>600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Q3" s="250"/>
      <c r="AR3" s="250"/>
      <c r="AS3" s="250"/>
    </row>
    <row r="4" spans="1:63" ht="15.75" x14ac:dyDescent="0.2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Q4" s="250"/>
      <c r="AR4" s="250"/>
      <c r="AS4" s="250"/>
    </row>
    <row r="5" spans="1:63" ht="15.75" x14ac:dyDescent="0.2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Q5" s="250"/>
      <c r="AR5" s="250"/>
      <c r="AS5" s="250"/>
    </row>
    <row r="6" spans="1:63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Q6" s="167"/>
      <c r="AR6" s="167"/>
      <c r="AS6" s="167"/>
      <c r="AZ6" s="403"/>
      <c r="BA6" s="403"/>
      <c r="BB6" s="403"/>
      <c r="BC6" s="403"/>
    </row>
    <row r="7" spans="1:63" ht="27" customHeight="1" x14ac:dyDescent="0.25">
      <c r="A7" s="2017" t="s">
        <v>0</v>
      </c>
      <c r="B7" s="2020"/>
      <c r="C7" s="2017" t="s">
        <v>184</v>
      </c>
      <c r="D7" s="2017" t="s">
        <v>54</v>
      </c>
      <c r="E7" s="2017" t="s">
        <v>55</v>
      </c>
      <c r="F7" s="2017" t="s">
        <v>56</v>
      </c>
      <c r="G7" s="2017" t="s">
        <v>57</v>
      </c>
      <c r="H7" s="2017" t="s">
        <v>6</v>
      </c>
      <c r="I7" s="2020" t="s">
        <v>282</v>
      </c>
      <c r="J7" s="1991" t="s">
        <v>672</v>
      </c>
      <c r="K7" s="1992"/>
      <c r="L7" s="1991" t="s">
        <v>290</v>
      </c>
      <c r="M7" s="1992"/>
      <c r="N7" s="1991" t="s">
        <v>656</v>
      </c>
      <c r="O7" s="1992"/>
      <c r="P7" s="1991" t="s">
        <v>657</v>
      </c>
      <c r="Q7" s="1992"/>
      <c r="R7" s="2214" t="s">
        <v>658</v>
      </c>
      <c r="S7" s="2215"/>
      <c r="T7" s="1991" t="s">
        <v>310</v>
      </c>
      <c r="U7" s="1992"/>
      <c r="V7" s="2097" t="s">
        <v>593</v>
      </c>
      <c r="W7" s="2060"/>
      <c r="X7" s="2249" t="s">
        <v>284</v>
      </c>
      <c r="Y7" s="2250"/>
      <c r="Z7" s="1989" t="s">
        <v>745</v>
      </c>
      <c r="AA7" s="1990"/>
      <c r="AB7" s="1987" t="s">
        <v>457</v>
      </c>
      <c r="AC7" s="2009" t="s">
        <v>370</v>
      </c>
      <c r="AD7" s="1987" t="s">
        <v>333</v>
      </c>
      <c r="AE7" s="2003" t="s">
        <v>578</v>
      </c>
      <c r="AF7" s="2003" t="s">
        <v>586</v>
      </c>
      <c r="AG7" s="2172" t="s">
        <v>503</v>
      </c>
      <c r="AH7" s="2026" t="s">
        <v>316</v>
      </c>
      <c r="AI7" s="1997" t="s">
        <v>602</v>
      </c>
      <c r="AJ7" s="1997" t="s">
        <v>751</v>
      </c>
      <c r="AK7" s="2026" t="s">
        <v>369</v>
      </c>
      <c r="AL7" s="2003" t="s">
        <v>337</v>
      </c>
      <c r="AM7" s="1997" t="s">
        <v>321</v>
      </c>
      <c r="AN7" s="2170" t="s">
        <v>554</v>
      </c>
      <c r="AO7" s="2022" t="s">
        <v>688</v>
      </c>
      <c r="AP7" s="1997" t="s">
        <v>689</v>
      </c>
      <c r="AQ7" s="1997" t="s">
        <v>375</v>
      </c>
      <c r="AR7" s="1997" t="s">
        <v>606</v>
      </c>
      <c r="AS7" s="1997" t="s">
        <v>372</v>
      </c>
      <c r="AT7" s="1997" t="s">
        <v>314</v>
      </c>
      <c r="AU7" s="1997" t="s">
        <v>616</v>
      </c>
      <c r="AV7" s="2259" t="s">
        <v>691</v>
      </c>
      <c r="AW7" s="2026" t="s">
        <v>727</v>
      </c>
      <c r="AX7" s="2026" t="s">
        <v>690</v>
      </c>
      <c r="AY7" s="1997" t="s">
        <v>313</v>
      </c>
      <c r="AZ7" s="1997" t="s">
        <v>554</v>
      </c>
      <c r="BA7" s="2260" t="s">
        <v>692</v>
      </c>
      <c r="BB7" s="1987" t="s">
        <v>693</v>
      </c>
      <c r="BC7" s="1987" t="s">
        <v>656</v>
      </c>
      <c r="BD7" s="1987" t="s">
        <v>694</v>
      </c>
      <c r="BE7" s="1987" t="s">
        <v>735</v>
      </c>
      <c r="BF7" s="2005" t="s">
        <v>724</v>
      </c>
      <c r="BG7" s="2001" t="s">
        <v>182</v>
      </c>
      <c r="BH7" s="2001" t="s">
        <v>736</v>
      </c>
      <c r="BI7" s="2001" t="s">
        <v>725</v>
      </c>
      <c r="BJ7" s="1999" t="s">
        <v>715</v>
      </c>
      <c r="BK7" s="1999" t="s">
        <v>716</v>
      </c>
    </row>
    <row r="8" spans="1:63" ht="80.25" customHeight="1" x14ac:dyDescent="0.25">
      <c r="A8" s="2017"/>
      <c r="B8" s="2021"/>
      <c r="C8" s="2017"/>
      <c r="D8" s="2017"/>
      <c r="E8" s="2017"/>
      <c r="F8" s="2017"/>
      <c r="G8" s="2017"/>
      <c r="H8" s="2017"/>
      <c r="I8" s="2021"/>
      <c r="J8" s="150" t="s">
        <v>15</v>
      </c>
      <c r="K8" s="1349" t="s">
        <v>16</v>
      </c>
      <c r="L8" s="150" t="s">
        <v>15</v>
      </c>
      <c r="M8" s="1346" t="s">
        <v>16</v>
      </c>
      <c r="N8" s="150" t="s">
        <v>15</v>
      </c>
      <c r="O8" s="1346" t="s">
        <v>16</v>
      </c>
      <c r="P8" s="150" t="s">
        <v>15</v>
      </c>
      <c r="Q8" s="1346" t="s">
        <v>16</v>
      </c>
      <c r="R8" s="150" t="s">
        <v>15</v>
      </c>
      <c r="S8" s="1346" t="s">
        <v>16</v>
      </c>
      <c r="T8" s="150" t="s">
        <v>15</v>
      </c>
      <c r="U8" s="1346" t="s">
        <v>16</v>
      </c>
      <c r="V8" s="150" t="s">
        <v>15</v>
      </c>
      <c r="W8" s="1354" t="s">
        <v>16</v>
      </c>
      <c r="X8" s="51" t="s">
        <v>15</v>
      </c>
      <c r="Y8" s="1503" t="s">
        <v>16</v>
      </c>
      <c r="Z8" s="150" t="s">
        <v>15</v>
      </c>
      <c r="AA8" s="1346" t="s">
        <v>16</v>
      </c>
      <c r="AB8" s="1988"/>
      <c r="AC8" s="2009"/>
      <c r="AD8" s="1988"/>
      <c r="AE8" s="2004"/>
      <c r="AF8" s="2004"/>
      <c r="AG8" s="2172"/>
      <c r="AH8" s="2026"/>
      <c r="AI8" s="1998"/>
      <c r="AJ8" s="1998"/>
      <c r="AK8" s="2169"/>
      <c r="AL8" s="2004"/>
      <c r="AM8" s="1998"/>
      <c r="AN8" s="2171"/>
      <c r="AO8" s="2023"/>
      <c r="AP8" s="1998"/>
      <c r="AQ8" s="1998"/>
      <c r="AR8" s="1998"/>
      <c r="AS8" s="1998"/>
      <c r="AT8" s="1998"/>
      <c r="AU8" s="1998"/>
      <c r="AV8" s="2259"/>
      <c r="AW8" s="2026"/>
      <c r="AX8" s="2026"/>
      <c r="AY8" s="1998"/>
      <c r="AZ8" s="1998"/>
      <c r="BA8" s="2261"/>
      <c r="BB8" s="1988"/>
      <c r="BC8" s="1988"/>
      <c r="BD8" s="1988"/>
      <c r="BE8" s="1988"/>
      <c r="BF8" s="2006"/>
      <c r="BG8" s="2002"/>
      <c r="BH8" s="2002"/>
      <c r="BI8" s="2002"/>
      <c r="BJ8" s="2000"/>
      <c r="BK8" s="2000"/>
    </row>
    <row r="9" spans="1:63" s="124" customFormat="1" x14ac:dyDescent="0.25">
      <c r="A9" s="112">
        <v>1</v>
      </c>
      <c r="B9" s="602">
        <v>42401</v>
      </c>
      <c r="C9" s="422" t="s">
        <v>210</v>
      </c>
      <c r="D9" s="671">
        <v>1975</v>
      </c>
      <c r="E9" s="671">
        <v>2</v>
      </c>
      <c r="F9" s="671">
        <v>18</v>
      </c>
      <c r="G9" s="672">
        <v>60</v>
      </c>
      <c r="H9" s="673">
        <v>783.27</v>
      </c>
      <c r="I9" s="674">
        <v>85.12</v>
      </c>
      <c r="J9" s="674">
        <v>9667.3799999999992</v>
      </c>
      <c r="K9" s="674">
        <v>12015.34</v>
      </c>
      <c r="L9" s="626">
        <v>0</v>
      </c>
      <c r="M9" s="626">
        <v>0</v>
      </c>
      <c r="N9" s="626">
        <v>750.84</v>
      </c>
      <c r="O9" s="626">
        <v>925.97</v>
      </c>
      <c r="P9" s="626">
        <v>0</v>
      </c>
      <c r="Q9" s="626">
        <v>0</v>
      </c>
      <c r="R9" s="626">
        <v>8353.32</v>
      </c>
      <c r="S9" s="626">
        <v>10275.450000000001</v>
      </c>
      <c r="T9" s="620">
        <v>73678.59</v>
      </c>
      <c r="U9" s="620">
        <v>70955.149999999994</v>
      </c>
      <c r="V9" s="620">
        <v>2495.64</v>
      </c>
      <c r="W9" s="620">
        <v>2296.25</v>
      </c>
      <c r="X9" s="620">
        <v>15580.14</v>
      </c>
      <c r="Y9" s="620">
        <v>14998.03</v>
      </c>
      <c r="Z9" s="620">
        <f>J9+L9+N9+P9+R9+T9+V9+X9</f>
        <v>110525.91</v>
      </c>
      <c r="AA9" s="620">
        <f>K9+M9+O9+Q9+S9+U9+W9+Y9</f>
        <v>111466.19</v>
      </c>
      <c r="AB9" s="524">
        <f>AO9+AV9+BA9+BB9+BC9+BD9</f>
        <v>108686.16775778553</v>
      </c>
      <c r="AC9" s="622">
        <v>4131.75</v>
      </c>
      <c r="AD9" s="623">
        <f>38851.6/27715.26*H9</f>
        <v>1097.997735976498</v>
      </c>
      <c r="AE9" s="623">
        <f>14128.22/27715.26*H9</f>
        <v>399.28223222152707</v>
      </c>
      <c r="AF9" s="623">
        <f>1000/27715.26*H9</f>
        <v>28.261326070908229</v>
      </c>
      <c r="AG9" s="623">
        <f>72234.45/27715.26*H9</f>
        <v>2041.4413450027168</v>
      </c>
      <c r="AH9" s="623">
        <f>751628.14/27715.26*H9</f>
        <v>21242.007948610262</v>
      </c>
      <c r="AI9" s="623">
        <f>52200/27715.26*H9</f>
        <v>1475.2412209014096</v>
      </c>
      <c r="AJ9" s="623">
        <f>17280.17/27715.26*H9</f>
        <v>488.36051893072619</v>
      </c>
      <c r="AK9" s="623">
        <f>98656.87/27715.26*H9</f>
        <v>2788.1739722052039</v>
      </c>
      <c r="AL9" s="623">
        <v>3480.96</v>
      </c>
      <c r="AM9" s="623">
        <f>748254.57/27445.26*H9</f>
        <v>21354.702307207146</v>
      </c>
      <c r="AN9" s="623">
        <f>AM9*0.202</f>
        <v>4313.6498660558436</v>
      </c>
      <c r="AO9" s="623">
        <f>AN9+AM9+AL9+AK9+AJ9+AI9+AH9+AG9+AF9+AE9+AD9+AC9</f>
        <v>62841.828473182242</v>
      </c>
      <c r="AP9" s="623">
        <v>10551.33</v>
      </c>
      <c r="AQ9" s="624"/>
      <c r="AR9" s="624"/>
      <c r="AS9" s="624"/>
      <c r="AT9" s="624">
        <v>6986.1</v>
      </c>
      <c r="AU9" s="525"/>
      <c r="AV9" s="524">
        <f>AU9+AT9+AS9+AR9+AQ9+AP9</f>
        <v>17537.43</v>
      </c>
      <c r="AW9" s="524">
        <f>5569.52/25679.26*H9</f>
        <v>169.88176179531655</v>
      </c>
      <c r="AX9" s="525"/>
      <c r="AY9" s="622">
        <f>418026.06/25679.26*H9</f>
        <v>12750.650603490911</v>
      </c>
      <c r="AZ9" s="1095">
        <f>AY9*0.202</f>
        <v>2575.6314219051642</v>
      </c>
      <c r="BA9" s="1526">
        <f>AZ9+AY9+AX9+AW9</f>
        <v>15496.163787191392</v>
      </c>
      <c r="BB9" s="1526"/>
      <c r="BC9" s="1526">
        <f>35032.96/27715.26*H9</f>
        <v>990.07790578908509</v>
      </c>
      <c r="BD9" s="525">
        <f>418263.02/27715.26*H9</f>
        <v>11820.667591622812</v>
      </c>
      <c r="BE9" s="525">
        <f>Z9-AB9</f>
        <v>1839.7422422144737</v>
      </c>
      <c r="BF9" s="525">
        <f>AA9/Z9*100</f>
        <v>100.85073264721368</v>
      </c>
      <c r="BG9" s="525">
        <f>AB9/H9/9</f>
        <v>15.417724235546068</v>
      </c>
      <c r="BH9" s="525">
        <f>Z9-AA9</f>
        <v>-940.27999999999884</v>
      </c>
      <c r="BI9" s="525">
        <f>X9-Y9</f>
        <v>582.10999999999876</v>
      </c>
      <c r="BJ9" s="525">
        <v>13.6</v>
      </c>
      <c r="BK9" s="525">
        <v>2.88</v>
      </c>
    </row>
    <row r="10" spans="1:63" s="124" customFormat="1" x14ac:dyDescent="0.25">
      <c r="A10" s="13">
        <v>2</v>
      </c>
      <c r="B10" s="573"/>
      <c r="C10" s="422" t="s">
        <v>211</v>
      </c>
      <c r="D10" s="675">
        <v>1975</v>
      </c>
      <c r="E10" s="675">
        <v>2</v>
      </c>
      <c r="F10" s="675">
        <v>18</v>
      </c>
      <c r="G10" s="672">
        <v>52</v>
      </c>
      <c r="H10" s="676">
        <v>784.97</v>
      </c>
      <c r="I10" s="677">
        <v>85.12</v>
      </c>
      <c r="J10" s="677">
        <v>9702.24</v>
      </c>
      <c r="K10" s="677">
        <v>11457.65</v>
      </c>
      <c r="L10" s="678">
        <v>0</v>
      </c>
      <c r="M10" s="678">
        <v>0</v>
      </c>
      <c r="N10" s="678">
        <v>753.54</v>
      </c>
      <c r="O10" s="678">
        <v>889.89</v>
      </c>
      <c r="P10" s="678">
        <v>0</v>
      </c>
      <c r="Q10" s="678">
        <v>0</v>
      </c>
      <c r="R10" s="678">
        <v>8383.5</v>
      </c>
      <c r="S10" s="678">
        <v>9900.2999999999993</v>
      </c>
      <c r="T10" s="620">
        <v>74015.009999999995</v>
      </c>
      <c r="U10" s="620">
        <v>70430.47</v>
      </c>
      <c r="V10" s="620">
        <v>2495.7199999999998</v>
      </c>
      <c r="W10" s="620">
        <v>2377.36</v>
      </c>
      <c r="X10" s="620">
        <v>15566.01</v>
      </c>
      <c r="Y10" s="620">
        <v>14802.57</v>
      </c>
      <c r="Z10" s="620">
        <f t="shared" ref="Z10:Z32" si="0">J10+L10+N10+P10+R10+T10+V10+X10</f>
        <v>110916.01999999999</v>
      </c>
      <c r="AA10" s="620">
        <f t="shared" ref="AA10:AA32" si="1">K10+M10+O10+Q10+S10+U10+W10+Y10</f>
        <v>109858.23999999999</v>
      </c>
      <c r="AB10" s="524">
        <f t="shared" ref="AB10:AB32" si="2">AO10+AV10+BA10+BB10+BC10+BD10</f>
        <v>100284.14337039451</v>
      </c>
      <c r="AC10" s="622">
        <v>3328.42</v>
      </c>
      <c r="AD10" s="623">
        <f t="shared" ref="AD10:AD32" si="3">38851.6/27715.26*H10</f>
        <v>1100.3808173547714</v>
      </c>
      <c r="AE10" s="623">
        <f t="shared" ref="AE10:AE32" si="4">14128.22/27715.26*H10</f>
        <v>400.14882968444107</v>
      </c>
      <c r="AF10" s="623">
        <f t="shared" ref="AF10:AF32" si="5">1000/27715.26*H10</f>
        <v>28.322664120776786</v>
      </c>
      <c r="AG10" s="623">
        <f t="shared" ref="AG10:AG32" si="6">72234.45/27715.26*H10</f>
        <v>2045.8720652990446</v>
      </c>
      <c r="AH10" s="623">
        <f t="shared" ref="AH10:AH32" si="7">751628.14/27715.26*H10</f>
        <v>21288.111352944194</v>
      </c>
      <c r="AI10" s="623">
        <f t="shared" ref="AI10:AI32" si="8">52200/27715.26*H10</f>
        <v>1478.4430671045484</v>
      </c>
      <c r="AJ10" s="623">
        <f t="shared" ref="AJ10:AJ32" si="9">17280.17/27715.26*H10</f>
        <v>489.42045085992333</v>
      </c>
      <c r="AK10" s="623">
        <f t="shared" ref="AK10:AK32" si="10">98656.87/27715.26*H10</f>
        <v>2794.2253922171399</v>
      </c>
      <c r="AL10" s="623">
        <v>3480.96</v>
      </c>
      <c r="AM10" s="623">
        <f t="shared" ref="AM10:AM24" si="11">748254.57/27445.26*H10</f>
        <v>21401.050302052157</v>
      </c>
      <c r="AN10" s="623">
        <f t="shared" ref="AN10:AN24" si="12">AM10*0.202</f>
        <v>4323.0121610145361</v>
      </c>
      <c r="AO10" s="623">
        <f t="shared" ref="AO10:AO32" si="13">AN10+AM10+AL10+AK10+AJ10+AI10+AH10+AG10+AF10+AE10+AD10+AC10</f>
        <v>62158.367102651537</v>
      </c>
      <c r="AP10" s="623">
        <v>2421.33</v>
      </c>
      <c r="AQ10" s="624"/>
      <c r="AR10" s="624"/>
      <c r="AS10" s="624"/>
      <c r="AT10" s="624">
        <v>6986.1</v>
      </c>
      <c r="AU10" s="525"/>
      <c r="AV10" s="524">
        <f t="shared" ref="AV10:AV32" si="14">AU10+AT10+AS10+AR10+AQ10+AP10</f>
        <v>9407.43</v>
      </c>
      <c r="AW10" s="524">
        <f t="shared" ref="AW10:AW24" si="15">5569.52/25679.26*H10</f>
        <v>170.2504711740136</v>
      </c>
      <c r="AX10" s="525">
        <v>350</v>
      </c>
      <c r="AY10" s="622">
        <f t="shared" ref="AY10:AY24" si="16">418026.06/25679.26*H10</f>
        <v>12778.324465666068</v>
      </c>
      <c r="AZ10" s="1095">
        <f t="shared" ref="AZ10:AZ24" si="17">AY10*0.202</f>
        <v>2581.2215420645457</v>
      </c>
      <c r="BA10" s="1526">
        <f t="shared" ref="BA10:BA32" si="18">AZ10+AY10+AX10+AW10</f>
        <v>15879.796478904627</v>
      </c>
      <c r="BB10" s="1526"/>
      <c r="BC10" s="1526">
        <f t="shared" ref="BC10:BC32" si="19">35032.96/27715.26*H10</f>
        <v>992.22675923660836</v>
      </c>
      <c r="BD10" s="525">
        <f t="shared" ref="BD10:BD32" si="20">418263.02/27715.26*H10</f>
        <v>11846.323029601745</v>
      </c>
      <c r="BE10" s="525">
        <f t="shared" ref="BE10:BE32" si="21">Z10-AB10</f>
        <v>10631.876629605482</v>
      </c>
      <c r="BF10" s="525">
        <f t="shared" ref="BF10:BF33" si="22">AA10/Z10*100</f>
        <v>99.046323515755432</v>
      </c>
      <c r="BG10" s="525">
        <f t="shared" ref="BG10:BG33" si="23">AB10/H10/9</f>
        <v>14.195042608902888</v>
      </c>
      <c r="BH10" s="525">
        <f t="shared" ref="BH10:BH32" si="24">Z10-AA10</f>
        <v>1057.7799999999988</v>
      </c>
      <c r="BI10" s="525">
        <f t="shared" ref="BI10:BI32" si="25">X10-Y10</f>
        <v>763.44000000000051</v>
      </c>
      <c r="BJ10" s="525">
        <v>13.61</v>
      </c>
      <c r="BK10" s="525">
        <v>2.87</v>
      </c>
    </row>
    <row r="11" spans="1:63" s="124" customFormat="1" x14ac:dyDescent="0.25">
      <c r="A11" s="13">
        <v>3</v>
      </c>
      <c r="B11" s="573"/>
      <c r="C11" s="422" t="s">
        <v>212</v>
      </c>
      <c r="D11" s="675">
        <v>1975</v>
      </c>
      <c r="E11" s="675">
        <v>2</v>
      </c>
      <c r="F11" s="675">
        <v>18</v>
      </c>
      <c r="G11" s="679">
        <v>58</v>
      </c>
      <c r="H11" s="677">
        <v>788.23</v>
      </c>
      <c r="I11" s="677">
        <v>86.42</v>
      </c>
      <c r="J11" s="677">
        <v>9742.44</v>
      </c>
      <c r="K11" s="677">
        <v>12049.98</v>
      </c>
      <c r="L11" s="678">
        <v>0</v>
      </c>
      <c r="M11" s="678">
        <v>0</v>
      </c>
      <c r="N11" s="678">
        <v>756.72</v>
      </c>
      <c r="O11" s="678">
        <v>935.99</v>
      </c>
      <c r="P11" s="678">
        <v>0</v>
      </c>
      <c r="Q11" s="678">
        <v>0</v>
      </c>
      <c r="R11" s="678">
        <v>8418.36</v>
      </c>
      <c r="S11" s="678">
        <v>10324.31</v>
      </c>
      <c r="T11" s="620">
        <v>74322.27</v>
      </c>
      <c r="U11" s="620">
        <v>72299.69</v>
      </c>
      <c r="V11" s="620">
        <v>2533.64</v>
      </c>
      <c r="W11" s="620">
        <v>2349.29</v>
      </c>
      <c r="X11" s="620">
        <v>15630.78</v>
      </c>
      <c r="Y11" s="620">
        <v>15194.3</v>
      </c>
      <c r="Z11" s="620">
        <f t="shared" si="0"/>
        <v>111404.21</v>
      </c>
      <c r="AA11" s="620">
        <f t="shared" si="1"/>
        <v>113153.56</v>
      </c>
      <c r="AB11" s="524">
        <f t="shared" si="2"/>
        <v>110843.93354516232</v>
      </c>
      <c r="AC11" s="622">
        <v>5896.98</v>
      </c>
      <c r="AD11" s="623">
        <f t="shared" si="3"/>
        <v>1104.9507263507542</v>
      </c>
      <c r="AE11" s="623">
        <f t="shared" si="4"/>
        <v>401.8106577603819</v>
      </c>
      <c r="AF11" s="623">
        <f t="shared" si="5"/>
        <v>28.440288851701194</v>
      </c>
      <c r="AG11" s="623">
        <f t="shared" si="6"/>
        <v>2054.368623043767</v>
      </c>
      <c r="AH11" s="623">
        <f t="shared" si="7"/>
        <v>21376.521410666905</v>
      </c>
      <c r="AI11" s="623">
        <f t="shared" si="8"/>
        <v>1484.5830780588024</v>
      </c>
      <c r="AJ11" s="623">
        <f t="shared" si="9"/>
        <v>491.45302620650136</v>
      </c>
      <c r="AK11" s="623">
        <f t="shared" si="10"/>
        <v>2805.8298800047342</v>
      </c>
      <c r="AL11" s="623">
        <v>3527.58</v>
      </c>
      <c r="AM11" s="623">
        <f t="shared" si="11"/>
        <v>21489.929398049062</v>
      </c>
      <c r="AN11" s="623">
        <f t="shared" si="12"/>
        <v>4340.965738405911</v>
      </c>
      <c r="AO11" s="623">
        <f t="shared" si="13"/>
        <v>65003.412827398526</v>
      </c>
      <c r="AP11" s="623">
        <v>12696.96</v>
      </c>
      <c r="AQ11" s="624"/>
      <c r="AR11" s="624"/>
      <c r="AS11" s="624"/>
      <c r="AT11" s="624">
        <v>4657.3999999999996</v>
      </c>
      <c r="AU11" s="525"/>
      <c r="AV11" s="524">
        <f t="shared" si="14"/>
        <v>17354.36</v>
      </c>
      <c r="AW11" s="524">
        <f t="shared" si="15"/>
        <v>170.95752562963264</v>
      </c>
      <c r="AX11" s="525"/>
      <c r="AY11" s="622">
        <f t="shared" si="16"/>
        <v>12831.393166072545</v>
      </c>
      <c r="AZ11" s="1095">
        <f t="shared" si="17"/>
        <v>2591.9414195466543</v>
      </c>
      <c r="BA11" s="1526">
        <f t="shared" si="18"/>
        <v>15594.292111248831</v>
      </c>
      <c r="BB11" s="1526"/>
      <c r="BC11" s="1526">
        <f t="shared" si="19"/>
        <v>996.34750173009388</v>
      </c>
      <c r="BD11" s="525">
        <f t="shared" si="20"/>
        <v>11895.521104784875</v>
      </c>
      <c r="BE11" s="525">
        <f t="shared" si="21"/>
        <v>560.2764548376872</v>
      </c>
      <c r="BF11" s="525">
        <f t="shared" si="22"/>
        <v>101.57027279310181</v>
      </c>
      <c r="BG11" s="525">
        <f t="shared" si="23"/>
        <v>15.624871694973734</v>
      </c>
      <c r="BH11" s="525">
        <f t="shared" si="24"/>
        <v>-1749.3499999999913</v>
      </c>
      <c r="BI11" s="525">
        <f t="shared" si="25"/>
        <v>436.48000000000138</v>
      </c>
      <c r="BJ11" s="525">
        <v>13.61</v>
      </c>
      <c r="BK11" s="525">
        <v>2.87</v>
      </c>
    </row>
    <row r="12" spans="1:63" s="124" customFormat="1" x14ac:dyDescent="0.25">
      <c r="A12" s="13">
        <v>4</v>
      </c>
      <c r="B12" s="573"/>
      <c r="C12" s="422" t="s">
        <v>213</v>
      </c>
      <c r="D12" s="675">
        <v>1975</v>
      </c>
      <c r="E12" s="675">
        <v>2</v>
      </c>
      <c r="F12" s="675">
        <v>18</v>
      </c>
      <c r="G12" s="680">
        <v>42</v>
      </c>
      <c r="H12" s="677">
        <v>789.57</v>
      </c>
      <c r="I12" s="677">
        <v>86.42</v>
      </c>
      <c r="J12" s="677">
        <v>8764.3799999999992</v>
      </c>
      <c r="K12" s="677">
        <v>10526.36</v>
      </c>
      <c r="L12" s="678">
        <v>0</v>
      </c>
      <c r="M12" s="678">
        <v>0</v>
      </c>
      <c r="N12" s="678">
        <v>758.04</v>
      </c>
      <c r="O12" s="678">
        <v>2307.92</v>
      </c>
      <c r="P12" s="678">
        <v>0</v>
      </c>
      <c r="Q12" s="678">
        <v>0</v>
      </c>
      <c r="R12" s="678">
        <v>8432.64</v>
      </c>
      <c r="S12" s="678">
        <v>10104.39</v>
      </c>
      <c r="T12" s="620">
        <v>73998.512000000002</v>
      </c>
      <c r="U12" s="620">
        <v>67045.320000000007</v>
      </c>
      <c r="V12" s="620">
        <v>2533.7600000000002</v>
      </c>
      <c r="W12" s="620">
        <v>2169.2600000000002</v>
      </c>
      <c r="X12" s="620">
        <v>20489.669999999998</v>
      </c>
      <c r="Y12" s="620">
        <v>20325.78</v>
      </c>
      <c r="Z12" s="620">
        <f t="shared" si="0"/>
        <v>114977.00199999999</v>
      </c>
      <c r="AA12" s="620">
        <f t="shared" si="1"/>
        <v>112479.03</v>
      </c>
      <c r="AB12" s="524">
        <f t="shared" si="2"/>
        <v>103327.84502804233</v>
      </c>
      <c r="AC12" s="622">
        <v>289.33999999999997</v>
      </c>
      <c r="AD12" s="623">
        <f t="shared" si="3"/>
        <v>1106.8291552018636</v>
      </c>
      <c r="AE12" s="623">
        <f t="shared" si="4"/>
        <v>402.49374046644346</v>
      </c>
      <c r="AF12" s="623">
        <f t="shared" si="5"/>
        <v>28.488637667479939</v>
      </c>
      <c r="AG12" s="623">
        <f t="shared" si="6"/>
        <v>2057.8610731596959</v>
      </c>
      <c r="AH12" s="623">
        <f t="shared" si="7"/>
        <v>21412.861741141885</v>
      </c>
      <c r="AI12" s="623">
        <f t="shared" si="8"/>
        <v>1487.1068862424529</v>
      </c>
      <c r="AJ12" s="623">
        <f t="shared" si="9"/>
        <v>492.28850196245679</v>
      </c>
      <c r="AK12" s="623">
        <f t="shared" si="10"/>
        <v>2810.5998228376716</v>
      </c>
      <c r="AL12" s="623">
        <v>3527.58</v>
      </c>
      <c r="AM12" s="623">
        <f t="shared" si="11"/>
        <v>21526.462523397484</v>
      </c>
      <c r="AN12" s="623">
        <f t="shared" si="12"/>
        <v>4348.3454297262924</v>
      </c>
      <c r="AO12" s="623">
        <f t="shared" si="13"/>
        <v>59490.257511803713</v>
      </c>
      <c r="AP12" s="623">
        <v>4823.8500000000004</v>
      </c>
      <c r="AQ12" s="624"/>
      <c r="AR12" s="624"/>
      <c r="AS12" s="624"/>
      <c r="AT12" s="624">
        <v>10479.15</v>
      </c>
      <c r="AU12" s="525"/>
      <c r="AV12" s="524">
        <f t="shared" si="14"/>
        <v>15303</v>
      </c>
      <c r="AW12" s="524">
        <f t="shared" si="15"/>
        <v>171.24815537519385</v>
      </c>
      <c r="AX12" s="525"/>
      <c r="AY12" s="622">
        <f t="shared" si="16"/>
        <v>12853.206680963551</v>
      </c>
      <c r="AZ12" s="1095">
        <f t="shared" si="17"/>
        <v>2596.3477495546376</v>
      </c>
      <c r="BA12" s="1526">
        <f t="shared" si="18"/>
        <v>15620.802585893382</v>
      </c>
      <c r="BB12" s="1526"/>
      <c r="BC12" s="1526">
        <f t="shared" si="19"/>
        <v>998.04130385931796</v>
      </c>
      <c r="BD12" s="525">
        <f t="shared" si="20"/>
        <v>11915.743626485917</v>
      </c>
      <c r="BE12" s="525">
        <f t="shared" si="21"/>
        <v>11649.156971957666</v>
      </c>
      <c r="BF12" s="525">
        <f t="shared" si="22"/>
        <v>97.827415955757829</v>
      </c>
      <c r="BG12" s="525">
        <f t="shared" si="23"/>
        <v>14.540663487445673</v>
      </c>
      <c r="BH12" s="525">
        <f t="shared" si="24"/>
        <v>2497.9719999999943</v>
      </c>
      <c r="BI12" s="525">
        <f t="shared" si="25"/>
        <v>163.88999999999942</v>
      </c>
      <c r="BJ12" s="525">
        <v>13.4</v>
      </c>
      <c r="BK12" s="525">
        <v>3.55</v>
      </c>
    </row>
    <row r="13" spans="1:63" s="124" customFormat="1" x14ac:dyDescent="0.25">
      <c r="A13" s="13">
        <v>5</v>
      </c>
      <c r="B13" s="573"/>
      <c r="C13" s="422" t="s">
        <v>214</v>
      </c>
      <c r="D13" s="675">
        <v>1975</v>
      </c>
      <c r="E13" s="675">
        <v>5</v>
      </c>
      <c r="F13" s="675">
        <v>90</v>
      </c>
      <c r="G13" s="679">
        <v>268</v>
      </c>
      <c r="H13" s="677">
        <v>4496.09</v>
      </c>
      <c r="I13" s="677">
        <v>423.6</v>
      </c>
      <c r="J13" s="677">
        <v>49087.68</v>
      </c>
      <c r="K13" s="677">
        <v>57866.69</v>
      </c>
      <c r="L13" s="678">
        <v>0</v>
      </c>
      <c r="M13" s="678">
        <v>0</v>
      </c>
      <c r="N13" s="678">
        <v>4315.38</v>
      </c>
      <c r="O13" s="678">
        <v>5087.1899999999996</v>
      </c>
      <c r="P13" s="678">
        <v>0</v>
      </c>
      <c r="Q13" s="678">
        <v>0</v>
      </c>
      <c r="R13" s="678">
        <v>48008.82</v>
      </c>
      <c r="S13" s="678">
        <v>56269.120000000003</v>
      </c>
      <c r="T13" s="620">
        <v>419133.39</v>
      </c>
      <c r="U13" s="620">
        <v>387381.32</v>
      </c>
      <c r="V13" s="620">
        <v>7899.39</v>
      </c>
      <c r="W13" s="620">
        <v>7532.36</v>
      </c>
      <c r="X13" s="620">
        <v>111391.32</v>
      </c>
      <c r="Y13" s="620">
        <v>103913.82</v>
      </c>
      <c r="Z13" s="620">
        <f t="shared" si="0"/>
        <v>639835.98</v>
      </c>
      <c r="AA13" s="620">
        <f t="shared" si="1"/>
        <v>618050.5</v>
      </c>
      <c r="AB13" s="524">
        <f t="shared" si="2"/>
        <v>519223.71870300407</v>
      </c>
      <c r="AC13" s="622">
        <v>10285.459999999999</v>
      </c>
      <c r="AD13" s="623">
        <f t="shared" si="3"/>
        <v>6302.6755023766691</v>
      </c>
      <c r="AE13" s="623">
        <f t="shared" si="4"/>
        <v>2291.9412864898259</v>
      </c>
      <c r="AF13" s="623">
        <f t="shared" si="5"/>
        <v>162.22434860795099</v>
      </c>
      <c r="AG13" s="623">
        <f t="shared" si="6"/>
        <v>11718.186598303606</v>
      </c>
      <c r="AH13" s="623">
        <f t="shared" si="7"/>
        <v>121932.38540690581</v>
      </c>
      <c r="AI13" s="623">
        <f t="shared" si="8"/>
        <v>8468.1109973350431</v>
      </c>
      <c r="AJ13" s="623">
        <f t="shared" si="9"/>
        <v>2803.2643220846567</v>
      </c>
      <c r="AK13" s="623">
        <f t="shared" si="10"/>
        <v>16004.546471449303</v>
      </c>
      <c r="AL13" s="623">
        <v>4516.12</v>
      </c>
      <c r="AM13" s="623">
        <f t="shared" si="11"/>
        <v>122579.26831923983</v>
      </c>
      <c r="AN13" s="623">
        <f t="shared" si="12"/>
        <v>24761.012200486446</v>
      </c>
      <c r="AO13" s="623">
        <f t="shared" si="13"/>
        <v>331825.19545327919</v>
      </c>
      <c r="AP13" s="623">
        <v>8383.7999999999993</v>
      </c>
      <c r="AQ13" s="624"/>
      <c r="AR13" s="624"/>
      <c r="AS13" s="624"/>
      <c r="AT13" s="624">
        <v>16300.9</v>
      </c>
      <c r="AU13" s="525"/>
      <c r="AV13" s="524">
        <f t="shared" si="14"/>
        <v>24684.699999999997</v>
      </c>
      <c r="AW13" s="524">
        <f t="shared" si="15"/>
        <v>975.14738262706953</v>
      </c>
      <c r="AX13" s="525">
        <v>227.82</v>
      </c>
      <c r="AY13" s="622">
        <f t="shared" si="16"/>
        <v>73190.691168881036</v>
      </c>
      <c r="AZ13" s="1095">
        <f t="shared" si="17"/>
        <v>14784.51961611397</v>
      </c>
      <c r="BA13" s="1526">
        <f t="shared" si="18"/>
        <v>89178.178167622085</v>
      </c>
      <c r="BB13" s="1526"/>
      <c r="BC13" s="1526">
        <f t="shared" si="19"/>
        <v>5683.1991158084029</v>
      </c>
      <c r="BD13" s="525">
        <f t="shared" si="20"/>
        <v>67852.445966294399</v>
      </c>
      <c r="BE13" s="525">
        <f t="shared" si="21"/>
        <v>120612.26129699592</v>
      </c>
      <c r="BF13" s="525">
        <f t="shared" si="22"/>
        <v>96.595146149799206</v>
      </c>
      <c r="BG13" s="525">
        <f t="shared" si="23"/>
        <v>12.831487870646225</v>
      </c>
      <c r="BH13" s="525">
        <f t="shared" si="24"/>
        <v>21785.479999999981</v>
      </c>
      <c r="BI13" s="525">
        <f t="shared" si="25"/>
        <v>7477.5</v>
      </c>
      <c r="BJ13" s="525">
        <v>13.32</v>
      </c>
      <c r="BK13" s="525">
        <v>3.42</v>
      </c>
    </row>
    <row r="14" spans="1:63" s="124" customFormat="1" x14ac:dyDescent="0.25">
      <c r="A14" s="13">
        <v>6</v>
      </c>
      <c r="B14" s="573"/>
      <c r="C14" s="422" t="s">
        <v>215</v>
      </c>
      <c r="D14" s="675">
        <v>1963</v>
      </c>
      <c r="E14" s="675">
        <v>2</v>
      </c>
      <c r="F14" s="675">
        <v>12</v>
      </c>
      <c r="G14" s="680">
        <v>39</v>
      </c>
      <c r="H14" s="677">
        <v>515.1</v>
      </c>
      <c r="I14" s="677">
        <v>49.6</v>
      </c>
      <c r="J14" s="677">
        <v>6397.5</v>
      </c>
      <c r="K14" s="677">
        <v>6860.01</v>
      </c>
      <c r="L14" s="678">
        <v>0</v>
      </c>
      <c r="M14" s="678">
        <v>0</v>
      </c>
      <c r="N14" s="678">
        <v>494.58</v>
      </c>
      <c r="O14" s="678">
        <v>530.35</v>
      </c>
      <c r="P14" s="678">
        <v>0</v>
      </c>
      <c r="Q14" s="678">
        <v>0</v>
      </c>
      <c r="R14" s="678">
        <v>5501.4</v>
      </c>
      <c r="S14" s="678">
        <v>5986.88</v>
      </c>
      <c r="T14" s="620">
        <v>48676.95</v>
      </c>
      <c r="U14" s="620">
        <v>39317.29</v>
      </c>
      <c r="V14" s="620">
        <v>1454.12</v>
      </c>
      <c r="W14" s="620">
        <v>1146.81</v>
      </c>
      <c r="X14" s="620">
        <v>10075.23</v>
      </c>
      <c r="Y14" s="620">
        <v>8121.31</v>
      </c>
      <c r="Z14" s="620">
        <f t="shared" si="0"/>
        <v>72599.78</v>
      </c>
      <c r="AA14" s="620">
        <f t="shared" si="1"/>
        <v>61962.649999999994</v>
      </c>
      <c r="AB14" s="524">
        <f t="shared" si="2"/>
        <v>59939.710620520804</v>
      </c>
      <c r="AC14" s="622">
        <v>2462.2399999999998</v>
      </c>
      <c r="AD14" s="623">
        <f t="shared" si="3"/>
        <v>722.07365761677863</v>
      </c>
      <c r="AE14" s="623">
        <f t="shared" si="4"/>
        <v>262.5790312629216</v>
      </c>
      <c r="AF14" s="623">
        <f t="shared" si="5"/>
        <v>18.58542911017252</v>
      </c>
      <c r="AG14" s="623">
        <f t="shared" si="6"/>
        <v>1342.5082497873013</v>
      </c>
      <c r="AH14" s="623">
        <f t="shared" si="7"/>
        <v>13969.331513180827</v>
      </c>
      <c r="AI14" s="623">
        <f t="shared" si="8"/>
        <v>970.15939955100555</v>
      </c>
      <c r="AJ14" s="623">
        <f t="shared" si="9"/>
        <v>321.15937454672985</v>
      </c>
      <c r="AK14" s="623">
        <f t="shared" si="10"/>
        <v>1833.580263616506</v>
      </c>
      <c r="AL14" s="623">
        <v>2025.66</v>
      </c>
      <c r="AM14" s="623">
        <f t="shared" si="11"/>
        <v>14043.442438038481</v>
      </c>
      <c r="AN14" s="623">
        <f t="shared" si="12"/>
        <v>2836.7753724837735</v>
      </c>
      <c r="AO14" s="623">
        <f t="shared" si="13"/>
        <v>40808.094729194498</v>
      </c>
      <c r="AP14" s="623">
        <v>516.21</v>
      </c>
      <c r="AQ14" s="624"/>
      <c r="AR14" s="624"/>
      <c r="AS14" s="624"/>
      <c r="AT14" s="624"/>
      <c r="AU14" s="525"/>
      <c r="AV14" s="524">
        <f t="shared" si="14"/>
        <v>516.21</v>
      </c>
      <c r="AW14" s="524">
        <f t="shared" si="15"/>
        <v>111.71894174520607</v>
      </c>
      <c r="AX14" s="525"/>
      <c r="AY14" s="622">
        <f t="shared" si="16"/>
        <v>8385.1802390723115</v>
      </c>
      <c r="AZ14" s="1095">
        <f t="shared" si="17"/>
        <v>1693.8064082926071</v>
      </c>
      <c r="BA14" s="1526">
        <f t="shared" si="18"/>
        <v>10190.705589110124</v>
      </c>
      <c r="BB14" s="1526"/>
      <c r="BC14" s="1526">
        <f t="shared" si="19"/>
        <v>651.10259459950942</v>
      </c>
      <c r="BD14" s="525">
        <f t="shared" si="20"/>
        <v>7773.5977076166719</v>
      </c>
      <c r="BE14" s="525">
        <f t="shared" si="21"/>
        <v>12660.069379479195</v>
      </c>
      <c r="BF14" s="525">
        <f t="shared" si="22"/>
        <v>85.348261385916032</v>
      </c>
      <c r="BG14" s="525">
        <f t="shared" si="23"/>
        <v>12.929465825518411</v>
      </c>
      <c r="BH14" s="525">
        <f t="shared" si="24"/>
        <v>10637.130000000005</v>
      </c>
      <c r="BI14" s="525">
        <f t="shared" si="25"/>
        <v>1953.9199999999992</v>
      </c>
      <c r="BJ14" s="525">
        <v>13.64</v>
      </c>
      <c r="BK14" s="525">
        <v>2.84</v>
      </c>
    </row>
    <row r="15" spans="1:63" s="124" customFormat="1" x14ac:dyDescent="0.25">
      <c r="A15" s="13">
        <v>7</v>
      </c>
      <c r="B15" s="573"/>
      <c r="C15" s="422" t="s">
        <v>216</v>
      </c>
      <c r="D15" s="675">
        <v>1963</v>
      </c>
      <c r="E15" s="675">
        <v>2</v>
      </c>
      <c r="F15" s="675">
        <v>16</v>
      </c>
      <c r="G15" s="679">
        <v>43</v>
      </c>
      <c r="H15" s="677">
        <v>624.4</v>
      </c>
      <c r="I15" s="677">
        <v>76</v>
      </c>
      <c r="J15" s="677">
        <v>7758.66</v>
      </c>
      <c r="K15" s="677">
        <v>9931.61</v>
      </c>
      <c r="L15" s="678">
        <v>0</v>
      </c>
      <c r="M15" s="678">
        <v>0</v>
      </c>
      <c r="N15" s="678">
        <v>596.88</v>
      </c>
      <c r="O15" s="678">
        <v>764.03</v>
      </c>
      <c r="P15" s="678">
        <v>0</v>
      </c>
      <c r="Q15" s="678">
        <v>0</v>
      </c>
      <c r="R15" s="678">
        <v>4252.38</v>
      </c>
      <c r="S15" s="678">
        <v>5397.53</v>
      </c>
      <c r="T15" s="620">
        <v>57389.16</v>
      </c>
      <c r="U15" s="620">
        <v>56534.11</v>
      </c>
      <c r="V15" s="620">
        <v>2228.16</v>
      </c>
      <c r="W15" s="620">
        <v>2077.86</v>
      </c>
      <c r="X15" s="620">
        <v>12216.81</v>
      </c>
      <c r="Y15" s="620">
        <v>11912.83</v>
      </c>
      <c r="Z15" s="620">
        <f t="shared" si="0"/>
        <v>84442.05</v>
      </c>
      <c r="AA15" s="620">
        <f t="shared" si="1"/>
        <v>86617.97</v>
      </c>
      <c r="AB15" s="524">
        <f t="shared" si="2"/>
        <v>70335.4450076746</v>
      </c>
      <c r="AC15" s="622">
        <v>637.48</v>
      </c>
      <c r="AD15" s="623">
        <f t="shared" si="3"/>
        <v>875.29177211399065</v>
      </c>
      <c r="AE15" s="623">
        <f t="shared" si="4"/>
        <v>318.29615049615268</v>
      </c>
      <c r="AF15" s="623">
        <f t="shared" si="5"/>
        <v>22.529104904662628</v>
      </c>
      <c r="AG15" s="623">
        <f t="shared" si="6"/>
        <v>1627.3775017806074</v>
      </c>
      <c r="AH15" s="623">
        <f t="shared" si="7"/>
        <v>16933.509215356451</v>
      </c>
      <c r="AI15" s="623">
        <f t="shared" si="8"/>
        <v>1176.0192760233892</v>
      </c>
      <c r="AJ15" s="623">
        <f t="shared" si="9"/>
        <v>389.30676270040397</v>
      </c>
      <c r="AK15" s="623">
        <f t="shared" si="10"/>
        <v>2222.6509737956635</v>
      </c>
      <c r="AL15" s="623">
        <v>3105.48</v>
      </c>
      <c r="AM15" s="623">
        <f t="shared" si="11"/>
        <v>17023.345871308924</v>
      </c>
      <c r="AN15" s="623">
        <f t="shared" si="12"/>
        <v>3438.7158660044029</v>
      </c>
      <c r="AO15" s="623">
        <f t="shared" si="13"/>
        <v>47770.002494484645</v>
      </c>
      <c r="AP15" s="623"/>
      <c r="AQ15" s="624"/>
      <c r="AR15" s="624"/>
      <c r="AS15" s="624"/>
      <c r="AT15" s="624"/>
      <c r="AU15" s="525"/>
      <c r="AV15" s="524">
        <f t="shared" si="14"/>
        <v>0</v>
      </c>
      <c r="AW15" s="524">
        <f t="shared" si="15"/>
        <v>135.42478591672813</v>
      </c>
      <c r="AX15" s="525"/>
      <c r="AY15" s="622">
        <f t="shared" si="16"/>
        <v>10164.44678951029</v>
      </c>
      <c r="AZ15" s="1095">
        <f t="shared" si="17"/>
        <v>2053.2182514810788</v>
      </c>
      <c r="BA15" s="1526">
        <f t="shared" si="18"/>
        <v>12353.089826908097</v>
      </c>
      <c r="BB15" s="1526"/>
      <c r="BC15" s="1526">
        <f t="shared" si="19"/>
        <v>789.26123096084973</v>
      </c>
      <c r="BD15" s="525">
        <f t="shared" si="20"/>
        <v>9423.0914553210041</v>
      </c>
      <c r="BE15" s="525">
        <f t="shared" si="21"/>
        <v>14106.604992325403</v>
      </c>
      <c r="BF15" s="525">
        <f t="shared" si="22"/>
        <v>102.5768204348426</v>
      </c>
      <c r="BG15" s="525">
        <f t="shared" si="23"/>
        <v>12.51609456325621</v>
      </c>
      <c r="BH15" s="525">
        <f t="shared" si="24"/>
        <v>-2175.9199999999983</v>
      </c>
      <c r="BI15" s="525">
        <f t="shared" si="25"/>
        <v>303.97999999999956</v>
      </c>
      <c r="BJ15" s="525">
        <v>12.95</v>
      </c>
      <c r="BK15" s="525">
        <v>2.85</v>
      </c>
    </row>
    <row r="16" spans="1:63" s="124" customFormat="1" x14ac:dyDescent="0.25">
      <c r="A16" s="13">
        <v>8</v>
      </c>
      <c r="B16" s="573"/>
      <c r="C16" s="422" t="s">
        <v>217</v>
      </c>
      <c r="D16" s="675">
        <v>1963</v>
      </c>
      <c r="E16" s="675">
        <v>2</v>
      </c>
      <c r="F16" s="675">
        <v>16</v>
      </c>
      <c r="G16" s="680">
        <v>27</v>
      </c>
      <c r="H16" s="677">
        <v>630.29999999999995</v>
      </c>
      <c r="I16" s="677">
        <v>76</v>
      </c>
      <c r="J16" s="677">
        <v>7866.23</v>
      </c>
      <c r="K16" s="677">
        <v>7469.12</v>
      </c>
      <c r="L16" s="678">
        <v>0</v>
      </c>
      <c r="M16" s="678">
        <v>0</v>
      </c>
      <c r="N16" s="678">
        <v>605.1</v>
      </c>
      <c r="O16" s="678">
        <v>574.54999999999995</v>
      </c>
      <c r="P16" s="678">
        <v>0</v>
      </c>
      <c r="Q16" s="678">
        <v>0</v>
      </c>
      <c r="R16" s="678">
        <v>4311.24</v>
      </c>
      <c r="S16" s="678">
        <v>4078.25</v>
      </c>
      <c r="T16" s="620">
        <v>58183.14</v>
      </c>
      <c r="U16" s="620">
        <v>42057.62</v>
      </c>
      <c r="V16" s="620">
        <v>2228</v>
      </c>
      <c r="W16" s="620">
        <v>1545.1</v>
      </c>
      <c r="X16" s="620">
        <v>12385.71</v>
      </c>
      <c r="Y16" s="620">
        <v>8857.93</v>
      </c>
      <c r="Z16" s="620">
        <f t="shared" si="0"/>
        <v>85579.419999999984</v>
      </c>
      <c r="AA16" s="620">
        <f t="shared" si="1"/>
        <v>64582.57</v>
      </c>
      <c r="AB16" s="524">
        <f t="shared" si="2"/>
        <v>70680.962133788111</v>
      </c>
      <c r="AC16" s="622">
        <v>353.76</v>
      </c>
      <c r="AD16" s="623">
        <f t="shared" si="3"/>
        <v>883.56246630917406</v>
      </c>
      <c r="AE16" s="623">
        <f t="shared" si="4"/>
        <v>321.30375345567751</v>
      </c>
      <c r="AF16" s="623">
        <f t="shared" si="5"/>
        <v>22.741984018912323</v>
      </c>
      <c r="AG16" s="623">
        <f t="shared" si="6"/>
        <v>1642.7547075149212</v>
      </c>
      <c r="AH16" s="623">
        <f t="shared" si="7"/>
        <v>17093.515148044797</v>
      </c>
      <c r="AI16" s="623">
        <f t="shared" si="8"/>
        <v>1187.1315657872233</v>
      </c>
      <c r="AJ16" s="623">
        <f t="shared" si="9"/>
        <v>392.98534998408815</v>
      </c>
      <c r="AK16" s="623">
        <f t="shared" si="10"/>
        <v>2243.6529608959108</v>
      </c>
      <c r="AL16" s="623">
        <v>3105.48</v>
      </c>
      <c r="AM16" s="623">
        <f t="shared" si="11"/>
        <v>17184.200676947494</v>
      </c>
      <c r="AN16" s="623">
        <f t="shared" si="12"/>
        <v>3471.2085367433938</v>
      </c>
      <c r="AO16" s="623">
        <f t="shared" si="13"/>
        <v>47902.29714970159</v>
      </c>
      <c r="AP16" s="623"/>
      <c r="AQ16" s="624"/>
      <c r="AR16" s="624"/>
      <c r="AS16" s="624"/>
      <c r="AT16" s="624"/>
      <c r="AU16" s="525"/>
      <c r="AV16" s="524">
        <f t="shared" si="14"/>
        <v>0</v>
      </c>
      <c r="AW16" s="524">
        <f t="shared" si="15"/>
        <v>136.70442434867672</v>
      </c>
      <c r="AX16" s="525"/>
      <c r="AY16" s="622">
        <f t="shared" si="16"/>
        <v>10260.491370000538</v>
      </c>
      <c r="AZ16" s="1095">
        <f t="shared" si="17"/>
        <v>2072.619256740109</v>
      </c>
      <c r="BA16" s="1526">
        <f t="shared" si="18"/>
        <v>12469.815051089323</v>
      </c>
      <c r="BB16" s="1526"/>
      <c r="BC16" s="1526">
        <f t="shared" si="19"/>
        <v>796.71901645519472</v>
      </c>
      <c r="BD16" s="525">
        <f t="shared" si="20"/>
        <v>9512.1309165420062</v>
      </c>
      <c r="BE16" s="525">
        <f t="shared" si="21"/>
        <v>14898.457866211873</v>
      </c>
      <c r="BF16" s="525">
        <f t="shared" si="22"/>
        <v>75.465070924762074</v>
      </c>
      <c r="BG16" s="525">
        <f t="shared" si="23"/>
        <v>12.459844894633616</v>
      </c>
      <c r="BH16" s="525">
        <f t="shared" si="24"/>
        <v>20996.849999999984</v>
      </c>
      <c r="BI16" s="525">
        <f t="shared" si="25"/>
        <v>3527.7799999999988</v>
      </c>
      <c r="BJ16" s="525">
        <v>12.95</v>
      </c>
      <c r="BK16" s="525">
        <v>2.85</v>
      </c>
    </row>
    <row r="17" spans="1:63" s="124" customFormat="1" x14ac:dyDescent="0.25">
      <c r="A17" s="13">
        <v>9</v>
      </c>
      <c r="B17" s="573"/>
      <c r="C17" s="422" t="s">
        <v>218</v>
      </c>
      <c r="D17" s="675">
        <v>1963</v>
      </c>
      <c r="E17" s="675">
        <v>2</v>
      </c>
      <c r="F17" s="675">
        <v>8</v>
      </c>
      <c r="G17" s="679">
        <v>18</v>
      </c>
      <c r="H17" s="677">
        <v>313</v>
      </c>
      <c r="I17" s="677">
        <v>73.5</v>
      </c>
      <c r="J17" s="677">
        <v>3906.18</v>
      </c>
      <c r="K17" s="677">
        <v>3840.19</v>
      </c>
      <c r="L17" s="678">
        <v>0</v>
      </c>
      <c r="M17" s="678">
        <v>0</v>
      </c>
      <c r="N17" s="678">
        <v>300.48</v>
      </c>
      <c r="O17" s="678">
        <v>295.45</v>
      </c>
      <c r="P17" s="678">
        <v>0</v>
      </c>
      <c r="Q17" s="678">
        <v>0</v>
      </c>
      <c r="R17" s="678">
        <v>2140.92</v>
      </c>
      <c r="S17" s="678">
        <v>2101.7199999999998</v>
      </c>
      <c r="T17" s="620">
        <v>28808.49</v>
      </c>
      <c r="U17" s="620">
        <v>22381.52</v>
      </c>
      <c r="V17" s="620">
        <v>1077.3599999999999</v>
      </c>
      <c r="W17" s="620">
        <v>773.32</v>
      </c>
      <c r="X17" s="620">
        <v>6234.87</v>
      </c>
      <c r="Y17" s="620">
        <v>4805.3900000000003</v>
      </c>
      <c r="Z17" s="620">
        <f t="shared" si="0"/>
        <v>42468.3</v>
      </c>
      <c r="AA17" s="620">
        <f t="shared" si="1"/>
        <v>34197.590000000004</v>
      </c>
      <c r="AB17" s="524">
        <f t="shared" si="2"/>
        <v>39738.302792123868</v>
      </c>
      <c r="AC17" s="622">
        <v>974.78</v>
      </c>
      <c r="AD17" s="623">
        <f t="shared" si="3"/>
        <v>438.76733611735915</v>
      </c>
      <c r="AE17" s="623">
        <f t="shared" si="4"/>
        <v>159.55588581885937</v>
      </c>
      <c r="AF17" s="623">
        <f t="shared" si="5"/>
        <v>11.293417416975341</v>
      </c>
      <c r="AG17" s="623">
        <f t="shared" si="6"/>
        <v>815.77379573563439</v>
      </c>
      <c r="AH17" s="623">
        <f t="shared" si="7"/>
        <v>8488.4503273647806</v>
      </c>
      <c r="AI17" s="623">
        <f t="shared" si="8"/>
        <v>589.51638916611284</v>
      </c>
      <c r="AJ17" s="623">
        <f t="shared" si="9"/>
        <v>195.15217284629477</v>
      </c>
      <c r="AK17" s="623">
        <f t="shared" si="10"/>
        <v>1114.173213962272</v>
      </c>
      <c r="AL17" s="623">
        <v>2869.44</v>
      </c>
      <c r="AM17" s="623">
        <f t="shared" si="11"/>
        <v>8533.483756757998</v>
      </c>
      <c r="AN17" s="623">
        <f t="shared" si="12"/>
        <v>1723.7637188651156</v>
      </c>
      <c r="AO17" s="623">
        <f t="shared" si="13"/>
        <v>25914.150014051396</v>
      </c>
      <c r="AP17" s="623">
        <v>2512.52</v>
      </c>
      <c r="AQ17" s="624"/>
      <c r="AR17" s="624"/>
      <c r="AS17" s="624"/>
      <c r="AT17" s="624"/>
      <c r="AU17" s="525"/>
      <c r="AV17" s="524">
        <f t="shared" si="14"/>
        <v>2512.52</v>
      </c>
      <c r="AW17" s="524">
        <f t="shared" si="15"/>
        <v>67.885903254221503</v>
      </c>
      <c r="AX17" s="525"/>
      <c r="AY17" s="622">
        <f t="shared" si="16"/>
        <v>5095.2463887199247</v>
      </c>
      <c r="AZ17" s="1095">
        <f t="shared" si="17"/>
        <v>1029.2397705214248</v>
      </c>
      <c r="BA17" s="1526">
        <f t="shared" si="18"/>
        <v>6192.3720624955704</v>
      </c>
      <c r="BB17" s="1526"/>
      <c r="BC17" s="1526">
        <f t="shared" si="19"/>
        <v>395.64184063220046</v>
      </c>
      <c r="BD17" s="525">
        <f t="shared" si="20"/>
        <v>4723.6188749447065</v>
      </c>
      <c r="BE17" s="525">
        <f t="shared" si="21"/>
        <v>2729.9972078761348</v>
      </c>
      <c r="BF17" s="525">
        <f t="shared" si="22"/>
        <v>80.524979808468913</v>
      </c>
      <c r="BG17" s="525">
        <f t="shared" si="23"/>
        <v>14.106603760072371</v>
      </c>
      <c r="BH17" s="525">
        <f t="shared" si="24"/>
        <v>8270.7099999999991</v>
      </c>
      <c r="BI17" s="525">
        <f t="shared" si="25"/>
        <v>1429.4799999999996</v>
      </c>
      <c r="BJ17" s="525">
        <v>12.92</v>
      </c>
      <c r="BK17" s="525">
        <v>2.88</v>
      </c>
    </row>
    <row r="18" spans="1:63" s="226" customFormat="1" x14ac:dyDescent="0.25">
      <c r="A18" s="36">
        <v>10</v>
      </c>
      <c r="B18" s="575"/>
      <c r="C18" s="423" t="s">
        <v>219</v>
      </c>
      <c r="D18" s="681">
        <v>1977</v>
      </c>
      <c r="E18" s="681">
        <v>5</v>
      </c>
      <c r="F18" s="681">
        <v>90</v>
      </c>
      <c r="G18" s="682">
        <v>231</v>
      </c>
      <c r="H18" s="677">
        <v>4846.6000000000004</v>
      </c>
      <c r="I18" s="677">
        <v>585</v>
      </c>
      <c r="J18" s="677">
        <v>56706.720000000001</v>
      </c>
      <c r="K18" s="677">
        <v>67837.710000000006</v>
      </c>
      <c r="L18" s="678">
        <v>0</v>
      </c>
      <c r="M18" s="678">
        <v>0</v>
      </c>
      <c r="N18" s="678">
        <v>4652.58</v>
      </c>
      <c r="O18" s="678">
        <v>5560.16</v>
      </c>
      <c r="P18" s="678">
        <v>0</v>
      </c>
      <c r="Q18" s="678">
        <v>0</v>
      </c>
      <c r="R18" s="678">
        <v>51761.7</v>
      </c>
      <c r="S18" s="678">
        <v>61724.87</v>
      </c>
      <c r="T18" s="626">
        <v>453497.28</v>
      </c>
      <c r="U18" s="626">
        <v>418188.38</v>
      </c>
      <c r="V18" s="626">
        <v>10909.53</v>
      </c>
      <c r="W18" s="626">
        <v>10437.379999999999</v>
      </c>
      <c r="X18" s="626">
        <v>115300.83</v>
      </c>
      <c r="Y18" s="626">
        <v>107342.15</v>
      </c>
      <c r="Z18" s="620">
        <f t="shared" si="0"/>
        <v>692828.64</v>
      </c>
      <c r="AA18" s="620">
        <f t="shared" si="1"/>
        <v>671090.65</v>
      </c>
      <c r="AB18" s="524">
        <f t="shared" si="2"/>
        <v>561722.81651216489</v>
      </c>
      <c r="AC18" s="591">
        <v>12471.27</v>
      </c>
      <c r="AD18" s="623">
        <f t="shared" si="3"/>
        <v>6794.024828199339</v>
      </c>
      <c r="AE18" s="623">
        <f t="shared" si="4"/>
        <v>2470.6183904462746</v>
      </c>
      <c r="AF18" s="623">
        <f t="shared" si="5"/>
        <v>174.87117205467314</v>
      </c>
      <c r="AG18" s="623">
        <f t="shared" si="6"/>
        <v>12631.722934224683</v>
      </c>
      <c r="AH18" s="623">
        <f t="shared" si="7"/>
        <v>131438.09379107394</v>
      </c>
      <c r="AI18" s="623">
        <f t="shared" si="8"/>
        <v>9128.2751812539391</v>
      </c>
      <c r="AJ18" s="623">
        <f t="shared" si="9"/>
        <v>3021.8035812040011</v>
      </c>
      <c r="AK18" s="623">
        <f t="shared" si="10"/>
        <v>17252.242488145523</v>
      </c>
      <c r="AL18" s="623">
        <v>4898.95</v>
      </c>
      <c r="AM18" s="623">
        <f t="shared" si="11"/>
        <v>132135.40695048982</v>
      </c>
      <c r="AN18" s="623">
        <f t="shared" si="12"/>
        <v>26691.352203998944</v>
      </c>
      <c r="AO18" s="623">
        <f t="shared" si="13"/>
        <v>359108.63152109121</v>
      </c>
      <c r="AP18" s="623">
        <v>12698.56</v>
      </c>
      <c r="AQ18" s="624"/>
      <c r="AR18" s="624"/>
      <c r="AS18" s="624"/>
      <c r="AT18" s="624">
        <v>13972.2</v>
      </c>
      <c r="AU18" s="525"/>
      <c r="AV18" s="524">
        <f t="shared" si="14"/>
        <v>26670.760000000002</v>
      </c>
      <c r="AW18" s="524">
        <f t="shared" si="15"/>
        <v>1051.1687498783067</v>
      </c>
      <c r="AX18" s="525">
        <v>790.2</v>
      </c>
      <c r="AY18" s="622">
        <f t="shared" si="16"/>
        <v>78896.553187124562</v>
      </c>
      <c r="AZ18" s="1095">
        <f t="shared" si="17"/>
        <v>15937.103743799162</v>
      </c>
      <c r="BA18" s="1526">
        <f t="shared" si="18"/>
        <v>96675.025680802035</v>
      </c>
      <c r="BB18" s="1526"/>
      <c r="BC18" s="1526">
        <f t="shared" si="19"/>
        <v>6126.2547757444818</v>
      </c>
      <c r="BD18" s="525">
        <f t="shared" si="20"/>
        <v>73142.144534527208</v>
      </c>
      <c r="BE18" s="525">
        <f t="shared" si="21"/>
        <v>131105.82348783512</v>
      </c>
      <c r="BF18" s="525">
        <f t="shared" si="22"/>
        <v>96.862429070484154</v>
      </c>
      <c r="BG18" s="525">
        <f t="shared" si="23"/>
        <v>12.877820797905631</v>
      </c>
      <c r="BH18" s="525">
        <f t="shared" si="24"/>
        <v>21737.989999999991</v>
      </c>
      <c r="BI18" s="525">
        <f t="shared" si="25"/>
        <v>7958.6800000000076</v>
      </c>
      <c r="BJ18" s="890">
        <v>13.45</v>
      </c>
      <c r="BK18" s="890">
        <v>3.31</v>
      </c>
    </row>
    <row r="19" spans="1:63" s="124" customFormat="1" x14ac:dyDescent="0.25">
      <c r="A19" s="13">
        <v>11</v>
      </c>
      <c r="B19" s="573"/>
      <c r="C19" s="422" t="s">
        <v>220</v>
      </c>
      <c r="D19" s="675">
        <v>1983</v>
      </c>
      <c r="E19" s="675">
        <v>4</v>
      </c>
      <c r="F19" s="675">
        <v>48</v>
      </c>
      <c r="G19" s="679">
        <v>143</v>
      </c>
      <c r="H19" s="677">
        <v>2619.02</v>
      </c>
      <c r="I19" s="677">
        <v>317.89999999999998</v>
      </c>
      <c r="J19" s="677">
        <v>30799.74</v>
      </c>
      <c r="K19" s="677">
        <v>35295.53</v>
      </c>
      <c r="L19" s="678">
        <v>0</v>
      </c>
      <c r="M19" s="678">
        <v>0</v>
      </c>
      <c r="N19" s="678">
        <v>2514.3000000000002</v>
      </c>
      <c r="O19" s="678">
        <v>2881.38</v>
      </c>
      <c r="P19" s="678">
        <v>0</v>
      </c>
      <c r="Q19" s="678">
        <v>0</v>
      </c>
      <c r="R19" s="678">
        <v>27971.1</v>
      </c>
      <c r="S19" s="678">
        <v>32064.5</v>
      </c>
      <c r="T19" s="620">
        <v>247026.75</v>
      </c>
      <c r="U19" s="620">
        <v>223981.84</v>
      </c>
      <c r="V19" s="620">
        <v>5928.36</v>
      </c>
      <c r="W19" s="620">
        <v>5655.05</v>
      </c>
      <c r="X19" s="620">
        <v>61992.06</v>
      </c>
      <c r="Y19" s="620">
        <v>56068.41</v>
      </c>
      <c r="Z19" s="620">
        <f t="shared" si="0"/>
        <v>376232.31</v>
      </c>
      <c r="AA19" s="620">
        <f t="shared" si="1"/>
        <v>355946.70999999996</v>
      </c>
      <c r="AB19" s="524">
        <f t="shared" si="2"/>
        <v>402631.95678539388</v>
      </c>
      <c r="AC19" s="622">
        <v>802.57</v>
      </c>
      <c r="AD19" s="623">
        <f t="shared" si="3"/>
        <v>3671.375171367687</v>
      </c>
      <c r="AE19" s="623">
        <f t="shared" si="4"/>
        <v>1335.0800513652048</v>
      </c>
      <c r="AF19" s="623">
        <f t="shared" si="5"/>
        <v>94.497399627497629</v>
      </c>
      <c r="AG19" s="623">
        <f t="shared" si="6"/>
        <v>6825.9676885224953</v>
      </c>
      <c r="AH19" s="623">
        <f t="shared" si="7"/>
        <v>71026.904716852747</v>
      </c>
      <c r="AI19" s="623">
        <f t="shared" si="8"/>
        <v>4932.7642605553765</v>
      </c>
      <c r="AJ19" s="623">
        <f t="shared" si="9"/>
        <v>1632.9311301210955</v>
      </c>
      <c r="AK19" s="623">
        <f t="shared" si="10"/>
        <v>9322.8176703880818</v>
      </c>
      <c r="AL19" s="623">
        <v>4357.71</v>
      </c>
      <c r="AM19" s="623">
        <f t="shared" si="11"/>
        <v>71403.720858224697</v>
      </c>
      <c r="AN19" s="623">
        <f t="shared" si="12"/>
        <v>14423.551613361389</v>
      </c>
      <c r="AO19" s="623">
        <f t="shared" si="13"/>
        <v>189829.89056038627</v>
      </c>
      <c r="AP19" s="623">
        <v>21586.799999999999</v>
      </c>
      <c r="AQ19" s="624">
        <v>79469</v>
      </c>
      <c r="AR19" s="624"/>
      <c r="AS19" s="624"/>
      <c r="AT19" s="624">
        <v>16300.9</v>
      </c>
      <c r="AU19" s="525"/>
      <c r="AV19" s="524">
        <f t="shared" si="14"/>
        <v>117356.7</v>
      </c>
      <c r="AW19" s="524">
        <f t="shared" si="15"/>
        <v>568.03366882067473</v>
      </c>
      <c r="AX19" s="525">
        <v>795.55</v>
      </c>
      <c r="AY19" s="622">
        <f t="shared" si="16"/>
        <v>42634.352067045547</v>
      </c>
      <c r="AZ19" s="1095">
        <f t="shared" si="17"/>
        <v>8612.1391175432018</v>
      </c>
      <c r="BA19" s="1526">
        <f t="shared" si="18"/>
        <v>52610.074853409424</v>
      </c>
      <c r="BB19" s="1526"/>
      <c r="BC19" s="1526">
        <f t="shared" si="19"/>
        <v>3310.5236212541395</v>
      </c>
      <c r="BD19" s="525">
        <f t="shared" si="20"/>
        <v>39524.767750344043</v>
      </c>
      <c r="BE19" s="525">
        <f t="shared" si="21"/>
        <v>-26399.646785393881</v>
      </c>
      <c r="BF19" s="525">
        <f t="shared" si="22"/>
        <v>94.608224902321652</v>
      </c>
      <c r="BG19" s="525">
        <f t="shared" si="23"/>
        <v>17.081535874970783</v>
      </c>
      <c r="BH19" s="525">
        <f t="shared" si="24"/>
        <v>20285.600000000035</v>
      </c>
      <c r="BI19" s="525">
        <f t="shared" si="25"/>
        <v>5923.6499999999942</v>
      </c>
      <c r="BJ19" s="525">
        <v>13.54</v>
      </c>
      <c r="BK19" s="525">
        <v>3.43</v>
      </c>
    </row>
    <row r="20" spans="1:63" s="124" customFormat="1" x14ac:dyDescent="0.25">
      <c r="A20" s="13">
        <v>12</v>
      </c>
      <c r="B20" s="573"/>
      <c r="C20" s="422" t="s">
        <v>221</v>
      </c>
      <c r="D20" s="675">
        <v>1983</v>
      </c>
      <c r="E20" s="675">
        <v>4</v>
      </c>
      <c r="F20" s="675">
        <v>48</v>
      </c>
      <c r="G20" s="680">
        <v>137</v>
      </c>
      <c r="H20" s="677">
        <v>2614.1999999999998</v>
      </c>
      <c r="I20" s="677">
        <v>317.89999999999998</v>
      </c>
      <c r="J20" s="677">
        <v>30731.22</v>
      </c>
      <c r="K20" s="677">
        <v>37367.800000000003</v>
      </c>
      <c r="L20" s="678">
        <v>0</v>
      </c>
      <c r="M20" s="678">
        <v>0</v>
      </c>
      <c r="N20" s="678">
        <v>2508.66</v>
      </c>
      <c r="O20" s="678">
        <v>3050.49</v>
      </c>
      <c r="P20" s="678">
        <v>0</v>
      </c>
      <c r="Q20" s="678">
        <v>0</v>
      </c>
      <c r="R20" s="678">
        <v>27909.119999999999</v>
      </c>
      <c r="S20" s="678">
        <v>33755.01</v>
      </c>
      <c r="T20" s="620">
        <v>246241.86</v>
      </c>
      <c r="U20" s="620">
        <v>238107.51999999999</v>
      </c>
      <c r="V20" s="620">
        <v>5928.21</v>
      </c>
      <c r="W20" s="620">
        <v>5710.61</v>
      </c>
      <c r="X20" s="620">
        <v>64990.32</v>
      </c>
      <c r="Y20" s="620">
        <v>63506.23</v>
      </c>
      <c r="Z20" s="620">
        <f t="shared" si="0"/>
        <v>378309.39</v>
      </c>
      <c r="AA20" s="620">
        <f t="shared" si="1"/>
        <v>381497.66</v>
      </c>
      <c r="AB20" s="524">
        <f t="shared" si="2"/>
        <v>308526.00204846723</v>
      </c>
      <c r="AC20" s="622">
        <v>770.98</v>
      </c>
      <c r="AD20" s="623">
        <f t="shared" si="3"/>
        <v>3664.6184347539943</v>
      </c>
      <c r="AE20" s="623">
        <f t="shared" si="4"/>
        <v>1332.6229926762369</v>
      </c>
      <c r="AF20" s="623">
        <f t="shared" si="5"/>
        <v>94.323488215517358</v>
      </c>
      <c r="AG20" s="623">
        <f t="shared" si="6"/>
        <v>6813.4052933293779</v>
      </c>
      <c r="AH20" s="623">
        <f t="shared" si="7"/>
        <v>70896.188005741235</v>
      </c>
      <c r="AI20" s="623">
        <f t="shared" si="8"/>
        <v>4923.6860848500064</v>
      </c>
      <c r="AJ20" s="623">
        <f t="shared" si="9"/>
        <v>1629.9259113571366</v>
      </c>
      <c r="AK20" s="623">
        <f t="shared" si="10"/>
        <v>9305.6601148248283</v>
      </c>
      <c r="AL20" s="623">
        <v>3794.35</v>
      </c>
      <c r="AM20" s="623">
        <f t="shared" si="11"/>
        <v>71272.310661075899</v>
      </c>
      <c r="AN20" s="623">
        <f t="shared" si="12"/>
        <v>14397.006753537333</v>
      </c>
      <c r="AO20" s="623">
        <f t="shared" si="13"/>
        <v>188895.07774036159</v>
      </c>
      <c r="AP20" s="623">
        <v>5913.13</v>
      </c>
      <c r="AQ20" s="624"/>
      <c r="AR20" s="624"/>
      <c r="AS20" s="624"/>
      <c r="AT20" s="624">
        <v>18625.93</v>
      </c>
      <c r="AU20" s="525"/>
      <c r="AV20" s="524">
        <f t="shared" si="14"/>
        <v>24539.06</v>
      </c>
      <c r="AW20" s="524">
        <f t="shared" si="15"/>
        <v>566.98826928813367</v>
      </c>
      <c r="AX20" s="525">
        <v>616.24</v>
      </c>
      <c r="AY20" s="622">
        <f t="shared" si="16"/>
        <v>42555.888528407748</v>
      </c>
      <c r="AZ20" s="1095">
        <f t="shared" si="17"/>
        <v>8596.2894827383661</v>
      </c>
      <c r="BA20" s="1526">
        <f t="shared" si="18"/>
        <v>52335.406280434247</v>
      </c>
      <c r="BB20" s="1526"/>
      <c r="BC20" s="1526">
        <f t="shared" si="19"/>
        <v>3304.4309897146913</v>
      </c>
      <c r="BD20" s="525">
        <f t="shared" si="20"/>
        <v>39452.027037956708</v>
      </c>
      <c r="BE20" s="525">
        <f t="shared" si="21"/>
        <v>69783.387951532786</v>
      </c>
      <c r="BF20" s="525">
        <f t="shared" si="22"/>
        <v>100.84276787314212</v>
      </c>
      <c r="BG20" s="525">
        <f t="shared" si="23"/>
        <v>13.113253344913984</v>
      </c>
      <c r="BH20" s="525">
        <f t="shared" si="24"/>
        <v>-3188.2699999999604</v>
      </c>
      <c r="BI20" s="525">
        <f t="shared" si="25"/>
        <v>1484.0899999999965</v>
      </c>
      <c r="BJ20" s="525">
        <v>13.53</v>
      </c>
      <c r="BK20" s="525">
        <v>3.43</v>
      </c>
    </row>
    <row r="21" spans="1:63" s="124" customFormat="1" x14ac:dyDescent="0.25">
      <c r="A21" s="13">
        <v>13</v>
      </c>
      <c r="B21" s="573"/>
      <c r="C21" s="424" t="s">
        <v>222</v>
      </c>
      <c r="D21" s="675">
        <v>1975</v>
      </c>
      <c r="E21" s="675">
        <v>2</v>
      </c>
      <c r="F21" s="675">
        <v>12</v>
      </c>
      <c r="G21" s="679">
        <v>30</v>
      </c>
      <c r="H21" s="677">
        <v>503.62</v>
      </c>
      <c r="I21" s="677">
        <v>58.2</v>
      </c>
      <c r="J21" s="677">
        <v>5680.86</v>
      </c>
      <c r="K21" s="677">
        <v>5318.18</v>
      </c>
      <c r="L21" s="678">
        <v>0</v>
      </c>
      <c r="M21" s="678">
        <v>0</v>
      </c>
      <c r="N21" s="678">
        <v>483.54</v>
      </c>
      <c r="O21" s="678">
        <v>452.69</v>
      </c>
      <c r="P21" s="678">
        <v>0</v>
      </c>
      <c r="Q21" s="678">
        <v>0</v>
      </c>
      <c r="R21" s="678">
        <v>3444.72</v>
      </c>
      <c r="S21" s="678">
        <v>3238.94</v>
      </c>
      <c r="T21" s="620">
        <v>46368.36</v>
      </c>
      <c r="U21" s="620">
        <v>33965.360000000001</v>
      </c>
      <c r="V21" s="620">
        <v>1706.52</v>
      </c>
      <c r="W21" s="620">
        <v>1156.3599999999999</v>
      </c>
      <c r="X21" s="620">
        <v>10530.84</v>
      </c>
      <c r="Y21" s="620">
        <v>7650.91</v>
      </c>
      <c r="Z21" s="620">
        <f t="shared" si="0"/>
        <v>68214.84</v>
      </c>
      <c r="AA21" s="620">
        <f t="shared" si="1"/>
        <v>51782.44</v>
      </c>
      <c r="AB21" s="524">
        <f t="shared" si="2"/>
        <v>63204.604483608389</v>
      </c>
      <c r="AC21" s="622">
        <v>1550.15</v>
      </c>
      <c r="AD21" s="623">
        <f t="shared" si="3"/>
        <v>705.9808492505573</v>
      </c>
      <c r="AE21" s="623">
        <f t="shared" si="4"/>
        <v>256.72694957218516</v>
      </c>
      <c r="AF21" s="623">
        <f t="shared" si="5"/>
        <v>18.171216867530738</v>
      </c>
      <c r="AG21" s="623">
        <f t="shared" si="6"/>
        <v>1312.5878562568057</v>
      </c>
      <c r="AH21" s="623">
        <f t="shared" si="7"/>
        <v>13657.997935678757</v>
      </c>
      <c r="AI21" s="623">
        <f t="shared" si="8"/>
        <v>948.53752048510466</v>
      </c>
      <c r="AJ21" s="623">
        <f t="shared" si="9"/>
        <v>314.00171657779862</v>
      </c>
      <c r="AK21" s="623">
        <f t="shared" si="10"/>
        <v>1792.7153802417874</v>
      </c>
      <c r="AL21" s="623">
        <v>2385.6</v>
      </c>
      <c r="AM21" s="623">
        <f t="shared" si="11"/>
        <v>13730.457155202756</v>
      </c>
      <c r="AN21" s="623">
        <f t="shared" si="12"/>
        <v>2773.5523453509568</v>
      </c>
      <c r="AO21" s="623">
        <f t="shared" si="13"/>
        <v>39446.478925484233</v>
      </c>
      <c r="AP21" s="623">
        <v>831.15</v>
      </c>
      <c r="AQ21" s="624"/>
      <c r="AR21" s="624"/>
      <c r="AS21" s="624"/>
      <c r="AT21" s="624">
        <v>4657.45</v>
      </c>
      <c r="AU21" s="525"/>
      <c r="AV21" s="524">
        <f t="shared" si="14"/>
        <v>5488.5999999999995</v>
      </c>
      <c r="AW21" s="524">
        <f t="shared" si="15"/>
        <v>109.22906899965187</v>
      </c>
      <c r="AX21" s="525">
        <v>69</v>
      </c>
      <c r="AY21" s="622">
        <f t="shared" si="16"/>
        <v>8198.3002756777259</v>
      </c>
      <c r="AZ21" s="1095">
        <f t="shared" si="17"/>
        <v>1656.0566556869007</v>
      </c>
      <c r="BA21" s="1526">
        <f t="shared" si="18"/>
        <v>10032.586000364277</v>
      </c>
      <c r="BB21" s="1526"/>
      <c r="BC21" s="1526">
        <f t="shared" si="19"/>
        <v>636.5915136715297</v>
      </c>
      <c r="BD21" s="525">
        <f t="shared" si="20"/>
        <v>7600.3480440883486</v>
      </c>
      <c r="BE21" s="525">
        <f t="shared" si="21"/>
        <v>5010.2355163916072</v>
      </c>
      <c r="BF21" s="525">
        <f t="shared" si="22"/>
        <v>75.910813541452285</v>
      </c>
      <c r="BG21" s="525">
        <f t="shared" si="23"/>
        <v>13.944509414860496</v>
      </c>
      <c r="BH21" s="525">
        <f t="shared" si="24"/>
        <v>16432.399999999994</v>
      </c>
      <c r="BI21" s="525">
        <f t="shared" si="25"/>
        <v>2879.9300000000003</v>
      </c>
      <c r="BJ21" s="525">
        <v>12.79</v>
      </c>
      <c r="BK21" s="525">
        <v>2.99</v>
      </c>
    </row>
    <row r="22" spans="1:63" s="124" customFormat="1" x14ac:dyDescent="0.25">
      <c r="A22" s="13">
        <v>14</v>
      </c>
      <c r="B22" s="573"/>
      <c r="C22" s="424" t="s">
        <v>122</v>
      </c>
      <c r="D22" s="675">
        <v>1975</v>
      </c>
      <c r="E22" s="675">
        <v>2</v>
      </c>
      <c r="F22" s="675">
        <v>12</v>
      </c>
      <c r="G22" s="680">
        <v>31</v>
      </c>
      <c r="H22" s="677">
        <v>528.76</v>
      </c>
      <c r="I22" s="677">
        <v>52.8</v>
      </c>
      <c r="J22" s="677">
        <v>5871.96</v>
      </c>
      <c r="K22" s="677">
        <v>7143.16</v>
      </c>
      <c r="L22" s="678">
        <v>0</v>
      </c>
      <c r="M22" s="678">
        <v>0</v>
      </c>
      <c r="N22" s="678">
        <v>502.44</v>
      </c>
      <c r="O22" s="678">
        <v>617.29</v>
      </c>
      <c r="P22" s="678">
        <v>0</v>
      </c>
      <c r="Q22" s="678">
        <v>0</v>
      </c>
      <c r="R22" s="678">
        <v>3579.72</v>
      </c>
      <c r="S22" s="678">
        <v>4371.49</v>
      </c>
      <c r="T22" s="620">
        <v>48106.38</v>
      </c>
      <c r="U22" s="620">
        <v>47845.52</v>
      </c>
      <c r="V22" s="620">
        <v>1706.4</v>
      </c>
      <c r="W22" s="620">
        <v>1641.57</v>
      </c>
      <c r="X22" s="620">
        <v>11037.51</v>
      </c>
      <c r="Y22" s="620">
        <v>10905</v>
      </c>
      <c r="Z22" s="620">
        <f t="shared" si="0"/>
        <v>70804.41</v>
      </c>
      <c r="AA22" s="620">
        <f t="shared" si="1"/>
        <v>72524.03</v>
      </c>
      <c r="AB22" s="524">
        <f t="shared" si="2"/>
        <v>64782.194543014128</v>
      </c>
      <c r="AC22" s="622">
        <v>384.42</v>
      </c>
      <c r="AD22" s="623">
        <f t="shared" si="3"/>
        <v>741.22241739749143</v>
      </c>
      <c r="AE22" s="623">
        <f t="shared" si="4"/>
        <v>269.54239675904182</v>
      </c>
      <c r="AF22" s="623">
        <f t="shared" si="5"/>
        <v>19.078298381469271</v>
      </c>
      <c r="AG22" s="623">
        <f t="shared" si="6"/>
        <v>1378.1103905213229</v>
      </c>
      <c r="AH22" s="623">
        <f t="shared" si="7"/>
        <v>14339.785926828758</v>
      </c>
      <c r="AI22" s="623">
        <f t="shared" si="8"/>
        <v>995.88717551269588</v>
      </c>
      <c r="AJ22" s="623">
        <f t="shared" si="9"/>
        <v>329.67623934251378</v>
      </c>
      <c r="AK22" s="623">
        <f t="shared" si="10"/>
        <v>1882.2052032418242</v>
      </c>
      <c r="AL22" s="623">
        <v>2183.58</v>
      </c>
      <c r="AM22" s="623">
        <f t="shared" si="11"/>
        <v>14415.862208381337</v>
      </c>
      <c r="AN22" s="623">
        <f t="shared" si="12"/>
        <v>2912.0041660930301</v>
      </c>
      <c r="AO22" s="623">
        <f t="shared" si="13"/>
        <v>39851.374422459485</v>
      </c>
      <c r="AP22" s="623"/>
      <c r="AQ22" s="624"/>
      <c r="AR22" s="624"/>
      <c r="AS22" s="624"/>
      <c r="AT22" s="624">
        <v>5821.75</v>
      </c>
      <c r="AU22" s="525"/>
      <c r="AV22" s="524">
        <f t="shared" si="14"/>
        <v>5821.75</v>
      </c>
      <c r="AW22" s="524">
        <f t="shared" si="15"/>
        <v>114.68163004697176</v>
      </c>
      <c r="AX22" s="525"/>
      <c r="AY22" s="622">
        <f t="shared" si="16"/>
        <v>8607.5478610209175</v>
      </c>
      <c r="AZ22" s="1095">
        <f t="shared" si="17"/>
        <v>1738.7246679262255</v>
      </c>
      <c r="BA22" s="1526">
        <f t="shared" si="18"/>
        <v>10460.954158994115</v>
      </c>
      <c r="BB22" s="1526"/>
      <c r="BC22" s="1526">
        <f t="shared" si="19"/>
        <v>668.36926406607768</v>
      </c>
      <c r="BD22" s="525">
        <f t="shared" si="20"/>
        <v>7979.74669749445</v>
      </c>
      <c r="BE22" s="525">
        <f t="shared" si="21"/>
        <v>6022.2154569858758</v>
      </c>
      <c r="BF22" s="525">
        <f t="shared" si="22"/>
        <v>102.42869052930459</v>
      </c>
      <c r="BG22" s="525">
        <f t="shared" si="23"/>
        <v>13.613022195117745</v>
      </c>
      <c r="BH22" s="525">
        <f t="shared" si="24"/>
        <v>-1719.6199999999953</v>
      </c>
      <c r="BI22" s="525">
        <f t="shared" si="25"/>
        <v>132.51000000000022</v>
      </c>
      <c r="BJ22" s="525">
        <v>12.76</v>
      </c>
      <c r="BK22" s="525">
        <v>3.01</v>
      </c>
    </row>
    <row r="23" spans="1:63" s="124" customFormat="1" x14ac:dyDescent="0.25">
      <c r="A23" s="13">
        <v>15</v>
      </c>
      <c r="B23" s="573"/>
      <c r="C23" s="424" t="s">
        <v>223</v>
      </c>
      <c r="D23" s="675">
        <v>1975</v>
      </c>
      <c r="E23" s="675">
        <v>2</v>
      </c>
      <c r="F23" s="675">
        <v>12</v>
      </c>
      <c r="G23" s="679">
        <v>23</v>
      </c>
      <c r="H23" s="677">
        <v>528.33000000000004</v>
      </c>
      <c r="I23" s="677">
        <v>52.4</v>
      </c>
      <c r="J23" s="677">
        <v>5909.4</v>
      </c>
      <c r="K23" s="677">
        <v>7118.9</v>
      </c>
      <c r="L23" s="678">
        <v>0</v>
      </c>
      <c r="M23" s="678">
        <v>0</v>
      </c>
      <c r="N23" s="678">
        <v>505.62</v>
      </c>
      <c r="O23" s="678">
        <v>609.1</v>
      </c>
      <c r="P23" s="678">
        <v>0</v>
      </c>
      <c r="Q23" s="678">
        <v>0</v>
      </c>
      <c r="R23" s="678">
        <v>3602.58</v>
      </c>
      <c r="S23" s="678">
        <v>4339.9399999999996</v>
      </c>
      <c r="T23" s="620">
        <v>48411.51</v>
      </c>
      <c r="U23" s="620">
        <v>47506.96</v>
      </c>
      <c r="V23" s="620">
        <v>1706.4</v>
      </c>
      <c r="W23" s="620">
        <v>1641.9</v>
      </c>
      <c r="X23" s="620">
        <v>11107.59</v>
      </c>
      <c r="Y23" s="620">
        <v>10830.25</v>
      </c>
      <c r="Z23" s="620">
        <f t="shared" si="0"/>
        <v>71243.100000000006</v>
      </c>
      <c r="AA23" s="620">
        <f t="shared" si="1"/>
        <v>72047.049999999988</v>
      </c>
      <c r="AB23" s="524">
        <f t="shared" si="2"/>
        <v>68495.334888060082</v>
      </c>
      <c r="AC23" s="622">
        <v>376.68</v>
      </c>
      <c r="AD23" s="623">
        <f t="shared" si="3"/>
        <v>740.61963799004593</v>
      </c>
      <c r="AE23" s="623">
        <f t="shared" si="4"/>
        <v>269.32319857724593</v>
      </c>
      <c r="AF23" s="623">
        <f t="shared" si="5"/>
        <v>19.062783462973108</v>
      </c>
      <c r="AG23" s="623">
        <f t="shared" si="6"/>
        <v>1376.9896789169577</v>
      </c>
      <c r="AH23" s="623">
        <f t="shared" si="7"/>
        <v>14328.124477497237</v>
      </c>
      <c r="AI23" s="623">
        <f t="shared" si="8"/>
        <v>995.07729676719623</v>
      </c>
      <c r="AJ23" s="623">
        <f t="shared" si="9"/>
        <v>329.40813891336398</v>
      </c>
      <c r="AK23" s="623">
        <f t="shared" si="10"/>
        <v>1880.6745499446877</v>
      </c>
      <c r="AL23" s="623">
        <v>2168.04</v>
      </c>
      <c r="AM23" s="623">
        <f t="shared" si="11"/>
        <v>14404.138892038189</v>
      </c>
      <c r="AN23" s="623">
        <f t="shared" si="12"/>
        <v>2909.6360561917145</v>
      </c>
      <c r="AO23" s="623">
        <f t="shared" si="13"/>
        <v>39797.774710299607</v>
      </c>
      <c r="AP23" s="623">
        <v>2617.9299999999998</v>
      </c>
      <c r="AQ23" s="624"/>
      <c r="AR23" s="624"/>
      <c r="AS23" s="624"/>
      <c r="AT23" s="624">
        <v>6986.1</v>
      </c>
      <c r="AU23" s="525"/>
      <c r="AV23" s="524">
        <f t="shared" si="14"/>
        <v>9604.0300000000007</v>
      </c>
      <c r="AW23" s="524">
        <f t="shared" si="15"/>
        <v>114.58836826294841</v>
      </c>
      <c r="AX23" s="525"/>
      <c r="AY23" s="622">
        <f t="shared" si="16"/>
        <v>8600.5480017648497</v>
      </c>
      <c r="AZ23" s="1095">
        <f t="shared" si="17"/>
        <v>1737.3106963564996</v>
      </c>
      <c r="BA23" s="1526">
        <f t="shared" si="18"/>
        <v>10452.447066384297</v>
      </c>
      <c r="BB23" s="1526"/>
      <c r="BC23" s="1526">
        <f t="shared" si="19"/>
        <v>667.82573054699833</v>
      </c>
      <c r="BD23" s="525">
        <f t="shared" si="20"/>
        <v>7973.2573808291909</v>
      </c>
      <c r="BE23" s="525">
        <f t="shared" si="21"/>
        <v>2747.7651119399234</v>
      </c>
      <c r="BF23" s="525">
        <f t="shared" si="22"/>
        <v>101.12846015965053</v>
      </c>
      <c r="BG23" s="525">
        <f t="shared" si="23"/>
        <v>14.404998325554121</v>
      </c>
      <c r="BH23" s="525">
        <f t="shared" si="24"/>
        <v>-803.94999999998254</v>
      </c>
      <c r="BI23" s="525">
        <f t="shared" si="25"/>
        <v>277.34000000000015</v>
      </c>
      <c r="BJ23" s="525">
        <v>12.76</v>
      </c>
      <c r="BK23" s="525">
        <v>3.01</v>
      </c>
    </row>
    <row r="24" spans="1:63" s="124" customFormat="1" x14ac:dyDescent="0.25">
      <c r="A24" s="13">
        <v>16</v>
      </c>
      <c r="B24" s="573"/>
      <c r="C24" s="424" t="s">
        <v>224</v>
      </c>
      <c r="D24" s="675">
        <v>1968</v>
      </c>
      <c r="E24" s="675">
        <v>2</v>
      </c>
      <c r="F24" s="675">
        <v>16</v>
      </c>
      <c r="G24" s="680">
        <v>35</v>
      </c>
      <c r="H24" s="677">
        <v>715.87</v>
      </c>
      <c r="I24" s="677">
        <v>76</v>
      </c>
      <c r="J24" s="677">
        <v>7989.18</v>
      </c>
      <c r="K24" s="677">
        <v>8626.27</v>
      </c>
      <c r="L24" s="678">
        <v>0</v>
      </c>
      <c r="M24" s="678">
        <v>0</v>
      </c>
      <c r="N24" s="678">
        <v>687.3</v>
      </c>
      <c r="O24" s="678">
        <v>742.13</v>
      </c>
      <c r="P24" s="678">
        <v>0</v>
      </c>
      <c r="Q24" s="678">
        <v>0</v>
      </c>
      <c r="R24" s="678">
        <v>4896.4799999999996</v>
      </c>
      <c r="S24" s="678">
        <v>5286.99</v>
      </c>
      <c r="T24" s="620">
        <v>65716.92</v>
      </c>
      <c r="U24" s="620">
        <v>58188.17</v>
      </c>
      <c r="V24" s="620">
        <v>2228.1999999999998</v>
      </c>
      <c r="W24" s="620">
        <v>1968.93</v>
      </c>
      <c r="X24" s="620">
        <v>15226.5</v>
      </c>
      <c r="Y24" s="620">
        <v>13403.78</v>
      </c>
      <c r="Z24" s="620">
        <f t="shared" si="0"/>
        <v>96744.58</v>
      </c>
      <c r="AA24" s="620">
        <f t="shared" si="1"/>
        <v>88216.26999999999</v>
      </c>
      <c r="AB24" s="524">
        <f t="shared" si="2"/>
        <v>79453.273469641281</v>
      </c>
      <c r="AC24" s="622"/>
      <c r="AD24" s="623">
        <f t="shared" si="3"/>
        <v>1003.5155683908432</v>
      </c>
      <c r="AE24" s="623">
        <f t="shared" si="4"/>
        <v>364.92419163305709</v>
      </c>
      <c r="AF24" s="623">
        <f t="shared" si="5"/>
        <v>25.829452799649001</v>
      </c>
      <c r="AG24" s="623">
        <f t="shared" si="6"/>
        <v>1865.7763167836058</v>
      </c>
      <c r="AH24" s="623">
        <f t="shared" si="7"/>
        <v>19414.143565017974</v>
      </c>
      <c r="AI24" s="623">
        <f t="shared" si="8"/>
        <v>1348.297436141678</v>
      </c>
      <c r="AJ24" s="623">
        <f t="shared" si="9"/>
        <v>446.33733538491066</v>
      </c>
      <c r="AK24" s="623">
        <f t="shared" si="10"/>
        <v>2548.2529670261079</v>
      </c>
      <c r="AL24" s="623">
        <v>3105.48</v>
      </c>
      <c r="AM24" s="623">
        <f t="shared" si="11"/>
        <v>19517.140629234338</v>
      </c>
      <c r="AN24" s="623">
        <f t="shared" si="12"/>
        <v>3942.4624071053368</v>
      </c>
      <c r="AO24" s="623">
        <f t="shared" si="13"/>
        <v>53582.159869517505</v>
      </c>
      <c r="AP24" s="623"/>
      <c r="AQ24" s="624"/>
      <c r="AR24" s="624"/>
      <c r="AS24" s="624"/>
      <c r="AT24" s="624"/>
      <c r="AU24" s="525"/>
      <c r="AV24" s="524">
        <f t="shared" si="14"/>
        <v>0</v>
      </c>
      <c r="AW24" s="524">
        <f t="shared" si="15"/>
        <v>155.26351936932764</v>
      </c>
      <c r="AX24" s="525"/>
      <c r="AY24" s="622">
        <f t="shared" si="16"/>
        <v>11653.463361958251</v>
      </c>
      <c r="AZ24" s="1095">
        <f t="shared" si="17"/>
        <v>2353.999599115567</v>
      </c>
      <c r="BA24" s="1526">
        <f t="shared" si="18"/>
        <v>14162.726480443145</v>
      </c>
      <c r="BB24" s="1526"/>
      <c r="BC24" s="1526">
        <f t="shared" si="19"/>
        <v>904.88218675199153</v>
      </c>
      <c r="BD24" s="525">
        <f t="shared" si="20"/>
        <v>10803.504932928648</v>
      </c>
      <c r="BE24" s="525">
        <f t="shared" si="21"/>
        <v>17291.306530358721</v>
      </c>
      <c r="BF24" s="525">
        <f t="shared" si="22"/>
        <v>91.18471546416346</v>
      </c>
      <c r="BG24" s="525">
        <f t="shared" si="23"/>
        <v>12.332045618096593</v>
      </c>
      <c r="BH24" s="525">
        <f t="shared" si="24"/>
        <v>8528.3100000000122</v>
      </c>
      <c r="BI24" s="525">
        <f t="shared" si="25"/>
        <v>1822.7199999999993</v>
      </c>
      <c r="BJ24" s="525">
        <v>12.74</v>
      </c>
      <c r="BK24" s="525">
        <v>3.03</v>
      </c>
    </row>
    <row r="25" spans="1:63" s="124" customFormat="1" x14ac:dyDescent="0.25">
      <c r="A25" s="36">
        <v>17</v>
      </c>
      <c r="B25" s="575"/>
      <c r="C25" s="425" t="s">
        <v>225</v>
      </c>
      <c r="D25" s="681">
        <v>1989</v>
      </c>
      <c r="E25" s="683">
        <v>1</v>
      </c>
      <c r="F25" s="681">
        <v>2</v>
      </c>
      <c r="G25" s="684">
        <v>5</v>
      </c>
      <c r="H25" s="685">
        <v>108</v>
      </c>
      <c r="I25" s="686"/>
      <c r="J25" s="686">
        <v>0</v>
      </c>
      <c r="K25" s="686">
        <v>0</v>
      </c>
      <c r="L25" s="686">
        <v>0</v>
      </c>
      <c r="M25" s="686">
        <v>0</v>
      </c>
      <c r="N25" s="686">
        <v>103.68</v>
      </c>
      <c r="O25" s="686">
        <v>120.95</v>
      </c>
      <c r="P25" s="686">
        <v>0</v>
      </c>
      <c r="Q25" s="686">
        <v>0</v>
      </c>
      <c r="R25" s="687">
        <v>738.72</v>
      </c>
      <c r="S25" s="687">
        <v>861.79</v>
      </c>
      <c r="T25" s="621">
        <v>5430.24</v>
      </c>
      <c r="U25" s="621">
        <v>5252.88</v>
      </c>
      <c r="V25" s="621"/>
      <c r="W25" s="621"/>
      <c r="X25" s="621"/>
      <c r="Y25" s="621"/>
      <c r="Z25" s="620">
        <f t="shared" si="0"/>
        <v>6272.6399999999994</v>
      </c>
      <c r="AA25" s="620">
        <f t="shared" si="1"/>
        <v>6235.62</v>
      </c>
      <c r="AB25" s="524">
        <f t="shared" si="2"/>
        <v>5842.3318576120173</v>
      </c>
      <c r="AC25" s="649"/>
      <c r="AD25" s="623">
        <f t="shared" si="3"/>
        <v>151.39575814912072</v>
      </c>
      <c r="AE25" s="623">
        <f t="shared" si="4"/>
        <v>55.054427055708665</v>
      </c>
      <c r="AF25" s="623">
        <f t="shared" si="5"/>
        <v>3.896770226943568</v>
      </c>
      <c r="AG25" s="623">
        <f t="shared" si="6"/>
        <v>281.48105411964383</v>
      </c>
      <c r="AH25" s="623">
        <f t="shared" si="7"/>
        <v>2928.9221576849723</v>
      </c>
      <c r="AI25" s="623">
        <f t="shared" si="8"/>
        <v>203.41140584645427</v>
      </c>
      <c r="AJ25" s="623">
        <f t="shared" si="9"/>
        <v>67.336851972523434</v>
      </c>
      <c r="AK25" s="623">
        <f t="shared" si="10"/>
        <v>384.44315369944212</v>
      </c>
      <c r="AL25" s="623"/>
      <c r="AM25" s="650"/>
      <c r="AN25" s="650"/>
      <c r="AO25" s="623">
        <f t="shared" si="13"/>
        <v>4075.9415787548096</v>
      </c>
      <c r="AP25" s="623"/>
      <c r="AQ25" s="624"/>
      <c r="AR25" s="651"/>
      <c r="AS25" s="651"/>
      <c r="AT25" s="624"/>
      <c r="AU25" s="652"/>
      <c r="AV25" s="524">
        <f t="shared" si="14"/>
        <v>0</v>
      </c>
      <c r="AW25" s="524"/>
      <c r="AX25" s="525"/>
      <c r="AY25" s="649"/>
      <c r="AZ25" s="1095"/>
      <c r="BA25" s="1526">
        <f t="shared" si="18"/>
        <v>0</v>
      </c>
      <c r="BB25" s="1526"/>
      <c r="BC25" s="1526">
        <f t="shared" si="19"/>
        <v>136.51539548970496</v>
      </c>
      <c r="BD25" s="525">
        <f t="shared" si="20"/>
        <v>1629.8748833675024</v>
      </c>
      <c r="BE25" s="525">
        <f t="shared" si="21"/>
        <v>430.30814238798212</v>
      </c>
      <c r="BF25" s="525">
        <f t="shared" si="22"/>
        <v>99.409817875726972</v>
      </c>
      <c r="BG25" s="525">
        <f t="shared" si="23"/>
        <v>6.0106294831399349</v>
      </c>
      <c r="BH25" s="525">
        <f t="shared" si="24"/>
        <v>37.019999999999527</v>
      </c>
      <c r="BI25" s="525">
        <f t="shared" si="25"/>
        <v>0</v>
      </c>
      <c r="BJ25" s="525">
        <v>6.68</v>
      </c>
      <c r="BK25" s="525"/>
    </row>
    <row r="26" spans="1:63" s="124" customFormat="1" x14ac:dyDescent="0.25">
      <c r="A26" s="36">
        <v>18</v>
      </c>
      <c r="B26" s="580">
        <v>42648</v>
      </c>
      <c r="C26" s="425" t="s">
        <v>226</v>
      </c>
      <c r="D26" s="681">
        <v>1989</v>
      </c>
      <c r="E26" s="683">
        <v>1</v>
      </c>
      <c r="F26" s="681">
        <v>2</v>
      </c>
      <c r="G26" s="681">
        <v>6</v>
      </c>
      <c r="H26" s="685">
        <v>54</v>
      </c>
      <c r="I26" s="686"/>
      <c r="J26" s="686">
        <v>0</v>
      </c>
      <c r="K26" s="686">
        <v>0</v>
      </c>
      <c r="L26" s="686">
        <v>0</v>
      </c>
      <c r="M26" s="686">
        <v>0</v>
      </c>
      <c r="N26" s="686">
        <v>51.84</v>
      </c>
      <c r="O26" s="686">
        <v>60.48</v>
      </c>
      <c r="P26" s="686">
        <v>0</v>
      </c>
      <c r="Q26" s="686">
        <v>0</v>
      </c>
      <c r="R26" s="687">
        <v>369.36</v>
      </c>
      <c r="S26" s="687">
        <v>430.92</v>
      </c>
      <c r="T26" s="621">
        <v>2715.12</v>
      </c>
      <c r="U26" s="621">
        <v>2626.56</v>
      </c>
      <c r="V26" s="621"/>
      <c r="W26" s="621"/>
      <c r="X26" s="621"/>
      <c r="Y26" s="621"/>
      <c r="Z26" s="620">
        <f t="shared" si="0"/>
        <v>3136.3199999999997</v>
      </c>
      <c r="AA26" s="620">
        <f t="shared" si="1"/>
        <v>3117.96</v>
      </c>
      <c r="AB26" s="524">
        <f t="shared" si="2"/>
        <v>2921.1659288060087</v>
      </c>
      <c r="AC26" s="649"/>
      <c r="AD26" s="623">
        <f t="shared" si="3"/>
        <v>75.697879074560362</v>
      </c>
      <c r="AE26" s="623">
        <f t="shared" si="4"/>
        <v>27.527213527854332</v>
      </c>
      <c r="AF26" s="623">
        <f t="shared" si="5"/>
        <v>1.948385113471784</v>
      </c>
      <c r="AG26" s="623">
        <f t="shared" si="6"/>
        <v>140.74052705982191</v>
      </c>
      <c r="AH26" s="623">
        <f t="shared" si="7"/>
        <v>1464.4610788424861</v>
      </c>
      <c r="AI26" s="623">
        <f t="shared" si="8"/>
        <v>101.70570292322714</v>
      </c>
      <c r="AJ26" s="623">
        <f t="shared" si="9"/>
        <v>33.668425986261717</v>
      </c>
      <c r="AK26" s="623">
        <f t="shared" si="10"/>
        <v>192.22157684972106</v>
      </c>
      <c r="AL26" s="623"/>
      <c r="AM26" s="650"/>
      <c r="AN26" s="650"/>
      <c r="AO26" s="623">
        <f t="shared" si="13"/>
        <v>2037.9707893774048</v>
      </c>
      <c r="AP26" s="623"/>
      <c r="AQ26" s="624"/>
      <c r="AR26" s="651"/>
      <c r="AS26" s="651"/>
      <c r="AT26" s="624"/>
      <c r="AU26" s="652"/>
      <c r="AV26" s="524">
        <f t="shared" si="14"/>
        <v>0</v>
      </c>
      <c r="AW26" s="524"/>
      <c r="AX26" s="525"/>
      <c r="AY26" s="649"/>
      <c r="AZ26" s="1095"/>
      <c r="BA26" s="1526">
        <f t="shared" si="18"/>
        <v>0</v>
      </c>
      <c r="BB26" s="1526"/>
      <c r="BC26" s="1526">
        <f t="shared" si="19"/>
        <v>68.257697744852479</v>
      </c>
      <c r="BD26" s="525">
        <f t="shared" si="20"/>
        <v>814.93744168375122</v>
      </c>
      <c r="BE26" s="525">
        <f t="shared" si="21"/>
        <v>215.15407119399106</v>
      </c>
      <c r="BF26" s="525">
        <f t="shared" si="22"/>
        <v>99.414600550964195</v>
      </c>
      <c r="BG26" s="525">
        <f t="shared" si="23"/>
        <v>6.0106294831399349</v>
      </c>
      <c r="BH26" s="525">
        <f t="shared" si="24"/>
        <v>18.359999999999673</v>
      </c>
      <c r="BI26" s="525">
        <f t="shared" si="25"/>
        <v>0</v>
      </c>
      <c r="BJ26" s="525">
        <v>6.68</v>
      </c>
      <c r="BK26" s="525"/>
    </row>
    <row r="27" spans="1:63" s="124" customFormat="1" x14ac:dyDescent="0.25">
      <c r="A27" s="36">
        <v>19</v>
      </c>
      <c r="B27" s="580">
        <v>42648</v>
      </c>
      <c r="C27" s="425" t="s">
        <v>592</v>
      </c>
      <c r="D27" s="681">
        <v>1989</v>
      </c>
      <c r="E27" s="683">
        <v>1</v>
      </c>
      <c r="F27" s="681">
        <v>2</v>
      </c>
      <c r="G27" s="681"/>
      <c r="H27" s="685">
        <v>108</v>
      </c>
      <c r="I27" s="686"/>
      <c r="J27" s="686">
        <v>0</v>
      </c>
      <c r="K27" s="686">
        <v>0</v>
      </c>
      <c r="L27" s="686">
        <v>0</v>
      </c>
      <c r="M27" s="686">
        <v>0</v>
      </c>
      <c r="N27" s="686">
        <v>155.52000000000001</v>
      </c>
      <c r="O27" s="686">
        <v>164.16</v>
      </c>
      <c r="P27" s="686">
        <v>0</v>
      </c>
      <c r="Q27" s="686">
        <v>0</v>
      </c>
      <c r="R27" s="687">
        <v>738.72</v>
      </c>
      <c r="S27" s="687">
        <v>923.39</v>
      </c>
      <c r="T27" s="621">
        <v>6882.8</v>
      </c>
      <c r="U27" s="621">
        <v>6198.08</v>
      </c>
      <c r="V27" s="621"/>
      <c r="W27" s="621"/>
      <c r="X27" s="621"/>
      <c r="Y27" s="621"/>
      <c r="Z27" s="620">
        <f t="shared" si="0"/>
        <v>7777.04</v>
      </c>
      <c r="AA27" s="620">
        <f t="shared" si="1"/>
        <v>7285.63</v>
      </c>
      <c r="AB27" s="524">
        <f t="shared" si="2"/>
        <v>5842.3318576120173</v>
      </c>
      <c r="AC27" s="649"/>
      <c r="AD27" s="623">
        <f t="shared" si="3"/>
        <v>151.39575814912072</v>
      </c>
      <c r="AE27" s="623">
        <f t="shared" si="4"/>
        <v>55.054427055708665</v>
      </c>
      <c r="AF27" s="623">
        <f t="shared" si="5"/>
        <v>3.896770226943568</v>
      </c>
      <c r="AG27" s="623">
        <f t="shared" si="6"/>
        <v>281.48105411964383</v>
      </c>
      <c r="AH27" s="623">
        <f t="shared" si="7"/>
        <v>2928.9221576849723</v>
      </c>
      <c r="AI27" s="623">
        <f t="shared" si="8"/>
        <v>203.41140584645427</v>
      </c>
      <c r="AJ27" s="623">
        <f t="shared" si="9"/>
        <v>67.336851972523434</v>
      </c>
      <c r="AK27" s="623">
        <f t="shared" si="10"/>
        <v>384.44315369944212</v>
      </c>
      <c r="AL27" s="623"/>
      <c r="AM27" s="650"/>
      <c r="AN27" s="650"/>
      <c r="AO27" s="623">
        <f t="shared" si="13"/>
        <v>4075.9415787548096</v>
      </c>
      <c r="AP27" s="623"/>
      <c r="AQ27" s="624"/>
      <c r="AR27" s="651"/>
      <c r="AS27" s="651"/>
      <c r="AT27" s="624"/>
      <c r="AU27" s="652"/>
      <c r="AV27" s="524">
        <f t="shared" si="14"/>
        <v>0</v>
      </c>
      <c r="AW27" s="524"/>
      <c r="AX27" s="525"/>
      <c r="AY27" s="649"/>
      <c r="AZ27" s="1095"/>
      <c r="BA27" s="1526">
        <f t="shared" si="18"/>
        <v>0</v>
      </c>
      <c r="BB27" s="1526"/>
      <c r="BC27" s="1526">
        <f t="shared" si="19"/>
        <v>136.51539548970496</v>
      </c>
      <c r="BD27" s="525">
        <f t="shared" si="20"/>
        <v>1629.8748833675024</v>
      </c>
      <c r="BE27" s="525">
        <f t="shared" si="21"/>
        <v>1934.7081423879827</v>
      </c>
      <c r="BF27" s="525">
        <f t="shared" si="22"/>
        <v>93.681272052091799</v>
      </c>
      <c r="BG27" s="525">
        <f t="shared" si="23"/>
        <v>6.0106294831399349</v>
      </c>
      <c r="BH27" s="525">
        <f t="shared" si="24"/>
        <v>491.40999999999985</v>
      </c>
      <c r="BI27" s="525">
        <f t="shared" si="25"/>
        <v>0</v>
      </c>
      <c r="BJ27" s="525">
        <v>6.34</v>
      </c>
      <c r="BK27" s="525"/>
    </row>
    <row r="28" spans="1:63" s="124" customFormat="1" x14ac:dyDescent="0.25">
      <c r="A28" s="13">
        <v>20</v>
      </c>
      <c r="B28" s="573"/>
      <c r="C28" s="425" t="s">
        <v>227</v>
      </c>
      <c r="D28" s="681">
        <v>2010</v>
      </c>
      <c r="E28" s="681">
        <v>2</v>
      </c>
      <c r="F28" s="681">
        <v>10</v>
      </c>
      <c r="G28" s="681">
        <v>30</v>
      </c>
      <c r="H28" s="676">
        <v>637.20000000000005</v>
      </c>
      <c r="I28" s="676"/>
      <c r="J28" s="676">
        <v>15101.76</v>
      </c>
      <c r="K28" s="676">
        <v>17483.68</v>
      </c>
      <c r="L28" s="676">
        <v>0</v>
      </c>
      <c r="M28" s="676">
        <v>0</v>
      </c>
      <c r="N28" s="676">
        <v>611.76</v>
      </c>
      <c r="O28" s="676">
        <v>708.26</v>
      </c>
      <c r="P28" s="676">
        <v>0</v>
      </c>
      <c r="Q28" s="676">
        <v>0</v>
      </c>
      <c r="R28" s="591">
        <v>6805.32</v>
      </c>
      <c r="S28" s="591">
        <v>7878.67</v>
      </c>
      <c r="T28" s="628">
        <v>62834.52</v>
      </c>
      <c r="U28" s="628">
        <v>57629.27</v>
      </c>
      <c r="V28" s="620">
        <v>2069.91</v>
      </c>
      <c r="W28" s="620">
        <v>2069.91</v>
      </c>
      <c r="X28" s="628">
        <v>3689.64</v>
      </c>
      <c r="Y28" s="628">
        <v>2986.56</v>
      </c>
      <c r="Z28" s="620">
        <f t="shared" si="0"/>
        <v>91112.91</v>
      </c>
      <c r="AA28" s="620">
        <f t="shared" si="1"/>
        <v>88756.35</v>
      </c>
      <c r="AB28" s="524">
        <f t="shared" si="2"/>
        <v>68898.869620259866</v>
      </c>
      <c r="AC28" s="591">
        <v>170.42</v>
      </c>
      <c r="AD28" s="623">
        <f t="shared" si="3"/>
        <v>893.23497307981245</v>
      </c>
      <c r="AE28" s="623">
        <f t="shared" si="4"/>
        <v>324.82111962868117</v>
      </c>
      <c r="AF28" s="623">
        <f t="shared" si="5"/>
        <v>22.990944338967054</v>
      </c>
      <c r="AG28" s="623">
        <f t="shared" si="6"/>
        <v>1660.7382193058986</v>
      </c>
      <c r="AH28" s="623">
        <f t="shared" si="7"/>
        <v>17280.640730341336</v>
      </c>
      <c r="AI28" s="623">
        <f t="shared" si="8"/>
        <v>1200.1272944940804</v>
      </c>
      <c r="AJ28" s="623">
        <f t="shared" si="9"/>
        <v>397.2874266378883</v>
      </c>
      <c r="AK28" s="623">
        <f t="shared" si="10"/>
        <v>2268.2146068267089</v>
      </c>
      <c r="AL28" s="623">
        <v>705.6</v>
      </c>
      <c r="AM28" s="623">
        <f t="shared" ref="AM28:AM32" si="26">748254.57/27445.26*H28</f>
        <v>17372.319008965482</v>
      </c>
      <c r="AN28" s="623">
        <f t="shared" ref="AN28:AN32" si="27">AM28*0.202</f>
        <v>3509.2084398110273</v>
      </c>
      <c r="AO28" s="623">
        <f t="shared" si="13"/>
        <v>45805.602763429888</v>
      </c>
      <c r="AP28" s="623"/>
      <c r="AQ28" s="624"/>
      <c r="AR28" s="624"/>
      <c r="AS28" s="624"/>
      <c r="AT28" s="624"/>
      <c r="AU28" s="525"/>
      <c r="AV28" s="524">
        <f t="shared" si="14"/>
        <v>0</v>
      </c>
      <c r="AW28" s="524">
        <f t="shared" ref="AW28" si="28">5569.52/25679.26*H28</f>
        <v>138.20095065044711</v>
      </c>
      <c r="AX28" s="525">
        <v>65.239999999999995</v>
      </c>
      <c r="AY28" s="622">
        <f t="shared" ref="AY28" si="29">418026.06/25679.26*H28</f>
        <v>10372.81469294676</v>
      </c>
      <c r="AZ28" s="1095">
        <f t="shared" ref="AZ28" si="30">AY28*0.202</f>
        <v>2095.3085679752458</v>
      </c>
      <c r="BA28" s="1526">
        <f t="shared" si="18"/>
        <v>12671.564211572453</v>
      </c>
      <c r="BB28" s="1526"/>
      <c r="BC28" s="1526">
        <f t="shared" si="19"/>
        <v>805.4408333892593</v>
      </c>
      <c r="BD28" s="525">
        <f t="shared" si="20"/>
        <v>9616.2618118682658</v>
      </c>
      <c r="BE28" s="525">
        <f t="shared" si="21"/>
        <v>22214.040379740138</v>
      </c>
      <c r="BF28" s="525">
        <f t="shared" si="22"/>
        <v>97.413582773286464</v>
      </c>
      <c r="BG28" s="525">
        <f t="shared" si="23"/>
        <v>12.014171308547789</v>
      </c>
      <c r="BH28" s="525">
        <f t="shared" si="24"/>
        <v>2356.5599999999977</v>
      </c>
      <c r="BI28" s="525">
        <f t="shared" si="25"/>
        <v>703.07999999999993</v>
      </c>
      <c r="BJ28" s="525">
        <v>15.41</v>
      </c>
      <c r="BK28" s="525">
        <v>1.31</v>
      </c>
    </row>
    <row r="29" spans="1:63" s="124" customFormat="1" x14ac:dyDescent="0.25">
      <c r="A29" s="13">
        <v>21</v>
      </c>
      <c r="B29" s="573"/>
      <c r="C29" s="425" t="s">
        <v>329</v>
      </c>
      <c r="D29" s="681">
        <v>2012</v>
      </c>
      <c r="E29" s="681">
        <v>2</v>
      </c>
      <c r="F29" s="681"/>
      <c r="G29" s="681"/>
      <c r="H29" s="676">
        <v>1179.9000000000001</v>
      </c>
      <c r="I29" s="676"/>
      <c r="J29" s="676">
        <v>0</v>
      </c>
      <c r="K29" s="676">
        <v>0</v>
      </c>
      <c r="L29" s="676">
        <v>0</v>
      </c>
      <c r="M29" s="676">
        <v>0</v>
      </c>
      <c r="N29" s="676">
        <v>1132.74</v>
      </c>
      <c r="O29" s="676">
        <v>1081.0999999999999</v>
      </c>
      <c r="P29" s="676">
        <v>0</v>
      </c>
      <c r="Q29" s="676">
        <v>0</v>
      </c>
      <c r="R29" s="591">
        <v>12601.27</v>
      </c>
      <c r="S29" s="591">
        <v>11923.81</v>
      </c>
      <c r="T29" s="628">
        <v>101624.96000000001</v>
      </c>
      <c r="U29" s="628">
        <v>74687.86</v>
      </c>
      <c r="V29" s="620">
        <v>753.42</v>
      </c>
      <c r="W29" s="620">
        <v>577.62</v>
      </c>
      <c r="X29" s="628">
        <v>20530.259999999998</v>
      </c>
      <c r="Y29" s="628">
        <v>15629.07</v>
      </c>
      <c r="Z29" s="620">
        <f t="shared" si="0"/>
        <v>136642.65</v>
      </c>
      <c r="AA29" s="620">
        <f t="shared" si="1"/>
        <v>103899.45999999999</v>
      </c>
      <c r="AB29" s="524">
        <f t="shared" si="2"/>
        <v>111003.21374405254</v>
      </c>
      <c r="AC29" s="591">
        <v>3342.33</v>
      </c>
      <c r="AD29" s="623">
        <f t="shared" si="3"/>
        <v>1653.9986577791442</v>
      </c>
      <c r="AE29" s="623">
        <f t="shared" si="4"/>
        <v>601.46961558361727</v>
      </c>
      <c r="AF29" s="623">
        <f t="shared" si="5"/>
        <v>42.572214729358485</v>
      </c>
      <c r="AG29" s="623">
        <f t="shared" si="6"/>
        <v>3075.180516257109</v>
      </c>
      <c r="AH29" s="623">
        <f t="shared" si="7"/>
        <v>31998.474572708325</v>
      </c>
      <c r="AI29" s="623">
        <f t="shared" si="8"/>
        <v>2222.2696088725129</v>
      </c>
      <c r="AJ29" s="623">
        <f t="shared" si="9"/>
        <v>735.65510779981855</v>
      </c>
      <c r="AK29" s="623">
        <f t="shared" si="10"/>
        <v>4200.0414541664059</v>
      </c>
      <c r="AL29" s="623">
        <v>5167.1899999999996</v>
      </c>
      <c r="AM29" s="623">
        <f t="shared" si="26"/>
        <v>32168.234775075918</v>
      </c>
      <c r="AN29" s="623">
        <f t="shared" si="27"/>
        <v>6497.9834245653356</v>
      </c>
      <c r="AO29" s="623">
        <f t="shared" si="13"/>
        <v>91705.399947537546</v>
      </c>
      <c r="AP29" s="623"/>
      <c r="AQ29" s="624"/>
      <c r="AR29" s="624"/>
      <c r="AS29" s="624"/>
      <c r="AT29" s="624"/>
      <c r="AU29" s="525"/>
      <c r="AV29" s="524">
        <f t="shared" si="14"/>
        <v>0</v>
      </c>
      <c r="AW29" s="524"/>
      <c r="AX29" s="525"/>
      <c r="AY29" s="524"/>
      <c r="AZ29" s="1095"/>
      <c r="BA29" s="1526">
        <f t="shared" si="18"/>
        <v>0</v>
      </c>
      <c r="BB29" s="1526"/>
      <c r="BC29" s="1526">
        <f t="shared" si="19"/>
        <v>1491.4306957250267</v>
      </c>
      <c r="BD29" s="525">
        <f t="shared" si="20"/>
        <v>17806.383100789964</v>
      </c>
      <c r="BE29" s="525">
        <f t="shared" si="21"/>
        <v>25639.436255947454</v>
      </c>
      <c r="BF29" s="525">
        <f t="shared" si="22"/>
        <v>76.037357296568814</v>
      </c>
      <c r="BG29" s="525">
        <f t="shared" si="23"/>
        <v>10.453165875079105</v>
      </c>
      <c r="BH29" s="525">
        <f t="shared" si="24"/>
        <v>32743.190000000002</v>
      </c>
      <c r="BI29" s="525">
        <f t="shared" si="25"/>
        <v>4901.1899999999987</v>
      </c>
      <c r="BJ29" s="525">
        <v>11.25</v>
      </c>
      <c r="BK29" s="525">
        <v>2</v>
      </c>
    </row>
    <row r="30" spans="1:63" s="124" customFormat="1" x14ac:dyDescent="0.25">
      <c r="A30" s="13">
        <v>22</v>
      </c>
      <c r="B30" s="576"/>
      <c r="C30" s="426" t="s">
        <v>330</v>
      </c>
      <c r="D30" s="688">
        <v>2012</v>
      </c>
      <c r="E30" s="688">
        <v>3</v>
      </c>
      <c r="F30" s="688">
        <v>28</v>
      </c>
      <c r="G30" s="688"/>
      <c r="H30" s="689">
        <v>1588.6</v>
      </c>
      <c r="I30" s="689"/>
      <c r="J30" s="689">
        <v>36793.93</v>
      </c>
      <c r="K30" s="689">
        <v>38880.81</v>
      </c>
      <c r="L30" s="689">
        <v>0</v>
      </c>
      <c r="M30" s="689">
        <v>0</v>
      </c>
      <c r="N30" s="689">
        <v>1446.39</v>
      </c>
      <c r="O30" s="689">
        <v>1409.32</v>
      </c>
      <c r="P30" s="689">
        <v>9040.24</v>
      </c>
      <c r="Q30" s="689">
        <v>9666.7999999999993</v>
      </c>
      <c r="R30" s="632">
        <v>16091.52</v>
      </c>
      <c r="S30" s="632">
        <v>17221.13</v>
      </c>
      <c r="T30" s="630">
        <v>125576.48</v>
      </c>
      <c r="U30" s="630">
        <v>103859.75</v>
      </c>
      <c r="V30" s="1360">
        <v>2329.17</v>
      </c>
      <c r="W30" s="1360">
        <v>2077.15</v>
      </c>
      <c r="X30" s="630">
        <v>27114.33</v>
      </c>
      <c r="Y30" s="630">
        <v>25276.62</v>
      </c>
      <c r="Z30" s="620">
        <f t="shared" si="0"/>
        <v>218392.06</v>
      </c>
      <c r="AA30" s="620">
        <f t="shared" si="1"/>
        <v>198391.58</v>
      </c>
      <c r="AB30" s="524">
        <f t="shared" si="2"/>
        <v>197474.28227775125</v>
      </c>
      <c r="AC30" s="632">
        <v>294.69</v>
      </c>
      <c r="AD30" s="623">
        <f t="shared" si="3"/>
        <v>2226.9194573675295</v>
      </c>
      <c r="AE30" s="623">
        <f t="shared" si="4"/>
        <v>809.80984093239613</v>
      </c>
      <c r="AF30" s="623">
        <f t="shared" si="5"/>
        <v>57.318603541875483</v>
      </c>
      <c r="AG30" s="623">
        <f t="shared" si="6"/>
        <v>4140.3778016154274</v>
      </c>
      <c r="AH30" s="623">
        <f t="shared" si="7"/>
        <v>43082.275367577284</v>
      </c>
      <c r="AI30" s="623">
        <f t="shared" si="8"/>
        <v>2992.0311048859003</v>
      </c>
      <c r="AJ30" s="623">
        <f t="shared" si="9"/>
        <v>990.47521336621037</v>
      </c>
      <c r="AK30" s="623">
        <f t="shared" si="10"/>
        <v>5654.8740182123493</v>
      </c>
      <c r="AL30" s="623">
        <v>5555.9</v>
      </c>
      <c r="AM30" s="623">
        <f t="shared" si="26"/>
        <v>43310.83800634426</v>
      </c>
      <c r="AN30" s="623">
        <f t="shared" si="27"/>
        <v>8748.7892772815412</v>
      </c>
      <c r="AO30" s="623">
        <f t="shared" si="13"/>
        <v>117864.29869112479</v>
      </c>
      <c r="AP30" s="623"/>
      <c r="AQ30" s="624"/>
      <c r="AR30" s="624">
        <v>9000</v>
      </c>
      <c r="AS30" s="624"/>
      <c r="AT30" s="624"/>
      <c r="AU30" s="525"/>
      <c r="AV30" s="524">
        <f t="shared" si="14"/>
        <v>9000</v>
      </c>
      <c r="AW30" s="524">
        <f t="shared" ref="AW30" si="31">5569.52/25679.26*H30</f>
        <v>344.54806999890184</v>
      </c>
      <c r="AX30" s="525">
        <v>213.65</v>
      </c>
      <c r="AY30" s="622">
        <f t="shared" ref="AY30" si="32">418026.06/25679.26*H30</f>
        <v>25860.410265560611</v>
      </c>
      <c r="AZ30" s="1095">
        <f t="shared" ref="AZ30" si="33">AY30*0.202</f>
        <v>5223.8028736432434</v>
      </c>
      <c r="BA30" s="1526">
        <f t="shared" si="18"/>
        <v>31642.411209202757</v>
      </c>
      <c r="BB30" s="1526">
        <f>28991.93/3546.83*H30</f>
        <v>12985.279812677798</v>
      </c>
      <c r="BC30" s="1526">
        <f t="shared" si="19"/>
        <v>2008.0403451383822</v>
      </c>
      <c r="BD30" s="525">
        <f t="shared" si="20"/>
        <v>23974.252219607541</v>
      </c>
      <c r="BE30" s="525">
        <f t="shared" si="21"/>
        <v>20917.777722248749</v>
      </c>
      <c r="BF30" s="525">
        <f t="shared" si="22"/>
        <v>90.841938118079923</v>
      </c>
      <c r="BG30" s="525">
        <f t="shared" si="23"/>
        <v>13.811901623914226</v>
      </c>
      <c r="BH30" s="525">
        <f t="shared" si="24"/>
        <v>20000.48000000001</v>
      </c>
      <c r="BI30" s="525">
        <f t="shared" si="25"/>
        <v>1837.7100000000028</v>
      </c>
      <c r="BJ30" s="525">
        <v>14.43</v>
      </c>
      <c r="BK30" s="525">
        <v>2</v>
      </c>
    </row>
    <row r="31" spans="1:63" s="124" customFormat="1" x14ac:dyDescent="0.25">
      <c r="A31" s="13">
        <v>23</v>
      </c>
      <c r="B31" s="576"/>
      <c r="C31" s="426" t="s">
        <v>474</v>
      </c>
      <c r="D31" s="681"/>
      <c r="E31" s="681">
        <v>2</v>
      </c>
      <c r="F31" s="681"/>
      <c r="G31" s="681"/>
      <c r="H31" s="676">
        <v>586.1</v>
      </c>
      <c r="I31" s="676"/>
      <c r="J31" s="676">
        <v>0</v>
      </c>
      <c r="K31" s="676">
        <v>0</v>
      </c>
      <c r="L31" s="676">
        <v>0</v>
      </c>
      <c r="M31" s="676">
        <v>0</v>
      </c>
      <c r="N31" s="676">
        <v>543.48</v>
      </c>
      <c r="O31" s="676">
        <v>699.23</v>
      </c>
      <c r="P31" s="676">
        <v>3396.6</v>
      </c>
      <c r="Q31" s="676">
        <v>4369.87</v>
      </c>
      <c r="R31" s="591">
        <v>6045.96</v>
      </c>
      <c r="S31" s="591">
        <v>7708.29</v>
      </c>
      <c r="T31" s="628">
        <v>72075.839999999997</v>
      </c>
      <c r="U31" s="628">
        <v>68639.600000000006</v>
      </c>
      <c r="V31" s="620">
        <v>1594.44</v>
      </c>
      <c r="W31" s="620">
        <v>1504.99</v>
      </c>
      <c r="X31" s="628">
        <v>10189.799999999999</v>
      </c>
      <c r="Y31" s="628">
        <v>10179.09</v>
      </c>
      <c r="Z31" s="620">
        <f t="shared" si="0"/>
        <v>93846.12000000001</v>
      </c>
      <c r="AA31" s="620">
        <f t="shared" si="1"/>
        <v>93101.07</v>
      </c>
      <c r="AB31" s="524">
        <f t="shared" si="2"/>
        <v>57788.385934959268</v>
      </c>
      <c r="AC31" s="591">
        <v>135.74</v>
      </c>
      <c r="AD31" s="623">
        <f t="shared" si="3"/>
        <v>821.60235047407105</v>
      </c>
      <c r="AE31" s="623">
        <f t="shared" si="4"/>
        <v>298.7722194199153</v>
      </c>
      <c r="AF31" s="623">
        <f t="shared" si="5"/>
        <v>21.147194722329864</v>
      </c>
      <c r="AG31" s="623">
        <f t="shared" si="6"/>
        <v>1527.5559798104005</v>
      </c>
      <c r="AH31" s="623">
        <f t="shared" si="7"/>
        <v>15894.826635362613</v>
      </c>
      <c r="AI31" s="623">
        <f t="shared" si="8"/>
        <v>1103.883564505619</v>
      </c>
      <c r="AJ31" s="623">
        <f t="shared" si="9"/>
        <v>365.42711982496286</v>
      </c>
      <c r="AK31" s="623">
        <f t="shared" si="10"/>
        <v>2086.3160405855838</v>
      </c>
      <c r="AL31" s="623">
        <v>1949.43</v>
      </c>
      <c r="AM31" s="623">
        <f t="shared" si="26"/>
        <v>15979.152810977197</v>
      </c>
      <c r="AN31" s="623">
        <f t="shared" si="27"/>
        <v>3227.788867817394</v>
      </c>
      <c r="AO31" s="623">
        <f t="shared" si="13"/>
        <v>43411.642783500094</v>
      </c>
      <c r="AP31" s="623"/>
      <c r="AQ31" s="624"/>
      <c r="AR31" s="624"/>
      <c r="AS31" s="624"/>
      <c r="AT31" s="624"/>
      <c r="AU31" s="525"/>
      <c r="AV31" s="524">
        <f t="shared" si="14"/>
        <v>0</v>
      </c>
      <c r="AW31" s="524"/>
      <c r="AX31" s="525"/>
      <c r="AY31" s="524"/>
      <c r="AZ31" s="1095"/>
      <c r="BA31" s="1526">
        <f t="shared" si="18"/>
        <v>0</v>
      </c>
      <c r="BB31" s="1526">
        <f t="shared" ref="BB31:BB32" si="34">28991.93/3546.83*H31</f>
        <v>4790.8047955498287</v>
      </c>
      <c r="BC31" s="1526">
        <f t="shared" si="19"/>
        <v>740.84882681959323</v>
      </c>
      <c r="BD31" s="525">
        <f t="shared" si="20"/>
        <v>8845.0895290897515</v>
      </c>
      <c r="BE31" s="525">
        <f t="shared" si="21"/>
        <v>36057.734065040742</v>
      </c>
      <c r="BF31" s="525">
        <f t="shared" si="22"/>
        <v>99.206093975968315</v>
      </c>
      <c r="BG31" s="525">
        <f t="shared" si="23"/>
        <v>10.955351937469764</v>
      </c>
      <c r="BH31" s="525">
        <f t="shared" si="24"/>
        <v>745.05000000000291</v>
      </c>
      <c r="BI31" s="525">
        <f t="shared" si="25"/>
        <v>10.709999999999127</v>
      </c>
      <c r="BJ31" s="525">
        <v>16.440000000000001</v>
      </c>
      <c r="BK31" s="525">
        <v>2</v>
      </c>
    </row>
    <row r="32" spans="1:63" s="124" customFormat="1" ht="14.25" customHeight="1" x14ac:dyDescent="0.25">
      <c r="A32" s="13">
        <v>24</v>
      </c>
      <c r="B32" s="580">
        <v>42648</v>
      </c>
      <c r="C32" s="426" t="s">
        <v>543</v>
      </c>
      <c r="D32" s="688"/>
      <c r="E32" s="688">
        <v>3</v>
      </c>
      <c r="F32" s="688"/>
      <c r="G32" s="688"/>
      <c r="H32" s="689">
        <v>1372.13</v>
      </c>
      <c r="I32" s="689"/>
      <c r="J32" s="689">
        <v>16531.060000000001</v>
      </c>
      <c r="K32" s="689">
        <v>9607.0400000000009</v>
      </c>
      <c r="L32" s="689">
        <v>16322.34</v>
      </c>
      <c r="M32" s="689">
        <v>13981</v>
      </c>
      <c r="N32" s="689">
        <v>1302.0899999999999</v>
      </c>
      <c r="O32" s="689">
        <v>939.4</v>
      </c>
      <c r="P32" s="689">
        <v>8137.41</v>
      </c>
      <c r="Q32" s="689">
        <v>5870.89</v>
      </c>
      <c r="R32" s="632">
        <v>14484.51</v>
      </c>
      <c r="S32" s="632">
        <v>10450.23</v>
      </c>
      <c r="T32" s="630">
        <v>189015.91</v>
      </c>
      <c r="U32" s="630">
        <v>104398.49</v>
      </c>
      <c r="V32" s="1360">
        <v>4456.53</v>
      </c>
      <c r="W32" s="1360">
        <v>2418.34</v>
      </c>
      <c r="X32" s="630">
        <v>30488.29</v>
      </c>
      <c r="Y32" s="630">
        <v>18083.02</v>
      </c>
      <c r="Z32" s="620">
        <f t="shared" si="0"/>
        <v>280738.14</v>
      </c>
      <c r="AA32" s="620">
        <f t="shared" si="1"/>
        <v>165748.40999999997</v>
      </c>
      <c r="AB32" s="524">
        <f t="shared" si="2"/>
        <v>177808.15435010125</v>
      </c>
      <c r="AC32" s="632">
        <v>7035.65</v>
      </c>
      <c r="AD32" s="623">
        <f t="shared" si="3"/>
        <v>1923.4690891588245</v>
      </c>
      <c r="AE32" s="623">
        <f t="shared" si="4"/>
        <v>699.46139811064393</v>
      </c>
      <c r="AF32" s="623">
        <f t="shared" si="5"/>
        <v>49.508104921259985</v>
      </c>
      <c r="AG32" s="623">
        <f t="shared" si="6"/>
        <v>3576.1907295295082</v>
      </c>
      <c r="AH32" s="623">
        <f t="shared" si="7"/>
        <v>37211.684816891495</v>
      </c>
      <c r="AI32" s="623">
        <f t="shared" si="8"/>
        <v>2584.3230768897715</v>
      </c>
      <c r="AJ32" s="623">
        <f t="shared" si="9"/>
        <v>855.5084694172092</v>
      </c>
      <c r="AK32" s="623">
        <f t="shared" si="10"/>
        <v>4884.3146711631071</v>
      </c>
      <c r="AL32" s="623"/>
      <c r="AM32" s="623">
        <f t="shared" si="26"/>
        <v>37409.102450991537</v>
      </c>
      <c r="AN32" s="623">
        <f t="shared" si="27"/>
        <v>7556.6386951002905</v>
      </c>
      <c r="AO32" s="623">
        <f t="shared" si="13"/>
        <v>103785.85150217364</v>
      </c>
      <c r="AP32" s="623">
        <v>6543.01</v>
      </c>
      <c r="AQ32" s="624"/>
      <c r="AR32" s="624">
        <v>6000</v>
      </c>
      <c r="AS32" s="624"/>
      <c r="AT32" s="624"/>
      <c r="AU32" s="525"/>
      <c r="AV32" s="524">
        <f t="shared" si="14"/>
        <v>12543.01</v>
      </c>
      <c r="AW32" s="524">
        <f t="shared" ref="AW32" si="35">5569.52/25679.26*H32</f>
        <v>297.59835281857818</v>
      </c>
      <c r="AX32" s="1032">
        <v>675.49</v>
      </c>
      <c r="AY32" s="622">
        <f t="shared" ref="AY32" si="36">418026.06/25679.26*H32</f>
        <v>22336.550886115881</v>
      </c>
      <c r="AZ32" s="1095">
        <f t="shared" ref="AZ32" si="37">AY32*0.202</f>
        <v>4511.983278995408</v>
      </c>
      <c r="BA32" s="614">
        <f t="shared" si="18"/>
        <v>27821.622517929871</v>
      </c>
      <c r="BB32" s="1526">
        <f t="shared" si="34"/>
        <v>11215.845391772371</v>
      </c>
      <c r="BC32" s="1526">
        <f t="shared" si="19"/>
        <v>1734.4154593823043</v>
      </c>
      <c r="BD32" s="525">
        <f t="shared" si="20"/>
        <v>20707.409478843067</v>
      </c>
      <c r="BE32" s="525">
        <f t="shared" si="21"/>
        <v>102929.98564989876</v>
      </c>
      <c r="BF32" s="525">
        <f t="shared" si="22"/>
        <v>59.040218048035783</v>
      </c>
      <c r="BG32" s="525">
        <f t="shared" si="23"/>
        <v>14.398389069880912</v>
      </c>
      <c r="BH32" s="525">
        <f t="shared" si="24"/>
        <v>114989.73000000004</v>
      </c>
      <c r="BI32" s="525">
        <f t="shared" si="25"/>
        <v>12405.27</v>
      </c>
      <c r="BJ32" s="736">
        <v>20.51</v>
      </c>
      <c r="BK32" s="736">
        <v>2.5</v>
      </c>
    </row>
    <row r="33" spans="1:63" s="124" customFormat="1" x14ac:dyDescent="0.25">
      <c r="A33" s="13"/>
      <c r="B33" s="13"/>
      <c r="C33" s="417" t="s">
        <v>296</v>
      </c>
      <c r="D33" s="690"/>
      <c r="E33" s="690"/>
      <c r="F33" s="691">
        <f>SUM(F9:F28)</f>
        <v>468</v>
      </c>
      <c r="G33" s="691">
        <f>SUM(G9:G28)</f>
        <v>1278</v>
      </c>
      <c r="H33" s="653">
        <f>SUM(H9:H32)</f>
        <v>27715.26</v>
      </c>
      <c r="I33" s="653">
        <f>SUM(I9:I32)</f>
        <v>2501.9800000000005</v>
      </c>
      <c r="J33" s="653">
        <f t="shared" ref="J33:K33" si="38">SUM(J9:J32)</f>
        <v>325008.5199999999</v>
      </c>
      <c r="K33" s="653">
        <f t="shared" si="38"/>
        <v>366696.02999999997</v>
      </c>
      <c r="L33" s="653">
        <f t="shared" ref="L33:Q33" si="39">SUM(L9:L32)</f>
        <v>16322.34</v>
      </c>
      <c r="M33" s="653">
        <f t="shared" si="39"/>
        <v>13981</v>
      </c>
      <c r="N33" s="653">
        <f t="shared" si="39"/>
        <v>26533.499999999996</v>
      </c>
      <c r="O33" s="653">
        <f t="shared" si="39"/>
        <v>31407.48</v>
      </c>
      <c r="P33" s="653">
        <f t="shared" si="39"/>
        <v>20574.25</v>
      </c>
      <c r="Q33" s="653">
        <f t="shared" si="39"/>
        <v>19907.559999999998</v>
      </c>
      <c r="R33" s="637">
        <f>SUM(R9:R32)</f>
        <v>278843.38</v>
      </c>
      <c r="S33" s="637">
        <f>SUM(S9:S32)</f>
        <v>316617.92</v>
      </c>
      <c r="T33" s="653">
        <f t="shared" ref="T33:BK33" si="40">SUM(T9:T32)</f>
        <v>2629730.4419999998</v>
      </c>
      <c r="U33" s="653">
        <f t="shared" si="40"/>
        <v>2319478.7300000009</v>
      </c>
      <c r="V33" s="653">
        <f t="shared" si="40"/>
        <v>66262.87999999999</v>
      </c>
      <c r="W33" s="653">
        <f t="shared" si="40"/>
        <v>59127.420000000013</v>
      </c>
      <c r="X33" s="653">
        <f t="shared" si="40"/>
        <v>601768.51000000013</v>
      </c>
      <c r="Y33" s="653">
        <f t="shared" si="40"/>
        <v>544793.05000000005</v>
      </c>
      <c r="Z33" s="653">
        <f t="shared" si="40"/>
        <v>3965043.8220000006</v>
      </c>
      <c r="AA33" s="653">
        <f t="shared" si="40"/>
        <v>3672009.19</v>
      </c>
      <c r="AB33" s="653">
        <f t="shared" si="40"/>
        <v>3359455.14726</v>
      </c>
      <c r="AC33" s="653">
        <f t="shared" si="40"/>
        <v>55695.11</v>
      </c>
      <c r="AD33" s="653">
        <f t="shared" si="40"/>
        <v>38851.599999999991</v>
      </c>
      <c r="AE33" s="653">
        <f t="shared" si="40"/>
        <v>14128.220000000003</v>
      </c>
      <c r="AF33" s="653">
        <f t="shared" si="40"/>
        <v>1000</v>
      </c>
      <c r="AG33" s="653">
        <f t="shared" si="40"/>
        <v>72234.450000000012</v>
      </c>
      <c r="AH33" s="653">
        <f t="shared" si="40"/>
        <v>751628.14</v>
      </c>
      <c r="AI33" s="653">
        <f t="shared" si="40"/>
        <v>52200</v>
      </c>
      <c r="AJ33" s="653">
        <f t="shared" si="40"/>
        <v>17280.169999999998</v>
      </c>
      <c r="AK33" s="653">
        <f t="shared" si="40"/>
        <v>98656.87000000001</v>
      </c>
      <c r="AL33" s="653">
        <f t="shared" si="40"/>
        <v>65911.09</v>
      </c>
      <c r="AM33" s="653">
        <f t="shared" si="40"/>
        <v>748254.56999999983</v>
      </c>
      <c r="AN33" s="653">
        <f t="shared" si="40"/>
        <v>151147.42314000003</v>
      </c>
      <c r="AO33" s="653">
        <f t="shared" si="40"/>
        <v>2066987.6431400005</v>
      </c>
      <c r="AP33" s="653">
        <f t="shared" si="40"/>
        <v>92096.579999999987</v>
      </c>
      <c r="AQ33" s="653">
        <f t="shared" si="40"/>
        <v>79469</v>
      </c>
      <c r="AR33" s="653">
        <f t="shared" si="40"/>
        <v>15000</v>
      </c>
      <c r="AS33" s="653">
        <f t="shared" si="40"/>
        <v>0</v>
      </c>
      <c r="AT33" s="641">
        <f t="shared" si="40"/>
        <v>111773.98</v>
      </c>
      <c r="AU33" s="641">
        <f t="shared" si="40"/>
        <v>0</v>
      </c>
      <c r="AV33" s="641">
        <f t="shared" si="40"/>
        <v>298339.56000000006</v>
      </c>
      <c r="AW33" s="641">
        <f t="shared" si="40"/>
        <v>5569.52</v>
      </c>
      <c r="AX33" s="641">
        <f t="shared" si="40"/>
        <v>3803.1899999999996</v>
      </c>
      <c r="AY33" s="641">
        <f t="shared" si="40"/>
        <v>418026.05999999994</v>
      </c>
      <c r="AZ33" s="641">
        <f t="shared" si="40"/>
        <v>84441.264120000007</v>
      </c>
      <c r="BA33" s="641">
        <f t="shared" si="40"/>
        <v>511840.03412000014</v>
      </c>
      <c r="BB33" s="641">
        <f t="shared" si="40"/>
        <v>28991.929999999997</v>
      </c>
      <c r="BC33" s="641">
        <f t="shared" si="40"/>
        <v>35032.959999999999</v>
      </c>
      <c r="BD33" s="641">
        <f t="shared" si="40"/>
        <v>418263.02000000014</v>
      </c>
      <c r="BE33" s="641">
        <f t="shared" si="40"/>
        <v>605588.67473999981</v>
      </c>
      <c r="BF33" s="1155">
        <f t="shared" si="22"/>
        <v>92.609548717365968</v>
      </c>
      <c r="BG33" s="1155">
        <f t="shared" si="23"/>
        <v>13.468132506785071</v>
      </c>
      <c r="BH33" s="641">
        <f t="shared" si="40"/>
        <v>293034.63200000016</v>
      </c>
      <c r="BI33" s="641">
        <f t="shared" si="40"/>
        <v>56975.460000000006</v>
      </c>
      <c r="BJ33" s="641">
        <f t="shared" si="40"/>
        <v>309.30999999999995</v>
      </c>
      <c r="BK33" s="641">
        <f t="shared" si="40"/>
        <v>59.03</v>
      </c>
    </row>
    <row r="34" spans="1:63" s="124" customFormat="1" x14ac:dyDescent="0.25">
      <c r="A34" s="13"/>
      <c r="B34" s="13"/>
      <c r="C34" s="417" t="s">
        <v>753</v>
      </c>
      <c r="D34" s="690"/>
      <c r="E34" s="1530">
        <f>H33-H25-H26-H27</f>
        <v>27445.26</v>
      </c>
      <c r="F34" s="691"/>
      <c r="G34" s="691"/>
      <c r="H34" s="692"/>
      <c r="I34" s="692"/>
      <c r="J34" s="692"/>
      <c r="K34" s="692"/>
      <c r="L34" s="692"/>
      <c r="M34" s="692"/>
      <c r="N34" s="692"/>
      <c r="O34" s="692"/>
      <c r="P34" s="692"/>
      <c r="Q34" s="692"/>
      <c r="R34" s="692"/>
      <c r="S34" s="692"/>
      <c r="T34" s="163"/>
      <c r="U34" s="163"/>
      <c r="V34" s="163"/>
      <c r="W34" s="163"/>
      <c r="X34" s="163"/>
      <c r="Y34" s="163"/>
      <c r="Z34" s="163"/>
      <c r="AA34" s="163"/>
      <c r="AB34" s="418"/>
      <c r="AC34" s="419">
        <f>AC33+AD33</f>
        <v>94546.709999999992</v>
      </c>
      <c r="AD34" s="420"/>
      <c r="AE34" s="420"/>
      <c r="AF34" s="420"/>
      <c r="AG34" s="420"/>
      <c r="AH34" s="421" t="s">
        <v>180</v>
      </c>
      <c r="AI34" s="421"/>
      <c r="AJ34" s="421"/>
      <c r="AK34" s="419"/>
      <c r="AL34" s="419"/>
      <c r="AM34" s="641">
        <f>AM33+AN33</f>
        <v>899401.99313999992</v>
      </c>
      <c r="AN34" s="421"/>
      <c r="AO34" s="421" t="s">
        <v>180</v>
      </c>
      <c r="AP34" s="421"/>
      <c r="AQ34" s="421"/>
      <c r="AR34" s="421"/>
      <c r="AS34" s="421"/>
      <c r="AT34" s="421"/>
      <c r="AU34" s="294"/>
      <c r="AV34" s="49" t="s">
        <v>180</v>
      </c>
      <c r="AW34" s="1527">
        <f>AW33+AX33</f>
        <v>9372.7099999999991</v>
      </c>
      <c r="AX34" s="294"/>
      <c r="AY34" s="1529">
        <f>AY33+AZ33</f>
        <v>502467.32411999995</v>
      </c>
      <c r="AZ34" s="614"/>
      <c r="BA34" s="614" t="s">
        <v>180</v>
      </c>
      <c r="BB34" s="614"/>
      <c r="BC34" s="614"/>
      <c r="BD34" s="1524"/>
      <c r="BE34" s="1524"/>
      <c r="BF34" s="1524"/>
      <c r="BG34" s="1524"/>
      <c r="BH34" s="1524"/>
      <c r="BI34" s="1524"/>
      <c r="BJ34" s="1524"/>
      <c r="BK34" s="1524"/>
    </row>
    <row r="35" spans="1:63" s="124" customFormat="1" x14ac:dyDescent="0.25">
      <c r="A35" s="13"/>
      <c r="B35" s="13"/>
      <c r="C35" s="417" t="s">
        <v>752</v>
      </c>
      <c r="D35" s="690"/>
      <c r="E35" s="1528">
        <f>H9+H10+H11+H12+H13+H14+H15+H16+H17+H18+H19+H20+H21+H22+H23+H24+H28+H30+H32</f>
        <v>25679.26</v>
      </c>
      <c r="F35" s="691"/>
      <c r="G35" s="691"/>
      <c r="H35" s="692"/>
      <c r="I35" s="692"/>
      <c r="J35" s="692"/>
      <c r="K35" s="692"/>
      <c r="L35" s="692"/>
      <c r="M35" s="692"/>
      <c r="N35" s="692"/>
      <c r="O35" s="692"/>
      <c r="P35" s="692"/>
      <c r="Q35" s="692"/>
      <c r="R35" s="692"/>
      <c r="S35" s="692"/>
      <c r="T35" s="163"/>
      <c r="U35" s="163"/>
      <c r="V35" s="163"/>
      <c r="W35" s="163"/>
      <c r="X35" s="163"/>
      <c r="Y35" s="163"/>
      <c r="Z35" s="163"/>
      <c r="AA35" s="163"/>
      <c r="AB35" s="418"/>
      <c r="AC35" s="419"/>
      <c r="AD35" s="420"/>
      <c r="AE35" s="420"/>
      <c r="AF35" s="420"/>
      <c r="AG35" s="420"/>
      <c r="AH35" s="421"/>
      <c r="AI35" s="421"/>
      <c r="AJ35" s="421"/>
      <c r="AK35" s="419"/>
      <c r="AL35" s="419"/>
      <c r="AM35" s="421"/>
      <c r="AN35" s="421"/>
      <c r="AO35" s="421"/>
      <c r="AP35" s="421"/>
      <c r="AQ35" s="421"/>
      <c r="AR35" s="421"/>
      <c r="AS35" s="421"/>
      <c r="AT35" s="421"/>
      <c r="AU35" s="294"/>
      <c r="AV35" s="49"/>
      <c r="AW35" s="49"/>
      <c r="AX35" s="294"/>
      <c r="AY35" s="49"/>
      <c r="AZ35" s="614"/>
      <c r="BA35" s="614"/>
      <c r="BB35" s="614"/>
      <c r="BC35" s="614"/>
      <c r="BD35" s="1524"/>
      <c r="BE35" s="1524"/>
      <c r="BF35" s="1524"/>
      <c r="BG35" s="1524"/>
      <c r="BH35" s="1524"/>
      <c r="BI35" s="1524"/>
      <c r="BJ35" s="1524"/>
      <c r="BK35" s="1524"/>
    </row>
    <row r="36" spans="1:63" s="124" customFormat="1" x14ac:dyDescent="0.25">
      <c r="A36" s="13"/>
      <c r="B36" s="13"/>
      <c r="C36" s="417" t="s">
        <v>754</v>
      </c>
      <c r="D36" s="690"/>
      <c r="E36" s="1530">
        <f>H30+H31+H32</f>
        <v>3546.83</v>
      </c>
      <c r="F36" s="691"/>
      <c r="G36" s="691"/>
      <c r="H36" s="692"/>
      <c r="I36" s="692"/>
      <c r="J36" s="692"/>
      <c r="K36" s="692"/>
      <c r="L36" s="692"/>
      <c r="M36" s="692"/>
      <c r="N36" s="692"/>
      <c r="O36" s="692"/>
      <c r="P36" s="692"/>
      <c r="Q36" s="692"/>
      <c r="R36" s="692"/>
      <c r="S36" s="692"/>
      <c r="T36" s="163"/>
      <c r="U36" s="163"/>
      <c r="V36" s="163"/>
      <c r="W36" s="163"/>
      <c r="X36" s="163"/>
      <c r="Y36" s="163"/>
      <c r="Z36" s="163"/>
      <c r="AA36" s="163"/>
      <c r="AB36" s="418"/>
      <c r="AC36" s="419"/>
      <c r="AD36" s="420"/>
      <c r="AE36" s="420"/>
      <c r="AF36" s="420"/>
      <c r="AG36" s="420"/>
      <c r="AH36" s="421"/>
      <c r="AI36" s="421"/>
      <c r="AJ36" s="421"/>
      <c r="AK36" s="419"/>
      <c r="AL36" s="419"/>
      <c r="AM36" s="421"/>
      <c r="AN36" s="421"/>
      <c r="AO36" s="421"/>
      <c r="AP36" s="421"/>
      <c r="AQ36" s="421"/>
      <c r="AR36" s="421"/>
      <c r="AS36" s="421"/>
      <c r="AT36" s="421"/>
      <c r="AU36" s="294"/>
      <c r="AV36" s="49"/>
      <c r="AW36" s="49"/>
      <c r="AX36" s="294"/>
      <c r="AY36" s="49"/>
      <c r="AZ36" s="614"/>
      <c r="BA36" s="614"/>
      <c r="BB36" s="614"/>
      <c r="BC36" s="614"/>
      <c r="BD36" s="1524"/>
      <c r="BE36" s="1524"/>
      <c r="BF36" s="1524"/>
      <c r="BG36" s="1524"/>
      <c r="BH36" s="1524"/>
      <c r="BI36" s="1524"/>
      <c r="BJ36" s="1524"/>
      <c r="BK36" s="1524"/>
    </row>
    <row r="37" spans="1:63" s="124" customFormat="1" x14ac:dyDescent="0.25">
      <c r="A37" s="13"/>
      <c r="B37" s="13"/>
      <c r="C37" s="417"/>
      <c r="D37" s="690"/>
      <c r="E37" s="690"/>
      <c r="F37" s="691"/>
      <c r="G37" s="691"/>
      <c r="H37" s="692"/>
      <c r="I37" s="692"/>
      <c r="J37" s="692"/>
      <c r="K37" s="692"/>
      <c r="L37" s="692"/>
      <c r="M37" s="692"/>
      <c r="N37" s="692"/>
      <c r="O37" s="692"/>
      <c r="P37" s="692"/>
      <c r="Q37" s="692"/>
      <c r="R37" s="692"/>
      <c r="S37" s="692"/>
      <c r="T37" s="163"/>
      <c r="U37" s="163"/>
      <c r="V37" s="163"/>
      <c r="W37" s="163"/>
      <c r="X37" s="163"/>
      <c r="Y37" s="163"/>
      <c r="Z37" s="163"/>
      <c r="AA37" s="163"/>
      <c r="AB37" s="418"/>
      <c r="AC37" s="419"/>
      <c r="AD37" s="420"/>
      <c r="AE37" s="420"/>
      <c r="AF37" s="420"/>
      <c r="AG37" s="420"/>
      <c r="AH37" s="421"/>
      <c r="AI37" s="421"/>
      <c r="AJ37" s="421"/>
      <c r="AK37" s="419"/>
      <c r="AL37" s="419"/>
      <c r="AM37" s="421"/>
      <c r="AN37" s="421"/>
      <c r="AO37" s="421"/>
      <c r="AP37" s="421"/>
      <c r="AQ37" s="421"/>
      <c r="AR37" s="421"/>
      <c r="AS37" s="421"/>
      <c r="AT37" s="421"/>
      <c r="AU37" s="294"/>
      <c r="AV37" s="49"/>
      <c r="AW37" s="49"/>
      <c r="AX37" s="294"/>
      <c r="AY37" s="49"/>
      <c r="AZ37" s="614"/>
      <c r="BA37" s="614"/>
      <c r="BB37" s="614"/>
      <c r="BC37" s="614"/>
      <c r="BD37" s="1524"/>
      <c r="BE37" s="1524"/>
      <c r="BF37" s="1524"/>
      <c r="BG37" s="1524"/>
      <c r="BH37" s="1524"/>
      <c r="BI37" s="1524"/>
      <c r="BJ37" s="1524"/>
      <c r="BK37" s="1524"/>
    </row>
    <row r="38" spans="1:63" s="124" customFormat="1" x14ac:dyDescent="0.25">
      <c r="A38" s="13"/>
      <c r="B38" s="13"/>
      <c r="C38" s="417"/>
      <c r="D38" s="690"/>
      <c r="E38" s="690"/>
      <c r="F38" s="691"/>
      <c r="G38" s="691"/>
      <c r="H38" s="692"/>
      <c r="I38" s="692"/>
      <c r="J38" s="692"/>
      <c r="K38" s="692"/>
      <c r="L38" s="692"/>
      <c r="M38" s="692"/>
      <c r="N38" s="692"/>
      <c r="O38" s="692"/>
      <c r="P38" s="692"/>
      <c r="Q38" s="692"/>
      <c r="R38" s="692"/>
      <c r="S38" s="692"/>
      <c r="T38" s="163"/>
      <c r="U38" s="163"/>
      <c r="V38" s="163"/>
      <c r="W38" s="163"/>
      <c r="X38" s="163"/>
      <c r="Y38" s="163"/>
      <c r="Z38" s="163"/>
      <c r="AA38" s="163"/>
      <c r="AB38" s="418"/>
      <c r="AC38" s="419"/>
      <c r="AD38" s="420"/>
      <c r="AE38" s="420"/>
      <c r="AF38" s="420"/>
      <c r="AG38" s="420"/>
      <c r="AH38" s="421"/>
      <c r="AI38" s="421"/>
      <c r="AJ38" s="421"/>
      <c r="AK38" s="419"/>
      <c r="AL38" s="419"/>
      <c r="AM38" s="421"/>
      <c r="AN38" s="421"/>
      <c r="AO38" s="421"/>
      <c r="AP38" s="421"/>
      <c r="AQ38" s="421"/>
      <c r="AR38" s="421"/>
      <c r="AS38" s="421"/>
      <c r="AT38" s="421"/>
      <c r="AU38" s="294"/>
      <c r="AV38" s="49"/>
      <c r="AW38" s="49"/>
      <c r="AX38" s="294"/>
      <c r="AY38" s="49"/>
      <c r="AZ38" s="614"/>
      <c r="BA38" s="614"/>
      <c r="BB38" s="614"/>
      <c r="BC38" s="614"/>
      <c r="BD38" s="1524"/>
      <c r="BE38" s="1524"/>
      <c r="BF38" s="1524"/>
      <c r="BG38" s="1524"/>
      <c r="BH38" s="1524"/>
      <c r="BI38" s="1524"/>
      <c r="BJ38" s="1524"/>
      <c r="BK38" s="1524"/>
    </row>
    <row r="39" spans="1:63" s="124" customFormat="1" x14ac:dyDescent="0.25">
      <c r="A39" s="13"/>
      <c r="B39" s="13"/>
      <c r="C39" s="417" t="s">
        <v>671</v>
      </c>
      <c r="D39" s="690"/>
      <c r="E39" s="690"/>
      <c r="F39" s="691"/>
      <c r="G39" s="691"/>
      <c r="H39" s="692"/>
      <c r="I39" s="692"/>
      <c r="J39" s="692"/>
      <c r="K39" s="692"/>
      <c r="L39" s="692"/>
      <c r="M39" s="692"/>
      <c r="N39" s="692"/>
      <c r="O39" s="692"/>
      <c r="P39" s="692"/>
      <c r="Q39" s="692"/>
      <c r="R39" s="692"/>
      <c r="S39" s="692"/>
      <c r="T39" s="163"/>
      <c r="U39" s="163"/>
      <c r="V39" s="163"/>
      <c r="W39" s="163"/>
      <c r="X39" s="163"/>
      <c r="Y39" s="163"/>
      <c r="Z39" s="163"/>
      <c r="AA39" s="163"/>
      <c r="AB39" s="418"/>
      <c r="AC39" s="419"/>
      <c r="AD39" s="420"/>
      <c r="AE39" s="420"/>
      <c r="AF39" s="420"/>
      <c r="AG39" s="420"/>
      <c r="AH39" s="421"/>
      <c r="AI39" s="421"/>
      <c r="AJ39" s="421"/>
      <c r="AK39" s="419"/>
      <c r="AL39" s="419"/>
      <c r="AM39" s="421"/>
      <c r="AN39" s="421"/>
      <c r="AO39" s="421"/>
      <c r="AP39" s="421"/>
      <c r="AQ39" s="421"/>
      <c r="AR39" s="421"/>
      <c r="AS39" s="421"/>
      <c r="AT39" s="421"/>
      <c r="AU39" s="294"/>
      <c r="AV39" s="49"/>
      <c r="AW39" s="49"/>
      <c r="AX39" s="294"/>
      <c r="AY39" s="49"/>
      <c r="AZ39" s="614"/>
      <c r="BA39" s="614"/>
      <c r="BB39" s="614"/>
      <c r="BC39" s="614"/>
      <c r="BD39" s="1524"/>
      <c r="BE39" s="1524"/>
      <c r="BF39" s="1524"/>
      <c r="BG39" s="1524"/>
      <c r="BH39" s="1524"/>
      <c r="BI39" s="1524"/>
      <c r="BJ39" s="1524"/>
      <c r="BK39" s="1524"/>
    </row>
    <row r="40" spans="1:63" s="124" customFormat="1" x14ac:dyDescent="0.25">
      <c r="A40" s="13"/>
      <c r="B40" s="13"/>
      <c r="C40" s="417"/>
      <c r="D40" s="690"/>
      <c r="E40" s="690"/>
      <c r="F40" s="691"/>
      <c r="G40" s="691"/>
      <c r="H40" s="692"/>
      <c r="I40" s="692"/>
      <c r="J40" s="692"/>
      <c r="K40" s="692"/>
      <c r="L40" s="692"/>
      <c r="M40" s="692"/>
      <c r="N40" s="692"/>
      <c r="O40" s="692"/>
      <c r="P40" s="692"/>
      <c r="Q40" s="692"/>
      <c r="R40" s="692"/>
      <c r="S40" s="692"/>
      <c r="T40" s="163"/>
      <c r="U40" s="163"/>
      <c r="V40" s="163"/>
      <c r="W40" s="163"/>
      <c r="X40" s="163"/>
      <c r="Y40" s="163"/>
      <c r="Z40" s="163"/>
      <c r="AA40" s="163"/>
      <c r="AB40" s="418"/>
      <c r="AC40" s="419"/>
      <c r="AD40" s="420"/>
      <c r="AE40" s="420"/>
      <c r="AF40" s="420"/>
      <c r="AG40" s="420"/>
      <c r="AH40" s="421"/>
      <c r="AI40" s="421"/>
      <c r="AJ40" s="421"/>
      <c r="AK40" s="419"/>
      <c r="AL40" s="419"/>
      <c r="AM40" s="421"/>
      <c r="AN40" s="421"/>
      <c r="AO40" s="421"/>
      <c r="AP40" s="421"/>
      <c r="AQ40" s="421"/>
      <c r="AR40" s="421"/>
      <c r="AS40" s="421"/>
      <c r="AT40" s="421"/>
      <c r="AU40" s="294"/>
      <c r="AV40" s="49"/>
      <c r="AW40" s="49"/>
      <c r="AX40" s="294"/>
      <c r="AY40" s="49"/>
      <c r="AZ40" s="614"/>
      <c r="BA40" s="614"/>
      <c r="BB40" s="614"/>
      <c r="BC40" s="614"/>
      <c r="BD40" s="1524"/>
      <c r="BE40" s="1524"/>
      <c r="BF40" s="1524"/>
      <c r="BG40" s="1524"/>
      <c r="BH40" s="1524"/>
      <c r="BI40" s="1524"/>
      <c r="BJ40" s="1524"/>
      <c r="BK40" s="1524"/>
    </row>
    <row r="41" spans="1:63" s="124" customFormat="1" x14ac:dyDescent="0.25">
      <c r="A41" s="13"/>
      <c r="B41" s="13"/>
      <c r="C41" s="417"/>
      <c r="D41" s="690"/>
      <c r="E41" s="690"/>
      <c r="F41" s="691"/>
      <c r="G41" s="691"/>
      <c r="H41" s="692"/>
      <c r="I41" s="692"/>
      <c r="J41" s="692"/>
      <c r="K41" s="692"/>
      <c r="L41" s="692"/>
      <c r="M41" s="692"/>
      <c r="N41" s="692"/>
      <c r="O41" s="692"/>
      <c r="P41" s="692"/>
      <c r="Q41" s="692"/>
      <c r="R41" s="692"/>
      <c r="S41" s="692"/>
      <c r="T41" s="163"/>
      <c r="U41" s="163"/>
      <c r="V41" s="163"/>
      <c r="W41" s="163"/>
      <c r="X41" s="163"/>
      <c r="Y41" s="163"/>
      <c r="Z41" s="163"/>
      <c r="AA41" s="163"/>
      <c r="AB41" s="418"/>
      <c r="AC41" s="419"/>
      <c r="AD41" s="420"/>
      <c r="AE41" s="420"/>
      <c r="AF41" s="420"/>
      <c r="AG41" s="420"/>
      <c r="AH41" s="421"/>
      <c r="AI41" s="421"/>
      <c r="AJ41" s="421"/>
      <c r="AK41" s="419"/>
      <c r="AL41" s="419"/>
      <c r="AM41" s="421"/>
      <c r="AN41" s="421"/>
      <c r="AO41" s="421"/>
      <c r="AP41" s="421"/>
      <c r="AQ41" s="421"/>
      <c r="AR41" s="421"/>
      <c r="AS41" s="421"/>
      <c r="AT41" s="421"/>
      <c r="AU41" s="294"/>
      <c r="AV41" s="49"/>
      <c r="AW41" s="49"/>
      <c r="AX41" s="294"/>
      <c r="AY41" s="49"/>
      <c r="AZ41" s="614"/>
      <c r="BA41" s="614"/>
      <c r="BB41" s="614"/>
      <c r="BC41" s="614"/>
      <c r="BD41" s="1524"/>
      <c r="BE41" s="1524"/>
      <c r="BF41" s="1524"/>
      <c r="BG41" s="1524"/>
      <c r="BH41" s="1524"/>
      <c r="BI41" s="1524"/>
      <c r="BJ41" s="1524"/>
      <c r="BK41" s="1524"/>
    </row>
    <row r="42" spans="1:63" s="124" customFormat="1" x14ac:dyDescent="0.25">
      <c r="A42" s="13"/>
      <c r="B42" s="13"/>
      <c r="C42" s="417"/>
      <c r="D42" s="690"/>
      <c r="E42" s="690"/>
      <c r="F42" s="691"/>
      <c r="G42" s="691"/>
      <c r="H42" s="692"/>
      <c r="I42" s="692"/>
      <c r="J42" s="692"/>
      <c r="K42" s="692"/>
      <c r="L42" s="692"/>
      <c r="M42" s="692"/>
      <c r="N42" s="692"/>
      <c r="O42" s="692"/>
      <c r="P42" s="692"/>
      <c r="Q42" s="692"/>
      <c r="R42" s="692"/>
      <c r="S42" s="692"/>
      <c r="T42" s="163"/>
      <c r="U42" s="163"/>
      <c r="V42" s="163"/>
      <c r="W42" s="163"/>
      <c r="X42" s="163"/>
      <c r="Y42" s="163"/>
      <c r="Z42" s="163"/>
      <c r="AA42" s="163"/>
      <c r="AB42" s="418"/>
      <c r="AC42" s="419"/>
      <c r="AD42" s="420"/>
      <c r="AE42" s="420"/>
      <c r="AF42" s="420"/>
      <c r="AG42" s="420"/>
      <c r="AH42" s="421"/>
      <c r="AI42" s="421"/>
      <c r="AJ42" s="421"/>
      <c r="AK42" s="419"/>
      <c r="AL42" s="419"/>
      <c r="AM42" s="421"/>
      <c r="AN42" s="421"/>
      <c r="AO42" s="421"/>
      <c r="AP42" s="421"/>
      <c r="AQ42" s="421"/>
      <c r="AR42" s="421"/>
      <c r="AS42" s="421"/>
      <c r="AT42" s="421"/>
      <c r="AU42" s="294"/>
      <c r="AV42" s="49"/>
      <c r="AW42" s="49"/>
      <c r="AX42" s="294"/>
      <c r="AY42" s="49"/>
      <c r="AZ42" s="614"/>
      <c r="BA42" s="614"/>
      <c r="BB42" s="614"/>
      <c r="BC42" s="614"/>
      <c r="BD42" s="1524"/>
      <c r="BE42" s="1524"/>
      <c r="BF42" s="1524"/>
      <c r="BG42" s="1524"/>
      <c r="BH42" s="1524"/>
      <c r="BI42" s="1524"/>
      <c r="BJ42" s="1524"/>
      <c r="BK42" s="1524"/>
    </row>
    <row r="43" spans="1:63" s="124" customFormat="1" x14ac:dyDescent="0.25">
      <c r="A43" s="13"/>
      <c r="B43" s="13"/>
      <c r="C43" s="417"/>
      <c r="D43" s="690"/>
      <c r="E43" s="690"/>
      <c r="F43" s="691"/>
      <c r="G43" s="691"/>
      <c r="H43" s="692"/>
      <c r="I43" s="692"/>
      <c r="J43" s="692"/>
      <c r="K43" s="692"/>
      <c r="L43" s="692"/>
      <c r="M43" s="692"/>
      <c r="N43" s="692"/>
      <c r="O43" s="692"/>
      <c r="P43" s="692"/>
      <c r="Q43" s="692"/>
      <c r="R43" s="692"/>
      <c r="S43" s="692"/>
      <c r="T43" s="163"/>
      <c r="U43" s="163"/>
      <c r="V43" s="163"/>
      <c r="W43" s="163"/>
      <c r="X43" s="163"/>
      <c r="Y43" s="163"/>
      <c r="Z43" s="163"/>
      <c r="AA43" s="163"/>
      <c r="AB43" s="418"/>
      <c r="AC43" s="419"/>
      <c r="AD43" s="420"/>
      <c r="AE43" s="420"/>
      <c r="AF43" s="420"/>
      <c r="AG43" s="420"/>
      <c r="AH43" s="421"/>
      <c r="AI43" s="421"/>
      <c r="AJ43" s="421"/>
      <c r="AK43" s="419"/>
      <c r="AL43" s="419"/>
      <c r="AM43" s="421"/>
      <c r="AN43" s="421"/>
      <c r="AO43" s="421"/>
      <c r="AP43" s="421"/>
      <c r="AQ43" s="421"/>
      <c r="AR43" s="421"/>
      <c r="AS43" s="421"/>
      <c r="AT43" s="421"/>
      <c r="AU43" s="294"/>
      <c r="AV43" s="49"/>
      <c r="AW43" s="49"/>
      <c r="AX43" s="294"/>
      <c r="AY43" s="49"/>
      <c r="AZ43" s="614"/>
      <c r="BA43" s="614"/>
      <c r="BB43" s="614"/>
      <c r="BC43" s="614"/>
      <c r="BD43" s="1547"/>
      <c r="BE43" s="1547"/>
      <c r="BF43" s="1524"/>
      <c r="BG43" s="1524"/>
      <c r="BH43" s="1524"/>
      <c r="BI43" s="1524"/>
      <c r="BJ43" s="1524"/>
      <c r="BK43" s="1524"/>
    </row>
    <row r="44" spans="1:63" s="124" customFormat="1" ht="15" customHeight="1" x14ac:dyDescent="0.25">
      <c r="A44" s="2017" t="s">
        <v>0</v>
      </c>
      <c r="B44" s="2020"/>
      <c r="C44" s="2017" t="s">
        <v>184</v>
      </c>
      <c r="D44" s="2163" t="s">
        <v>54</v>
      </c>
      <c r="E44" s="2163" t="s">
        <v>55</v>
      </c>
      <c r="F44" s="2163" t="s">
        <v>56</v>
      </c>
      <c r="G44" s="2163" t="s">
        <v>57</v>
      </c>
      <c r="H44" s="2163" t="s">
        <v>6</v>
      </c>
      <c r="I44" s="2228" t="s">
        <v>282</v>
      </c>
      <c r="J44" s="693"/>
      <c r="K44" s="693"/>
      <c r="L44" s="693"/>
      <c r="M44" s="693"/>
      <c r="N44" s="693"/>
      <c r="O44" s="693"/>
      <c r="P44" s="693"/>
      <c r="Q44" s="693"/>
      <c r="R44" s="693"/>
      <c r="S44" s="693"/>
      <c r="T44" s="1558"/>
      <c r="U44" s="1559"/>
      <c r="V44" s="1546"/>
      <c r="W44" s="1546"/>
      <c r="X44" s="1546"/>
      <c r="Y44" s="1546"/>
      <c r="Z44" s="1387"/>
      <c r="AA44" s="1387"/>
      <c r="AB44" s="1560"/>
      <c r="AC44" s="1560"/>
      <c r="AD44" s="1560"/>
      <c r="AE44" s="1537"/>
      <c r="AF44" s="1537"/>
      <c r="AG44" s="1572"/>
      <c r="AH44" s="1572"/>
      <c r="AI44" s="1540"/>
      <c r="AJ44" s="1540"/>
      <c r="AK44" s="1572"/>
      <c r="AL44" s="1572"/>
      <c r="AM44" s="1572"/>
      <c r="AN44" s="1572"/>
      <c r="AO44" s="1545"/>
      <c r="AP44" s="1572"/>
      <c r="AQ44" s="1560"/>
      <c r="AR44" s="1560"/>
      <c r="AS44" s="1560"/>
      <c r="AT44" s="1560"/>
      <c r="AU44" s="1560"/>
      <c r="AV44" s="1560"/>
      <c r="AW44" s="1537"/>
      <c r="AX44" s="1566"/>
      <c r="AY44" s="1567"/>
      <c r="AZ44" s="1575"/>
      <c r="BA44" s="403"/>
      <c r="BB44" s="403"/>
      <c r="BC44" s="403"/>
    </row>
    <row r="45" spans="1:63" s="124" customFormat="1" ht="30" customHeight="1" x14ac:dyDescent="0.25">
      <c r="A45" s="2017"/>
      <c r="B45" s="2021"/>
      <c r="C45" s="2017"/>
      <c r="D45" s="2163"/>
      <c r="E45" s="2163"/>
      <c r="F45" s="2163"/>
      <c r="G45" s="2163"/>
      <c r="H45" s="2163"/>
      <c r="I45" s="2229"/>
      <c r="J45" s="694"/>
      <c r="K45" s="694"/>
      <c r="L45" s="694"/>
      <c r="M45" s="694"/>
      <c r="N45" s="694"/>
      <c r="O45" s="694"/>
      <c r="P45" s="694"/>
      <c r="Q45" s="694"/>
      <c r="R45" s="694"/>
      <c r="S45" s="694"/>
      <c r="T45" s="51"/>
      <c r="U45" s="1539"/>
      <c r="V45" s="1538"/>
      <c r="W45" s="1538"/>
      <c r="X45" s="1538"/>
      <c r="Y45" s="1538"/>
      <c r="Z45" s="1542"/>
      <c r="AA45" s="1542"/>
      <c r="AB45" s="1562"/>
      <c r="AC45" s="1562"/>
      <c r="AD45" s="1562"/>
      <c r="AE45" s="1538"/>
      <c r="AF45" s="1538"/>
      <c r="AG45" s="1573"/>
      <c r="AH45" s="1573"/>
      <c r="AI45" s="1541"/>
      <c r="AJ45" s="1541"/>
      <c r="AK45" s="1564"/>
      <c r="AL45" s="1573"/>
      <c r="AM45" s="1573"/>
      <c r="AN45" s="1573"/>
      <c r="AO45" s="1541"/>
      <c r="AP45" s="1573"/>
      <c r="AQ45" s="1562"/>
      <c r="AR45" s="1562"/>
      <c r="AS45" s="1564"/>
      <c r="AT45" s="1564"/>
      <c r="AU45" s="1562"/>
      <c r="AV45" s="1562"/>
      <c r="AW45" s="1538"/>
      <c r="AX45" s="1568"/>
      <c r="AY45" s="1569"/>
      <c r="AZ45" s="1576"/>
      <c r="BA45" s="403"/>
      <c r="BB45" s="403"/>
      <c r="BC45" s="403"/>
    </row>
    <row r="46" spans="1:63" s="124" customFormat="1" x14ac:dyDescent="0.25">
      <c r="A46" s="112">
        <v>1</v>
      </c>
      <c r="B46" s="112"/>
      <c r="C46" s="422" t="s">
        <v>210</v>
      </c>
      <c r="D46" s="671">
        <v>1975</v>
      </c>
      <c r="E46" s="671">
        <v>2</v>
      </c>
      <c r="F46" s="671">
        <v>18</v>
      </c>
      <c r="G46" s="672">
        <v>60</v>
      </c>
      <c r="H46" s="673">
        <v>783.27</v>
      </c>
      <c r="I46" s="674">
        <v>85.12</v>
      </c>
      <c r="J46" s="695"/>
      <c r="K46" s="695"/>
      <c r="L46" s="695"/>
      <c r="M46" s="695"/>
      <c r="N46" s="695"/>
      <c r="O46" s="695"/>
      <c r="P46" s="695"/>
      <c r="Q46" s="695"/>
      <c r="R46" s="695"/>
      <c r="S46" s="695"/>
      <c r="T46" s="620"/>
      <c r="U46" s="620"/>
      <c r="V46" s="620"/>
      <c r="W46" s="620"/>
      <c r="X46" s="620"/>
      <c r="Y46" s="620"/>
      <c r="Z46" s="621"/>
      <c r="AA46" s="621"/>
      <c r="AB46" s="524"/>
      <c r="AC46" s="622"/>
      <c r="AD46" s="623"/>
      <c r="AE46" s="623"/>
      <c r="AF46" s="623"/>
      <c r="AG46" s="623"/>
      <c r="AH46" s="623"/>
      <c r="AI46" s="623"/>
      <c r="AJ46" s="623"/>
      <c r="AK46" s="623"/>
      <c r="AL46" s="623"/>
      <c r="AM46" s="623"/>
      <c r="AN46" s="623"/>
      <c r="AO46" s="623"/>
      <c r="AP46" s="623"/>
      <c r="AQ46" s="624"/>
      <c r="AR46" s="624"/>
      <c r="AS46" s="624"/>
      <c r="AT46" s="624"/>
      <c r="AU46" s="525"/>
      <c r="AV46" s="524"/>
      <c r="AW46" s="524"/>
      <c r="AX46" s="525"/>
      <c r="AY46" s="622"/>
      <c r="AZ46" s="625"/>
      <c r="BA46" s="403"/>
      <c r="BB46" s="403"/>
      <c r="BC46" s="403"/>
    </row>
    <row r="47" spans="1:63" s="124" customFormat="1" x14ac:dyDescent="0.25">
      <c r="A47" s="13">
        <v>2</v>
      </c>
      <c r="B47" s="13"/>
      <c r="C47" s="422" t="s">
        <v>211</v>
      </c>
      <c r="D47" s="675">
        <v>1975</v>
      </c>
      <c r="E47" s="675">
        <v>2</v>
      </c>
      <c r="F47" s="675">
        <v>18</v>
      </c>
      <c r="G47" s="672">
        <v>52</v>
      </c>
      <c r="H47" s="676">
        <v>784.97</v>
      </c>
      <c r="I47" s="677">
        <v>85.12</v>
      </c>
      <c r="J47" s="686"/>
      <c r="K47" s="686"/>
      <c r="L47" s="686"/>
      <c r="M47" s="686"/>
      <c r="N47" s="686"/>
      <c r="O47" s="686"/>
      <c r="P47" s="686"/>
      <c r="Q47" s="686"/>
      <c r="R47" s="686"/>
      <c r="S47" s="686"/>
      <c r="T47" s="620"/>
      <c r="U47" s="620"/>
      <c r="V47" s="620"/>
      <c r="W47" s="620"/>
      <c r="X47" s="620"/>
      <c r="Y47" s="620"/>
      <c r="Z47" s="621"/>
      <c r="AA47" s="621"/>
      <c r="AB47" s="524"/>
      <c r="AC47" s="622"/>
      <c r="AD47" s="623"/>
      <c r="AE47" s="623"/>
      <c r="AF47" s="623"/>
      <c r="AG47" s="623"/>
      <c r="AH47" s="623"/>
      <c r="AI47" s="623"/>
      <c r="AJ47" s="623"/>
      <c r="AK47" s="623"/>
      <c r="AL47" s="623"/>
      <c r="AM47" s="623"/>
      <c r="AN47" s="623"/>
      <c r="AO47" s="623"/>
      <c r="AP47" s="623"/>
      <c r="AQ47" s="624"/>
      <c r="AR47" s="624"/>
      <c r="AS47" s="624"/>
      <c r="AT47" s="624"/>
      <c r="AU47" s="525"/>
      <c r="AV47" s="524"/>
      <c r="AW47" s="524"/>
      <c r="AX47" s="525"/>
      <c r="AY47" s="622"/>
      <c r="AZ47" s="625"/>
      <c r="BA47" s="403"/>
      <c r="BB47" s="403"/>
      <c r="BC47" s="403"/>
    </row>
    <row r="48" spans="1:63" s="124" customFormat="1" x14ac:dyDescent="0.25">
      <c r="A48" s="13">
        <v>3</v>
      </c>
      <c r="B48" s="13"/>
      <c r="C48" s="422" t="s">
        <v>212</v>
      </c>
      <c r="D48" s="675">
        <v>1975</v>
      </c>
      <c r="E48" s="675">
        <v>2</v>
      </c>
      <c r="F48" s="675">
        <v>18</v>
      </c>
      <c r="G48" s="679">
        <v>58</v>
      </c>
      <c r="H48" s="677">
        <v>788.23</v>
      </c>
      <c r="I48" s="677">
        <v>86.42</v>
      </c>
      <c r="J48" s="686"/>
      <c r="K48" s="686"/>
      <c r="L48" s="686"/>
      <c r="M48" s="686"/>
      <c r="N48" s="686"/>
      <c r="O48" s="686"/>
      <c r="P48" s="686"/>
      <c r="Q48" s="686"/>
      <c r="R48" s="686"/>
      <c r="S48" s="686"/>
      <c r="T48" s="620"/>
      <c r="U48" s="620"/>
      <c r="V48" s="620"/>
      <c r="W48" s="620"/>
      <c r="X48" s="620"/>
      <c r="Y48" s="620"/>
      <c r="Z48" s="621"/>
      <c r="AA48" s="621"/>
      <c r="AB48" s="524"/>
      <c r="AC48" s="622"/>
      <c r="AD48" s="623"/>
      <c r="AE48" s="623"/>
      <c r="AF48" s="623"/>
      <c r="AG48" s="623"/>
      <c r="AH48" s="623"/>
      <c r="AI48" s="623"/>
      <c r="AJ48" s="623"/>
      <c r="AK48" s="623"/>
      <c r="AL48" s="623"/>
      <c r="AM48" s="623"/>
      <c r="AN48" s="623"/>
      <c r="AO48" s="623"/>
      <c r="AP48" s="623"/>
      <c r="AQ48" s="624"/>
      <c r="AR48" s="624"/>
      <c r="AS48" s="624"/>
      <c r="AT48" s="624"/>
      <c r="AU48" s="525"/>
      <c r="AV48" s="524"/>
      <c r="AW48" s="524"/>
      <c r="AX48" s="525"/>
      <c r="AY48" s="622"/>
      <c r="AZ48" s="625"/>
      <c r="BA48" s="403"/>
      <c r="BB48" s="403"/>
      <c r="BC48" s="403"/>
    </row>
    <row r="49" spans="1:55" s="124" customFormat="1" x14ac:dyDescent="0.25">
      <c r="A49" s="13">
        <v>4</v>
      </c>
      <c r="B49" s="13"/>
      <c r="C49" s="422" t="s">
        <v>213</v>
      </c>
      <c r="D49" s="675">
        <v>1975</v>
      </c>
      <c r="E49" s="675">
        <v>2</v>
      </c>
      <c r="F49" s="675">
        <v>18</v>
      </c>
      <c r="G49" s="680">
        <v>42</v>
      </c>
      <c r="H49" s="677">
        <v>789.57</v>
      </c>
      <c r="I49" s="677">
        <v>86.42</v>
      </c>
      <c r="J49" s="686"/>
      <c r="K49" s="686"/>
      <c r="L49" s="686"/>
      <c r="M49" s="686"/>
      <c r="N49" s="686"/>
      <c r="O49" s="686"/>
      <c r="P49" s="686"/>
      <c r="Q49" s="686"/>
      <c r="R49" s="686"/>
      <c r="S49" s="686"/>
      <c r="T49" s="620"/>
      <c r="U49" s="620"/>
      <c r="V49" s="620"/>
      <c r="W49" s="620"/>
      <c r="X49" s="620"/>
      <c r="Y49" s="620"/>
      <c r="Z49" s="621"/>
      <c r="AA49" s="621"/>
      <c r="AB49" s="524"/>
      <c r="AC49" s="622"/>
      <c r="AD49" s="623"/>
      <c r="AE49" s="623"/>
      <c r="AF49" s="623"/>
      <c r="AG49" s="623"/>
      <c r="AH49" s="623"/>
      <c r="AI49" s="623"/>
      <c r="AJ49" s="623"/>
      <c r="AK49" s="623"/>
      <c r="AL49" s="623"/>
      <c r="AM49" s="623"/>
      <c r="AN49" s="623"/>
      <c r="AO49" s="623"/>
      <c r="AP49" s="623"/>
      <c r="AQ49" s="624"/>
      <c r="AR49" s="624"/>
      <c r="AS49" s="624"/>
      <c r="AT49" s="624"/>
      <c r="AU49" s="525"/>
      <c r="AV49" s="524"/>
      <c r="AW49" s="524"/>
      <c r="AX49" s="525"/>
      <c r="AY49" s="622"/>
      <c r="AZ49" s="625"/>
      <c r="BA49" s="403"/>
      <c r="BB49" s="403"/>
      <c r="BC49" s="403"/>
    </row>
    <row r="50" spans="1:55" s="124" customFormat="1" ht="17.25" customHeight="1" x14ac:dyDescent="0.25">
      <c r="A50" s="13">
        <v>5</v>
      </c>
      <c r="B50" s="13"/>
      <c r="C50" s="422" t="s">
        <v>214</v>
      </c>
      <c r="D50" s="675">
        <v>1975</v>
      </c>
      <c r="E50" s="675">
        <v>5</v>
      </c>
      <c r="F50" s="675">
        <v>90</v>
      </c>
      <c r="G50" s="679">
        <v>268</v>
      </c>
      <c r="H50" s="677">
        <v>4496.09</v>
      </c>
      <c r="I50" s="677">
        <v>423.6</v>
      </c>
      <c r="J50" s="686"/>
      <c r="K50" s="686"/>
      <c r="L50" s="686"/>
      <c r="M50" s="686"/>
      <c r="N50" s="686"/>
      <c r="O50" s="686"/>
      <c r="P50" s="686"/>
      <c r="Q50" s="686"/>
      <c r="R50" s="686"/>
      <c r="S50" s="686"/>
      <c r="T50" s="620"/>
      <c r="U50" s="620"/>
      <c r="V50" s="620"/>
      <c r="W50" s="620"/>
      <c r="X50" s="620"/>
      <c r="Y50" s="620"/>
      <c r="Z50" s="621"/>
      <c r="AA50" s="621"/>
      <c r="AB50" s="524"/>
      <c r="AC50" s="622"/>
      <c r="AD50" s="623"/>
      <c r="AE50" s="623"/>
      <c r="AF50" s="623"/>
      <c r="AG50" s="623"/>
      <c r="AH50" s="623"/>
      <c r="AI50" s="623"/>
      <c r="AJ50" s="623"/>
      <c r="AK50" s="623"/>
      <c r="AL50" s="623"/>
      <c r="AM50" s="623"/>
      <c r="AN50" s="623"/>
      <c r="AO50" s="623"/>
      <c r="AP50" s="623"/>
      <c r="AQ50" s="624"/>
      <c r="AR50" s="624"/>
      <c r="AS50" s="624"/>
      <c r="AT50" s="624"/>
      <c r="AU50" s="525"/>
      <c r="AV50" s="524"/>
      <c r="AW50" s="524"/>
      <c r="AX50" s="525"/>
      <c r="AY50" s="524"/>
      <c r="AZ50" s="625"/>
      <c r="BA50" s="403"/>
      <c r="BB50" s="403"/>
      <c r="BC50" s="403"/>
    </row>
    <row r="51" spans="1:55" s="124" customFormat="1" x14ac:dyDescent="0.25">
      <c r="A51" s="13">
        <v>6</v>
      </c>
      <c r="B51" s="13"/>
      <c r="C51" s="422" t="s">
        <v>215</v>
      </c>
      <c r="D51" s="675">
        <v>1963</v>
      </c>
      <c r="E51" s="675">
        <v>2</v>
      </c>
      <c r="F51" s="675">
        <v>12</v>
      </c>
      <c r="G51" s="680">
        <v>39</v>
      </c>
      <c r="H51" s="677">
        <v>515.1</v>
      </c>
      <c r="I51" s="677">
        <v>49.6</v>
      </c>
      <c r="J51" s="686"/>
      <c r="K51" s="686"/>
      <c r="L51" s="686"/>
      <c r="M51" s="686"/>
      <c r="N51" s="686"/>
      <c r="O51" s="686"/>
      <c r="P51" s="686"/>
      <c r="Q51" s="686"/>
      <c r="R51" s="686"/>
      <c r="S51" s="686"/>
      <c r="T51" s="620"/>
      <c r="U51" s="620"/>
      <c r="V51" s="620"/>
      <c r="W51" s="620"/>
      <c r="X51" s="620"/>
      <c r="Y51" s="620"/>
      <c r="Z51" s="621"/>
      <c r="AA51" s="621"/>
      <c r="AB51" s="524"/>
      <c r="AC51" s="622"/>
      <c r="AD51" s="623"/>
      <c r="AE51" s="623"/>
      <c r="AF51" s="623"/>
      <c r="AG51" s="623"/>
      <c r="AH51" s="623"/>
      <c r="AI51" s="623"/>
      <c r="AJ51" s="623"/>
      <c r="AK51" s="623"/>
      <c r="AL51" s="623"/>
      <c r="AM51" s="623"/>
      <c r="AN51" s="623"/>
      <c r="AO51" s="623"/>
      <c r="AP51" s="623"/>
      <c r="AQ51" s="624"/>
      <c r="AR51" s="624"/>
      <c r="AS51" s="624"/>
      <c r="AT51" s="624"/>
      <c r="AU51" s="525"/>
      <c r="AV51" s="524"/>
      <c r="AW51" s="524"/>
      <c r="AX51" s="525"/>
      <c r="AY51" s="524"/>
      <c r="AZ51" s="625"/>
      <c r="BA51" s="403"/>
      <c r="BB51" s="403"/>
      <c r="BC51" s="403"/>
    </row>
    <row r="52" spans="1:55" s="124" customFormat="1" x14ac:dyDescent="0.25">
      <c r="A52" s="13">
        <v>7</v>
      </c>
      <c r="B52" s="13"/>
      <c r="C52" s="422" t="s">
        <v>216</v>
      </c>
      <c r="D52" s="675">
        <v>1963</v>
      </c>
      <c r="E52" s="675">
        <v>2</v>
      </c>
      <c r="F52" s="675">
        <v>16</v>
      </c>
      <c r="G52" s="679">
        <v>43</v>
      </c>
      <c r="H52" s="677">
        <v>624.4</v>
      </c>
      <c r="I52" s="677">
        <v>76</v>
      </c>
      <c r="J52" s="686"/>
      <c r="K52" s="686"/>
      <c r="L52" s="686"/>
      <c r="M52" s="686"/>
      <c r="N52" s="686"/>
      <c r="O52" s="686"/>
      <c r="P52" s="686"/>
      <c r="Q52" s="686"/>
      <c r="R52" s="686"/>
      <c r="S52" s="686"/>
      <c r="T52" s="620"/>
      <c r="U52" s="620"/>
      <c r="V52" s="620"/>
      <c r="W52" s="620"/>
      <c r="X52" s="620"/>
      <c r="Y52" s="620"/>
      <c r="Z52" s="621"/>
      <c r="AA52" s="621"/>
      <c r="AB52" s="524"/>
      <c r="AC52" s="622"/>
      <c r="AD52" s="623"/>
      <c r="AE52" s="623"/>
      <c r="AF52" s="623"/>
      <c r="AG52" s="623"/>
      <c r="AH52" s="623"/>
      <c r="AI52" s="623"/>
      <c r="AJ52" s="623"/>
      <c r="AK52" s="623"/>
      <c r="AL52" s="623"/>
      <c r="AM52" s="623"/>
      <c r="AN52" s="623"/>
      <c r="AO52" s="623"/>
      <c r="AP52" s="623"/>
      <c r="AQ52" s="624"/>
      <c r="AR52" s="624"/>
      <c r="AS52" s="624"/>
      <c r="AT52" s="624"/>
      <c r="AU52" s="525"/>
      <c r="AV52" s="524"/>
      <c r="AW52" s="524"/>
      <c r="AX52" s="525"/>
      <c r="AY52" s="524"/>
      <c r="AZ52" s="625"/>
      <c r="BA52" s="403"/>
      <c r="BB52" s="403"/>
      <c r="BC52" s="403"/>
    </row>
    <row r="53" spans="1:55" s="124" customFormat="1" x14ac:dyDescent="0.25">
      <c r="A53" s="13">
        <v>8</v>
      </c>
      <c r="B53" s="13"/>
      <c r="C53" s="422" t="s">
        <v>217</v>
      </c>
      <c r="D53" s="675">
        <v>1963</v>
      </c>
      <c r="E53" s="675">
        <v>2</v>
      </c>
      <c r="F53" s="675">
        <v>16</v>
      </c>
      <c r="G53" s="680">
        <v>27</v>
      </c>
      <c r="H53" s="677">
        <v>630.29999999999995</v>
      </c>
      <c r="I53" s="677">
        <v>76</v>
      </c>
      <c r="J53" s="686"/>
      <c r="K53" s="686"/>
      <c r="L53" s="686"/>
      <c r="M53" s="686"/>
      <c r="N53" s="686"/>
      <c r="O53" s="686"/>
      <c r="P53" s="686"/>
      <c r="Q53" s="686"/>
      <c r="R53" s="686"/>
      <c r="S53" s="686"/>
      <c r="T53" s="620"/>
      <c r="U53" s="620"/>
      <c r="V53" s="620"/>
      <c r="W53" s="620"/>
      <c r="X53" s="620"/>
      <c r="Y53" s="620"/>
      <c r="Z53" s="621"/>
      <c r="AA53" s="621"/>
      <c r="AB53" s="524"/>
      <c r="AC53" s="622"/>
      <c r="AD53" s="623"/>
      <c r="AE53" s="623"/>
      <c r="AF53" s="623"/>
      <c r="AG53" s="623"/>
      <c r="AH53" s="623"/>
      <c r="AI53" s="623"/>
      <c r="AJ53" s="623"/>
      <c r="AK53" s="623"/>
      <c r="AL53" s="623"/>
      <c r="AM53" s="623"/>
      <c r="AN53" s="623"/>
      <c r="AO53" s="623"/>
      <c r="AP53" s="623"/>
      <c r="AQ53" s="624"/>
      <c r="AR53" s="624"/>
      <c r="AS53" s="624"/>
      <c r="AT53" s="624"/>
      <c r="AU53" s="525"/>
      <c r="AV53" s="524"/>
      <c r="AW53" s="524"/>
      <c r="AX53" s="525"/>
      <c r="AY53" s="524"/>
      <c r="AZ53" s="625"/>
      <c r="BA53" s="403"/>
      <c r="BB53" s="403"/>
      <c r="BC53" s="403"/>
    </row>
    <row r="54" spans="1:55" s="124" customFormat="1" ht="14.25" customHeight="1" x14ac:dyDescent="0.25">
      <c r="A54" s="13">
        <v>9</v>
      </c>
      <c r="B54" s="13"/>
      <c r="C54" s="422" t="s">
        <v>218</v>
      </c>
      <c r="D54" s="675">
        <v>1963</v>
      </c>
      <c r="E54" s="675">
        <v>2</v>
      </c>
      <c r="F54" s="675">
        <v>8</v>
      </c>
      <c r="G54" s="679">
        <v>18</v>
      </c>
      <c r="H54" s="677">
        <v>313</v>
      </c>
      <c r="I54" s="677">
        <v>73.5</v>
      </c>
      <c r="J54" s="686"/>
      <c r="K54" s="686"/>
      <c r="L54" s="686"/>
      <c r="M54" s="686"/>
      <c r="N54" s="686"/>
      <c r="O54" s="686"/>
      <c r="P54" s="686"/>
      <c r="Q54" s="686"/>
      <c r="R54" s="686"/>
      <c r="S54" s="686"/>
      <c r="T54" s="620"/>
      <c r="U54" s="620"/>
      <c r="V54" s="620"/>
      <c r="W54" s="620"/>
      <c r="X54" s="620"/>
      <c r="Y54" s="620"/>
      <c r="Z54" s="621"/>
      <c r="AA54" s="621"/>
      <c r="AB54" s="524"/>
      <c r="AC54" s="622"/>
      <c r="AD54" s="623"/>
      <c r="AE54" s="623"/>
      <c r="AF54" s="623"/>
      <c r="AG54" s="623"/>
      <c r="AH54" s="623"/>
      <c r="AI54" s="623"/>
      <c r="AJ54" s="623"/>
      <c r="AK54" s="623"/>
      <c r="AL54" s="623"/>
      <c r="AM54" s="623"/>
      <c r="AN54" s="623"/>
      <c r="AO54" s="623"/>
      <c r="AP54" s="623"/>
      <c r="AQ54" s="624"/>
      <c r="AR54" s="624"/>
      <c r="AS54" s="624"/>
      <c r="AT54" s="624"/>
      <c r="AU54" s="525"/>
      <c r="AV54" s="524"/>
      <c r="AW54" s="524"/>
      <c r="AX54" s="525"/>
      <c r="AY54" s="524"/>
      <c r="AZ54" s="625"/>
      <c r="BA54" s="403"/>
      <c r="BB54" s="403"/>
      <c r="BC54" s="403"/>
    </row>
    <row r="55" spans="1:55" s="124" customFormat="1" ht="14.25" customHeight="1" x14ac:dyDescent="0.25">
      <c r="A55" s="36">
        <v>10</v>
      </c>
      <c r="B55" s="36"/>
      <c r="C55" s="423" t="s">
        <v>219</v>
      </c>
      <c r="D55" s="681">
        <v>1977</v>
      </c>
      <c r="E55" s="681">
        <v>5</v>
      </c>
      <c r="F55" s="681">
        <v>90</v>
      </c>
      <c r="G55" s="682">
        <v>231</v>
      </c>
      <c r="H55" s="677">
        <v>4846.6000000000004</v>
      </c>
      <c r="I55" s="677">
        <v>585</v>
      </c>
      <c r="J55" s="686"/>
      <c r="K55" s="686"/>
      <c r="L55" s="686"/>
      <c r="M55" s="686"/>
      <c r="N55" s="686"/>
      <c r="O55" s="686"/>
      <c r="P55" s="686"/>
      <c r="Q55" s="686"/>
      <c r="R55" s="686"/>
      <c r="S55" s="686"/>
      <c r="T55" s="626"/>
      <c r="U55" s="626"/>
      <c r="V55" s="626"/>
      <c r="W55" s="626"/>
      <c r="X55" s="626"/>
      <c r="Y55" s="626"/>
      <c r="Z55" s="621"/>
      <c r="AA55" s="621"/>
      <c r="AB55" s="524"/>
      <c r="AC55" s="591"/>
      <c r="AD55" s="623"/>
      <c r="AE55" s="623"/>
      <c r="AF55" s="623"/>
      <c r="AG55" s="623"/>
      <c r="AH55" s="623"/>
      <c r="AI55" s="623"/>
      <c r="AJ55" s="623"/>
      <c r="AK55" s="627"/>
      <c r="AL55" s="627"/>
      <c r="AM55" s="623"/>
      <c r="AN55" s="623"/>
      <c r="AO55" s="623"/>
      <c r="AP55" s="623"/>
      <c r="AQ55" s="624"/>
      <c r="AR55" s="624"/>
      <c r="AS55" s="624"/>
      <c r="AT55" s="624"/>
      <c r="AU55" s="525"/>
      <c r="AV55" s="524"/>
      <c r="AW55" s="524"/>
      <c r="AX55" s="525"/>
      <c r="AY55" s="591"/>
      <c r="AZ55" s="625"/>
      <c r="BA55" s="403"/>
      <c r="BB55" s="403"/>
      <c r="BC55" s="403"/>
    </row>
    <row r="56" spans="1:55" s="124" customFormat="1" ht="14.25" customHeight="1" x14ac:dyDescent="0.25">
      <c r="A56" s="13">
        <v>11</v>
      </c>
      <c r="B56" s="13"/>
      <c r="C56" s="422" t="s">
        <v>220</v>
      </c>
      <c r="D56" s="675">
        <v>1983</v>
      </c>
      <c r="E56" s="675">
        <v>4</v>
      </c>
      <c r="F56" s="675">
        <v>48</v>
      </c>
      <c r="G56" s="679">
        <v>143</v>
      </c>
      <c r="H56" s="677">
        <v>2619.02</v>
      </c>
      <c r="I56" s="677">
        <v>317.89999999999998</v>
      </c>
      <c r="J56" s="686"/>
      <c r="K56" s="686"/>
      <c r="L56" s="686"/>
      <c r="M56" s="686"/>
      <c r="N56" s="686"/>
      <c r="O56" s="686"/>
      <c r="P56" s="686"/>
      <c r="Q56" s="686"/>
      <c r="R56" s="686"/>
      <c r="S56" s="686"/>
      <c r="T56" s="620"/>
      <c r="U56" s="620"/>
      <c r="V56" s="620"/>
      <c r="W56" s="620"/>
      <c r="X56" s="620"/>
      <c r="Y56" s="620"/>
      <c r="Z56" s="621"/>
      <c r="AA56" s="621"/>
      <c r="AB56" s="524"/>
      <c r="AC56" s="622"/>
      <c r="AD56" s="623"/>
      <c r="AE56" s="623"/>
      <c r="AF56" s="623"/>
      <c r="AG56" s="623"/>
      <c r="AH56" s="623"/>
      <c r="AI56" s="623"/>
      <c r="AJ56" s="623"/>
      <c r="AK56" s="623"/>
      <c r="AL56" s="623"/>
      <c r="AM56" s="623"/>
      <c r="AN56" s="623"/>
      <c r="AO56" s="623"/>
      <c r="AP56" s="623"/>
      <c r="AQ56" s="624"/>
      <c r="AR56" s="624"/>
      <c r="AS56" s="624"/>
      <c r="AT56" s="624"/>
      <c r="AU56" s="525"/>
      <c r="AV56" s="524"/>
      <c r="AW56" s="524"/>
      <c r="AX56" s="525"/>
      <c r="AY56" s="524"/>
      <c r="AZ56" s="625"/>
      <c r="BA56" s="403"/>
      <c r="BB56" s="403"/>
      <c r="BC56" s="403"/>
    </row>
    <row r="57" spans="1:55" s="124" customFormat="1" ht="14.25" customHeight="1" x14ac:dyDescent="0.25">
      <c r="A57" s="13">
        <v>12</v>
      </c>
      <c r="B57" s="13"/>
      <c r="C57" s="422" t="s">
        <v>221</v>
      </c>
      <c r="D57" s="675">
        <v>1983</v>
      </c>
      <c r="E57" s="675">
        <v>4</v>
      </c>
      <c r="F57" s="675">
        <v>48</v>
      </c>
      <c r="G57" s="680">
        <v>137</v>
      </c>
      <c r="H57" s="677">
        <v>2614.1999999999998</v>
      </c>
      <c r="I57" s="677">
        <v>317.89999999999998</v>
      </c>
      <c r="J57" s="686"/>
      <c r="K57" s="686"/>
      <c r="L57" s="686"/>
      <c r="M57" s="686"/>
      <c r="N57" s="686"/>
      <c r="O57" s="686"/>
      <c r="P57" s="686"/>
      <c r="Q57" s="686"/>
      <c r="R57" s="686"/>
      <c r="S57" s="686"/>
      <c r="T57" s="620"/>
      <c r="U57" s="620"/>
      <c r="V57" s="620"/>
      <c r="W57" s="620"/>
      <c r="X57" s="620"/>
      <c r="Y57" s="620"/>
      <c r="Z57" s="621"/>
      <c r="AA57" s="621"/>
      <c r="AB57" s="524"/>
      <c r="AC57" s="622"/>
      <c r="AD57" s="623"/>
      <c r="AE57" s="623"/>
      <c r="AF57" s="623"/>
      <c r="AG57" s="623"/>
      <c r="AH57" s="623"/>
      <c r="AI57" s="623"/>
      <c r="AJ57" s="623"/>
      <c r="AK57" s="623"/>
      <c r="AL57" s="623"/>
      <c r="AM57" s="623"/>
      <c r="AN57" s="623"/>
      <c r="AO57" s="623"/>
      <c r="AP57" s="623"/>
      <c r="AQ57" s="624"/>
      <c r="AR57" s="624"/>
      <c r="AS57" s="624"/>
      <c r="AT57" s="624"/>
      <c r="AU57" s="525"/>
      <c r="AV57" s="524"/>
      <c r="AW57" s="524"/>
      <c r="AX57" s="525"/>
      <c r="AY57" s="524"/>
      <c r="AZ57" s="625"/>
      <c r="BA57" s="403"/>
      <c r="BB57" s="403"/>
      <c r="BC57" s="403"/>
    </row>
    <row r="58" spans="1:55" s="124" customFormat="1" ht="15" customHeight="1" x14ac:dyDescent="0.25">
      <c r="A58" s="13">
        <v>13</v>
      </c>
      <c r="B58" s="13"/>
      <c r="C58" s="424" t="s">
        <v>222</v>
      </c>
      <c r="D58" s="675">
        <v>1975</v>
      </c>
      <c r="E58" s="675">
        <v>2</v>
      </c>
      <c r="F58" s="675">
        <v>12</v>
      </c>
      <c r="G58" s="679">
        <v>30</v>
      </c>
      <c r="H58" s="677">
        <v>503.62</v>
      </c>
      <c r="I58" s="677">
        <v>58.2</v>
      </c>
      <c r="J58" s="686"/>
      <c r="K58" s="686"/>
      <c r="L58" s="686"/>
      <c r="M58" s="686"/>
      <c r="N58" s="686"/>
      <c r="O58" s="686"/>
      <c r="P58" s="686"/>
      <c r="Q58" s="686"/>
      <c r="R58" s="686"/>
      <c r="S58" s="686"/>
      <c r="T58" s="620"/>
      <c r="U58" s="620"/>
      <c r="V58" s="620"/>
      <c r="W58" s="620"/>
      <c r="X58" s="620"/>
      <c r="Y58" s="620"/>
      <c r="Z58" s="621"/>
      <c r="AA58" s="621"/>
      <c r="AB58" s="524"/>
      <c r="AC58" s="622"/>
      <c r="AD58" s="623"/>
      <c r="AE58" s="623"/>
      <c r="AF58" s="623"/>
      <c r="AG58" s="623"/>
      <c r="AH58" s="623"/>
      <c r="AI58" s="623"/>
      <c r="AJ58" s="623"/>
      <c r="AK58" s="623"/>
      <c r="AL58" s="623"/>
      <c r="AM58" s="623"/>
      <c r="AN58" s="623"/>
      <c r="AO58" s="623"/>
      <c r="AP58" s="623"/>
      <c r="AQ58" s="624"/>
      <c r="AR58" s="624"/>
      <c r="AS58" s="624"/>
      <c r="AT58" s="624"/>
      <c r="AU58" s="525"/>
      <c r="AV58" s="524"/>
      <c r="AW58" s="524"/>
      <c r="AX58" s="525"/>
      <c r="AY58" s="524"/>
      <c r="AZ58" s="625"/>
      <c r="BA58" s="403"/>
      <c r="BB58" s="403"/>
      <c r="BC58" s="403"/>
    </row>
    <row r="59" spans="1:55" s="124" customFormat="1" x14ac:dyDescent="0.25">
      <c r="A59" s="13">
        <v>14</v>
      </c>
      <c r="B59" s="13"/>
      <c r="C59" s="424" t="s">
        <v>122</v>
      </c>
      <c r="D59" s="675">
        <v>1975</v>
      </c>
      <c r="E59" s="675">
        <v>2</v>
      </c>
      <c r="F59" s="675">
        <v>12</v>
      </c>
      <c r="G59" s="680">
        <v>31</v>
      </c>
      <c r="H59" s="677">
        <v>528.76</v>
      </c>
      <c r="I59" s="677">
        <v>52.8</v>
      </c>
      <c r="J59" s="686"/>
      <c r="K59" s="686"/>
      <c r="L59" s="686"/>
      <c r="M59" s="686"/>
      <c r="N59" s="686"/>
      <c r="O59" s="686"/>
      <c r="P59" s="686"/>
      <c r="Q59" s="686"/>
      <c r="R59" s="686"/>
      <c r="S59" s="686"/>
      <c r="T59" s="620"/>
      <c r="U59" s="620"/>
      <c r="V59" s="620"/>
      <c r="W59" s="620"/>
      <c r="X59" s="620"/>
      <c r="Y59" s="620"/>
      <c r="Z59" s="621"/>
      <c r="AA59" s="621"/>
      <c r="AB59" s="524"/>
      <c r="AC59" s="622"/>
      <c r="AD59" s="623"/>
      <c r="AE59" s="623"/>
      <c r="AF59" s="623"/>
      <c r="AG59" s="623"/>
      <c r="AH59" s="623"/>
      <c r="AI59" s="623"/>
      <c r="AJ59" s="623"/>
      <c r="AK59" s="623"/>
      <c r="AL59" s="623"/>
      <c r="AM59" s="623"/>
      <c r="AN59" s="623"/>
      <c r="AO59" s="623"/>
      <c r="AP59" s="623"/>
      <c r="AQ59" s="624"/>
      <c r="AR59" s="624"/>
      <c r="AS59" s="624"/>
      <c r="AT59" s="624"/>
      <c r="AU59" s="525"/>
      <c r="AV59" s="524"/>
      <c r="AW59" s="524"/>
      <c r="AX59" s="525"/>
      <c r="AY59" s="524"/>
      <c r="AZ59" s="625"/>
      <c r="BA59" s="403"/>
      <c r="BB59" s="403"/>
      <c r="BC59" s="403"/>
    </row>
    <row r="60" spans="1:55" s="124" customFormat="1" x14ac:dyDescent="0.25">
      <c r="A60" s="13">
        <v>15</v>
      </c>
      <c r="B60" s="13"/>
      <c r="C60" s="424" t="s">
        <v>223</v>
      </c>
      <c r="D60" s="675">
        <v>1975</v>
      </c>
      <c r="E60" s="675">
        <v>2</v>
      </c>
      <c r="F60" s="675">
        <v>12</v>
      </c>
      <c r="G60" s="679">
        <v>23</v>
      </c>
      <c r="H60" s="677">
        <v>528.33000000000004</v>
      </c>
      <c r="I60" s="677">
        <v>52.4</v>
      </c>
      <c r="J60" s="686"/>
      <c r="K60" s="686"/>
      <c r="L60" s="686"/>
      <c r="M60" s="686"/>
      <c r="N60" s="686"/>
      <c r="O60" s="686"/>
      <c r="P60" s="686"/>
      <c r="Q60" s="686"/>
      <c r="R60" s="686"/>
      <c r="S60" s="686"/>
      <c r="T60" s="620"/>
      <c r="U60" s="620"/>
      <c r="V60" s="620"/>
      <c r="W60" s="620"/>
      <c r="X60" s="620"/>
      <c r="Y60" s="620"/>
      <c r="Z60" s="621"/>
      <c r="AA60" s="621"/>
      <c r="AB60" s="524"/>
      <c r="AC60" s="622"/>
      <c r="AD60" s="623"/>
      <c r="AE60" s="623"/>
      <c r="AF60" s="623"/>
      <c r="AG60" s="623"/>
      <c r="AH60" s="623"/>
      <c r="AI60" s="623"/>
      <c r="AJ60" s="623"/>
      <c r="AK60" s="623"/>
      <c r="AL60" s="623"/>
      <c r="AM60" s="623"/>
      <c r="AN60" s="623"/>
      <c r="AO60" s="623"/>
      <c r="AP60" s="623"/>
      <c r="AQ60" s="624"/>
      <c r="AR60" s="624"/>
      <c r="AS60" s="624"/>
      <c r="AT60" s="624"/>
      <c r="AU60" s="525"/>
      <c r="AV60" s="524"/>
      <c r="AW60" s="524"/>
      <c r="AX60" s="525"/>
      <c r="AY60" s="524"/>
      <c r="AZ60" s="625"/>
      <c r="BA60" s="403"/>
      <c r="BB60" s="403"/>
      <c r="BC60" s="403"/>
    </row>
    <row r="61" spans="1:55" s="124" customFormat="1" x14ac:dyDescent="0.25">
      <c r="A61" s="13">
        <v>16</v>
      </c>
      <c r="B61" s="13"/>
      <c r="C61" s="424" t="s">
        <v>224</v>
      </c>
      <c r="D61" s="675">
        <v>1968</v>
      </c>
      <c r="E61" s="675">
        <v>2</v>
      </c>
      <c r="F61" s="675">
        <v>16</v>
      </c>
      <c r="G61" s="680">
        <v>35</v>
      </c>
      <c r="H61" s="677">
        <v>715.87</v>
      </c>
      <c r="I61" s="677">
        <v>76</v>
      </c>
      <c r="J61" s="686"/>
      <c r="K61" s="686"/>
      <c r="L61" s="686"/>
      <c r="M61" s="686"/>
      <c r="N61" s="686"/>
      <c r="O61" s="686"/>
      <c r="P61" s="686"/>
      <c r="Q61" s="686"/>
      <c r="R61" s="686"/>
      <c r="S61" s="686"/>
      <c r="T61" s="620"/>
      <c r="U61" s="620"/>
      <c r="V61" s="620"/>
      <c r="W61" s="620"/>
      <c r="X61" s="620"/>
      <c r="Y61" s="620"/>
      <c r="Z61" s="621"/>
      <c r="AA61" s="621"/>
      <c r="AB61" s="524"/>
      <c r="AC61" s="622"/>
      <c r="AD61" s="623"/>
      <c r="AE61" s="623"/>
      <c r="AF61" s="623"/>
      <c r="AG61" s="623"/>
      <c r="AH61" s="623"/>
      <c r="AI61" s="623"/>
      <c r="AJ61" s="623"/>
      <c r="AK61" s="623"/>
      <c r="AL61" s="623"/>
      <c r="AM61" s="623"/>
      <c r="AN61" s="623"/>
      <c r="AO61" s="623"/>
      <c r="AP61" s="623"/>
      <c r="AQ61" s="624"/>
      <c r="AR61" s="624"/>
      <c r="AS61" s="624"/>
      <c r="AT61" s="624"/>
      <c r="AU61" s="525"/>
      <c r="AV61" s="524"/>
      <c r="AW61" s="524"/>
      <c r="AX61" s="525"/>
      <c r="AY61" s="524"/>
      <c r="AZ61" s="625"/>
      <c r="BA61" s="403"/>
      <c r="BB61" s="403"/>
      <c r="BC61" s="403"/>
    </row>
    <row r="62" spans="1:55" ht="16.5" customHeight="1" x14ac:dyDescent="0.25">
      <c r="A62" s="13">
        <v>17</v>
      </c>
      <c r="B62" s="13"/>
      <c r="C62" s="425" t="s">
        <v>227</v>
      </c>
      <c r="D62" s="681">
        <v>2010</v>
      </c>
      <c r="E62" s="681">
        <v>2</v>
      </c>
      <c r="F62" s="681">
        <v>10</v>
      </c>
      <c r="G62" s="681">
        <v>30</v>
      </c>
      <c r="H62" s="676">
        <v>637.20000000000005</v>
      </c>
      <c r="I62" s="676"/>
      <c r="J62" s="696"/>
      <c r="K62" s="696"/>
      <c r="L62" s="696"/>
      <c r="M62" s="696"/>
      <c r="N62" s="696"/>
      <c r="O62" s="696"/>
      <c r="P62" s="696"/>
      <c r="Q62" s="696"/>
      <c r="R62" s="696"/>
      <c r="S62" s="696"/>
      <c r="T62" s="628"/>
      <c r="U62" s="628"/>
      <c r="V62" s="628"/>
      <c r="W62" s="628"/>
      <c r="X62" s="628"/>
      <c r="Y62" s="628"/>
      <c r="Z62" s="629"/>
      <c r="AA62" s="629"/>
      <c r="AB62" s="524"/>
      <c r="AC62" s="591"/>
      <c r="AD62" s="623"/>
      <c r="AE62" s="623"/>
      <c r="AF62" s="623"/>
      <c r="AG62" s="623"/>
      <c r="AH62" s="623"/>
      <c r="AI62" s="623"/>
      <c r="AJ62" s="623"/>
      <c r="AK62" s="591"/>
      <c r="AL62" s="591"/>
      <c r="AM62" s="623"/>
      <c r="AN62" s="623"/>
      <c r="AO62" s="623"/>
      <c r="AP62" s="623"/>
      <c r="AQ62" s="624"/>
      <c r="AR62" s="624"/>
      <c r="AS62" s="624"/>
      <c r="AT62" s="624"/>
      <c r="AU62" s="525"/>
      <c r="AV62" s="524"/>
      <c r="AW62" s="524"/>
      <c r="AX62" s="525"/>
      <c r="AY62" s="524"/>
      <c r="AZ62" s="625"/>
      <c r="BA62" s="403"/>
      <c r="BB62" s="403"/>
      <c r="BC62" s="403"/>
    </row>
    <row r="63" spans="1:55" ht="14.25" customHeight="1" x14ac:dyDescent="0.25">
      <c r="A63" s="13">
        <v>18</v>
      </c>
      <c r="B63" s="13"/>
      <c r="C63" s="425" t="s">
        <v>329</v>
      </c>
      <c r="D63" s="681">
        <v>2013</v>
      </c>
      <c r="E63" s="681">
        <v>2</v>
      </c>
      <c r="F63" s="681"/>
      <c r="G63" s="681"/>
      <c r="H63" s="676">
        <v>1179.9000000000001</v>
      </c>
      <c r="I63" s="676"/>
      <c r="J63" s="696"/>
      <c r="K63" s="696"/>
      <c r="L63" s="696"/>
      <c r="M63" s="696"/>
      <c r="N63" s="696"/>
      <c r="O63" s="696"/>
      <c r="P63" s="696"/>
      <c r="Q63" s="696"/>
      <c r="R63" s="696"/>
      <c r="S63" s="696"/>
      <c r="T63" s="628"/>
      <c r="U63" s="628"/>
      <c r="V63" s="628"/>
      <c r="W63" s="628"/>
      <c r="X63" s="628"/>
      <c r="Y63" s="628"/>
      <c r="Z63" s="629"/>
      <c r="AA63" s="629"/>
      <c r="AB63" s="524"/>
      <c r="AC63" s="591"/>
      <c r="AD63" s="623"/>
      <c r="AE63" s="623"/>
      <c r="AF63" s="623"/>
      <c r="AG63" s="623"/>
      <c r="AH63" s="623"/>
      <c r="AI63" s="623"/>
      <c r="AJ63" s="623"/>
      <c r="AK63" s="591"/>
      <c r="AL63" s="591"/>
      <c r="AM63" s="623"/>
      <c r="AN63" s="623"/>
      <c r="AO63" s="623"/>
      <c r="AP63" s="623"/>
      <c r="AQ63" s="624"/>
      <c r="AR63" s="624"/>
      <c r="AS63" s="624"/>
      <c r="AT63" s="624"/>
      <c r="AU63" s="525"/>
      <c r="AV63" s="524"/>
      <c r="AW63" s="524"/>
      <c r="AX63" s="525"/>
      <c r="AY63" s="524"/>
      <c r="AZ63" s="625"/>
      <c r="BA63" s="403"/>
      <c r="BB63" s="403"/>
      <c r="BC63" s="403"/>
    </row>
    <row r="64" spans="1:55" ht="15.75" customHeight="1" x14ac:dyDescent="0.25">
      <c r="A64" s="13">
        <v>19</v>
      </c>
      <c r="B64" s="187"/>
      <c r="C64" s="426" t="s">
        <v>330</v>
      </c>
      <c r="D64" s="688">
        <v>2013</v>
      </c>
      <c r="E64" s="688">
        <v>3</v>
      </c>
      <c r="F64" s="688">
        <v>28</v>
      </c>
      <c r="G64" s="688"/>
      <c r="H64" s="689">
        <v>1588.6</v>
      </c>
      <c r="I64" s="689"/>
      <c r="J64" s="697"/>
      <c r="K64" s="697"/>
      <c r="L64" s="697"/>
      <c r="M64" s="697"/>
      <c r="N64" s="697"/>
      <c r="O64" s="697"/>
      <c r="P64" s="697"/>
      <c r="Q64" s="697"/>
      <c r="R64" s="697"/>
      <c r="S64" s="697"/>
      <c r="T64" s="630"/>
      <c r="U64" s="630"/>
      <c r="V64" s="630"/>
      <c r="W64" s="630"/>
      <c r="X64" s="630"/>
      <c r="Y64" s="630"/>
      <c r="Z64" s="631"/>
      <c r="AA64" s="631"/>
      <c r="AB64" s="524"/>
      <c r="AC64" s="632"/>
      <c r="AD64" s="623"/>
      <c r="AE64" s="633"/>
      <c r="AF64" s="633"/>
      <c r="AG64" s="633"/>
      <c r="AH64" s="623"/>
      <c r="AI64" s="633"/>
      <c r="AJ64" s="633"/>
      <c r="AK64" s="632"/>
      <c r="AL64" s="632"/>
      <c r="AM64" s="623"/>
      <c r="AN64" s="623"/>
      <c r="AO64" s="623"/>
      <c r="AP64" s="623"/>
      <c r="AQ64" s="624"/>
      <c r="AR64" s="624"/>
      <c r="AS64" s="624"/>
      <c r="AT64" s="624"/>
      <c r="AU64" s="525"/>
      <c r="AV64" s="524"/>
      <c r="AW64" s="524"/>
      <c r="AX64" s="525"/>
      <c r="AY64" s="528"/>
      <c r="AZ64" s="625"/>
      <c r="BA64" s="403"/>
      <c r="BB64" s="403"/>
      <c r="BC64" s="403"/>
    </row>
    <row r="65" spans="1:55" s="124" customFormat="1" x14ac:dyDescent="0.25">
      <c r="A65" s="13">
        <v>20</v>
      </c>
      <c r="B65" s="187"/>
      <c r="C65" s="426" t="s">
        <v>474</v>
      </c>
      <c r="D65" s="681"/>
      <c r="E65" s="681"/>
      <c r="F65" s="681"/>
      <c r="G65" s="681"/>
      <c r="H65" s="696">
        <v>586.1</v>
      </c>
      <c r="I65" s="676"/>
      <c r="J65" s="696"/>
      <c r="K65" s="696"/>
      <c r="L65" s="696"/>
      <c r="M65" s="696"/>
      <c r="N65" s="696"/>
      <c r="O65" s="696"/>
      <c r="P65" s="696"/>
      <c r="Q65" s="696"/>
      <c r="R65" s="696"/>
      <c r="S65" s="696"/>
      <c r="T65" s="628"/>
      <c r="U65" s="628"/>
      <c r="V65" s="628"/>
      <c r="W65" s="628"/>
      <c r="X65" s="628"/>
      <c r="Y65" s="628"/>
      <c r="Z65" s="629"/>
      <c r="AA65" s="629"/>
      <c r="AB65" s="524"/>
      <c r="AC65" s="591"/>
      <c r="AD65" s="623"/>
      <c r="AE65" s="623"/>
      <c r="AF65" s="623"/>
      <c r="AG65" s="622"/>
      <c r="AH65" s="623"/>
      <c r="AI65" s="623"/>
      <c r="AJ65" s="623"/>
      <c r="AK65" s="591"/>
      <c r="AL65" s="591"/>
      <c r="AM65" s="623"/>
      <c r="AN65" s="623"/>
      <c r="AO65" s="623"/>
      <c r="AP65" s="623"/>
      <c r="AQ65" s="624"/>
      <c r="AR65" s="525"/>
      <c r="AS65" s="624"/>
      <c r="AT65" s="624"/>
      <c r="AU65" s="525"/>
      <c r="AV65" s="524"/>
      <c r="AW65" s="524"/>
      <c r="AX65" s="525"/>
      <c r="AY65" s="524"/>
      <c r="AZ65" s="625"/>
      <c r="BA65" s="403"/>
      <c r="BB65" s="403"/>
      <c r="BC65" s="403"/>
    </row>
    <row r="66" spans="1:55" s="124" customFormat="1" ht="15.75" customHeight="1" x14ac:dyDescent="0.25">
      <c r="A66" s="13">
        <v>21</v>
      </c>
      <c r="B66" s="580">
        <v>42648</v>
      </c>
      <c r="C66" s="426" t="s">
        <v>473</v>
      </c>
      <c r="D66" s="688"/>
      <c r="E66" s="688"/>
      <c r="F66" s="688"/>
      <c r="G66" s="688"/>
      <c r="H66" s="697">
        <v>1372.13</v>
      </c>
      <c r="I66" s="689"/>
      <c r="J66" s="697"/>
      <c r="K66" s="697"/>
      <c r="L66" s="697"/>
      <c r="M66" s="697"/>
      <c r="N66" s="697"/>
      <c r="O66" s="697"/>
      <c r="P66" s="697"/>
      <c r="Q66" s="697"/>
      <c r="R66" s="697"/>
      <c r="S66" s="697"/>
      <c r="T66" s="630"/>
      <c r="U66" s="630"/>
      <c r="V66" s="630"/>
      <c r="W66" s="630"/>
      <c r="X66" s="630"/>
      <c r="Y66" s="630"/>
      <c r="Z66" s="631"/>
      <c r="AA66" s="631"/>
      <c r="AB66" s="524"/>
      <c r="AC66" s="632"/>
      <c r="AD66" s="623"/>
      <c r="AE66" s="633"/>
      <c r="AF66" s="633"/>
      <c r="AG66" s="634"/>
      <c r="AH66" s="633"/>
      <c r="AI66" s="633"/>
      <c r="AJ66" s="633"/>
      <c r="AK66" s="632"/>
      <c r="AL66" s="632"/>
      <c r="AM66" s="633"/>
      <c r="AN66" s="633"/>
      <c r="AO66" s="633"/>
      <c r="AP66" s="633"/>
      <c r="AQ66" s="635"/>
      <c r="AR66" s="636"/>
      <c r="AS66" s="624"/>
      <c r="AT66" s="624"/>
      <c r="AU66" s="525"/>
      <c r="AV66" s="524"/>
      <c r="AW66" s="524"/>
      <c r="AX66" s="525"/>
      <c r="AY66" s="528"/>
      <c r="AZ66" s="625"/>
      <c r="BA66" s="250"/>
      <c r="BB66" s="250"/>
      <c r="BC66" s="403"/>
    </row>
    <row r="67" spans="1:55" s="124" customFormat="1" ht="15" customHeight="1" x14ac:dyDescent="0.25">
      <c r="A67" s="13"/>
      <c r="B67" s="13"/>
      <c r="C67" s="417" t="s">
        <v>296</v>
      </c>
      <c r="D67" s="690"/>
      <c r="E67" s="690"/>
      <c r="F67" s="691">
        <f>SUM(F46:F62)</f>
        <v>462</v>
      </c>
      <c r="G67" s="691">
        <f>SUM(G46:G62)</f>
        <v>1267</v>
      </c>
      <c r="H67" s="653">
        <f>SUM(H46:H66)</f>
        <v>27445.26</v>
      </c>
      <c r="I67" s="653">
        <f>SUM(I46:I62)</f>
        <v>2501.9800000000005</v>
      </c>
      <c r="J67" s="698"/>
      <c r="K67" s="698"/>
      <c r="L67" s="698"/>
      <c r="M67" s="698"/>
      <c r="N67" s="698"/>
      <c r="O67" s="698"/>
      <c r="P67" s="698"/>
      <c r="Q67" s="698"/>
      <c r="R67" s="698"/>
      <c r="S67" s="698"/>
      <c r="T67" s="637"/>
      <c r="U67" s="637"/>
      <c r="V67" s="637"/>
      <c r="W67" s="637"/>
      <c r="X67" s="637"/>
      <c r="Y67" s="637"/>
      <c r="Z67" s="638"/>
      <c r="AA67" s="638"/>
      <c r="AB67" s="639"/>
      <c r="AC67" s="637"/>
      <c r="AD67" s="640"/>
      <c r="AE67" s="640"/>
      <c r="AF67" s="640"/>
      <c r="AG67" s="640"/>
      <c r="AH67" s="641"/>
      <c r="AI67" s="641"/>
      <c r="AJ67" s="641"/>
      <c r="AK67" s="642"/>
      <c r="AL67" s="642"/>
      <c r="AM67" s="641"/>
      <c r="AN67" s="641"/>
      <c r="AO67" s="641"/>
      <c r="AP67" s="641"/>
      <c r="AQ67" s="641"/>
      <c r="AR67" s="641"/>
      <c r="AS67" s="643"/>
      <c r="AT67" s="641"/>
      <c r="AU67" s="644"/>
      <c r="AV67" s="639"/>
      <c r="AW67" s="639"/>
      <c r="AX67" s="1155"/>
      <c r="AY67" s="646"/>
      <c r="AZ67" s="647"/>
      <c r="BA67" s="250"/>
      <c r="BB67" s="250"/>
      <c r="BC67" s="403"/>
    </row>
    <row r="68" spans="1:55" s="124" customFormat="1" ht="15" customHeight="1" x14ac:dyDescent="0.25">
      <c r="A68" s="13"/>
      <c r="B68" s="13"/>
      <c r="C68" s="417" t="s">
        <v>491</v>
      </c>
      <c r="D68" s="690"/>
      <c r="E68" s="690"/>
      <c r="F68" s="691"/>
      <c r="G68" s="691"/>
      <c r="H68" s="692"/>
      <c r="I68" s="692"/>
      <c r="J68" s="692"/>
      <c r="K68" s="692"/>
      <c r="L68" s="692"/>
      <c r="M68" s="692"/>
      <c r="N68" s="692"/>
      <c r="O68" s="692"/>
      <c r="P68" s="692"/>
      <c r="Q68" s="692"/>
      <c r="R68" s="692"/>
      <c r="S68" s="692"/>
      <c r="T68" s="163"/>
      <c r="U68" s="163"/>
      <c r="V68" s="163"/>
      <c r="W68" s="163"/>
      <c r="X68" s="163"/>
      <c r="Y68" s="163"/>
      <c r="Z68" s="163"/>
      <c r="AA68" s="163"/>
      <c r="AB68" s="418"/>
      <c r="AC68" s="419"/>
      <c r="AD68" s="420"/>
      <c r="AE68" s="420"/>
      <c r="AF68" s="420"/>
      <c r="AG68" s="420"/>
      <c r="AH68" s="421"/>
      <c r="AI68" s="421"/>
      <c r="AJ68" s="421"/>
      <c r="AK68" s="419"/>
      <c r="AL68" s="419"/>
      <c r="AM68" s="421"/>
      <c r="AN68" s="421"/>
      <c r="AO68" s="421"/>
      <c r="AP68" s="421"/>
      <c r="AQ68" s="421"/>
      <c r="AR68" s="421"/>
      <c r="AS68" s="421"/>
      <c r="AT68" s="421"/>
      <c r="AU68" s="294"/>
      <c r="AV68" s="49"/>
      <c r="AW68" s="49"/>
      <c r="AX68" s="294"/>
      <c r="AY68" s="49"/>
      <c r="AZ68" s="391"/>
      <c r="BA68" s="250"/>
      <c r="BB68" s="250"/>
      <c r="BC68" s="403"/>
    </row>
    <row r="69" spans="1:55" s="124" customFormat="1" ht="14.25" customHeight="1" x14ac:dyDescent="0.25">
      <c r="A69" s="13"/>
      <c r="B69" s="13"/>
      <c r="C69" s="417"/>
      <c r="D69" s="690"/>
      <c r="E69" s="690"/>
      <c r="F69" s="691"/>
      <c r="G69" s="691"/>
      <c r="H69" s="692"/>
      <c r="I69" s="692"/>
      <c r="J69" s="692"/>
      <c r="K69" s="692"/>
      <c r="L69" s="692"/>
      <c r="M69" s="692"/>
      <c r="N69" s="692"/>
      <c r="O69" s="692"/>
      <c r="P69" s="692"/>
      <c r="Q69" s="692"/>
      <c r="R69" s="692"/>
      <c r="S69" s="692"/>
      <c r="T69" s="163"/>
      <c r="U69" s="163"/>
      <c r="V69" s="163"/>
      <c r="W69" s="163"/>
      <c r="X69" s="163"/>
      <c r="Y69" s="163"/>
      <c r="Z69" s="163"/>
      <c r="AA69" s="163"/>
      <c r="AB69" s="418"/>
      <c r="AC69" s="419"/>
      <c r="AD69" s="420"/>
      <c r="AE69" s="420"/>
      <c r="AF69" s="420"/>
      <c r="AG69" s="420"/>
      <c r="AH69" s="421"/>
      <c r="AI69" s="421"/>
      <c r="AJ69" s="421"/>
      <c r="AK69" s="419"/>
      <c r="AL69" s="419"/>
      <c r="AM69" s="421"/>
      <c r="AN69" s="421"/>
      <c r="AO69" s="421"/>
      <c r="AP69" s="421"/>
      <c r="AQ69" s="421"/>
      <c r="AR69" s="421"/>
      <c r="AS69" s="421"/>
      <c r="AT69" s="421"/>
      <c r="AU69" s="294"/>
      <c r="AV69" s="49"/>
      <c r="AW69" s="49"/>
      <c r="AX69" s="294"/>
      <c r="AY69" s="49"/>
      <c r="AZ69" s="391"/>
      <c r="BA69" s="250"/>
      <c r="BB69" s="250"/>
      <c r="BC69" s="403"/>
    </row>
    <row r="70" spans="1:55" s="124" customFormat="1" ht="15.75" customHeight="1" x14ac:dyDescent="0.25">
      <c r="A70" s="296"/>
      <c r="B70" s="296"/>
      <c r="C70" s="296"/>
      <c r="D70" s="699"/>
      <c r="E70" s="699"/>
      <c r="F70" s="699"/>
      <c r="G70" s="699"/>
      <c r="H70" s="699"/>
      <c r="I70" s="699"/>
      <c r="J70" s="699"/>
      <c r="K70" s="699"/>
      <c r="L70" s="699"/>
      <c r="M70" s="699"/>
      <c r="N70" s="699"/>
      <c r="O70" s="699"/>
      <c r="P70" s="699"/>
      <c r="Q70" s="699"/>
      <c r="R70" s="699"/>
      <c r="S70" s="699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296"/>
      <c r="AN70" s="296"/>
      <c r="AO70" s="296"/>
      <c r="AP70" s="250"/>
      <c r="AQ70" s="250"/>
      <c r="AR70" s="250"/>
      <c r="AS70" s="250"/>
      <c r="AT70" s="250"/>
      <c r="AU70" s="250"/>
      <c r="AV70" s="250"/>
      <c r="AW70" s="250"/>
      <c r="AX70" s="250"/>
      <c r="AY70" s="250"/>
      <c r="AZ70" s="250"/>
      <c r="BA70" s="250"/>
      <c r="BB70" s="250"/>
      <c r="BC70" s="403"/>
    </row>
    <row r="71" spans="1:55" x14ac:dyDescent="0.25">
      <c r="A71" s="15"/>
      <c r="B71" s="15"/>
      <c r="C71" s="15"/>
      <c r="D71" s="661"/>
      <c r="E71" s="661"/>
      <c r="F71" s="661"/>
      <c r="G71" s="661"/>
      <c r="H71" s="661"/>
      <c r="I71" s="661"/>
      <c r="J71" s="661"/>
      <c r="K71" s="661"/>
      <c r="L71" s="661"/>
      <c r="M71" s="661"/>
      <c r="N71" s="661"/>
      <c r="O71" s="661"/>
      <c r="P71" s="661"/>
      <c r="Q71" s="661"/>
      <c r="R71" s="661"/>
      <c r="S71" s="661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9"/>
      <c r="AP71" s="250"/>
      <c r="AQ71" s="250"/>
      <c r="AR71" s="250"/>
      <c r="AS71" s="250"/>
      <c r="AT71" s="250"/>
      <c r="AU71" s="250"/>
      <c r="AV71" s="250"/>
      <c r="AW71" s="250"/>
      <c r="AX71" s="250"/>
      <c r="AY71" s="250"/>
      <c r="AZ71" s="250"/>
      <c r="BA71" s="250"/>
      <c r="BB71" s="250"/>
    </row>
    <row r="72" spans="1:55" ht="15.75" x14ac:dyDescent="0.25">
      <c r="A72" s="10"/>
      <c r="B72" s="10"/>
      <c r="C72" s="222" t="s">
        <v>643</v>
      </c>
      <c r="D72" s="700"/>
      <c r="E72" s="700"/>
      <c r="F72" s="700"/>
      <c r="G72" s="700"/>
      <c r="H72" s="700"/>
      <c r="I72" s="700"/>
      <c r="J72" s="700"/>
      <c r="K72" s="700"/>
      <c r="L72" s="700"/>
      <c r="M72" s="700"/>
      <c r="N72" s="700"/>
      <c r="O72" s="700"/>
      <c r="P72" s="700"/>
      <c r="Q72" s="700"/>
      <c r="R72" s="700"/>
      <c r="S72" s="700"/>
      <c r="T72" s="11"/>
      <c r="U72" s="11"/>
      <c r="V72" s="11"/>
      <c r="W72" s="11"/>
      <c r="X72" s="11"/>
      <c r="Y72" s="11"/>
      <c r="Z72" s="11"/>
      <c r="AA72" s="11"/>
      <c r="AP72" s="250"/>
      <c r="AQ72" s="250"/>
      <c r="AR72" s="250"/>
      <c r="AS72" s="250"/>
      <c r="AT72" s="250"/>
      <c r="AU72" s="250"/>
      <c r="AV72" s="250"/>
      <c r="AW72" s="250"/>
      <c r="AX72" s="250"/>
      <c r="AY72" s="250"/>
      <c r="AZ72" s="250"/>
      <c r="BA72" s="250"/>
      <c r="BB72" s="250"/>
    </row>
    <row r="73" spans="1:55" ht="18" x14ac:dyDescent="0.25">
      <c r="A73" s="10"/>
      <c r="B73" s="10"/>
      <c r="C73" s="12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12"/>
      <c r="U73" s="12"/>
      <c r="V73" s="12"/>
      <c r="W73" s="12"/>
      <c r="X73" s="12"/>
      <c r="Y73" s="12"/>
      <c r="Z73" s="12"/>
      <c r="AA73" s="12"/>
      <c r="AP73" s="250"/>
      <c r="AQ73" s="250"/>
      <c r="AR73" s="250"/>
      <c r="AS73" s="250"/>
      <c r="AT73" s="250"/>
      <c r="AU73" s="250"/>
      <c r="AV73" s="250"/>
      <c r="AW73" s="250"/>
      <c r="AX73" s="250"/>
      <c r="AY73" s="250"/>
      <c r="AZ73" s="250"/>
      <c r="BA73" s="250"/>
      <c r="BB73" s="250"/>
    </row>
    <row r="74" spans="1:55" ht="29.25" customHeight="1" x14ac:dyDescent="0.25">
      <c r="A74" s="2017" t="s">
        <v>0</v>
      </c>
      <c r="B74" s="1345"/>
      <c r="C74" s="2017" t="s">
        <v>184</v>
      </c>
      <c r="D74" s="2163" t="s">
        <v>54</v>
      </c>
      <c r="E74" s="2163" t="s">
        <v>55</v>
      </c>
      <c r="F74" s="2163" t="s">
        <v>56</v>
      </c>
      <c r="G74" s="2163" t="s">
        <v>57</v>
      </c>
      <c r="H74" s="2163" t="s">
        <v>6</v>
      </c>
      <c r="I74" s="2228" t="s">
        <v>282</v>
      </c>
      <c r="J74" s="1352"/>
      <c r="K74" s="1352"/>
      <c r="L74" s="1352"/>
      <c r="M74" s="1352"/>
      <c r="N74" s="1352"/>
      <c r="O74" s="1352"/>
      <c r="P74" s="1352"/>
      <c r="Q74" s="1352"/>
      <c r="R74" s="693"/>
      <c r="S74" s="693"/>
      <c r="T74" s="1578"/>
      <c r="U74" s="1578"/>
      <c r="V74" s="1578"/>
      <c r="W74" s="1578"/>
      <c r="X74" s="1578"/>
      <c r="Y74" s="1578"/>
      <c r="Z74" s="1578"/>
      <c r="AA74" s="1578"/>
      <c r="AB74" s="1578"/>
      <c r="AC74" s="1578"/>
      <c r="AD74" s="1578"/>
      <c r="AE74" s="1578"/>
      <c r="AF74" s="1578"/>
      <c r="AG74" s="1578"/>
      <c r="AH74" s="1578"/>
      <c r="AI74" s="1578"/>
      <c r="AJ74" s="1578"/>
      <c r="AK74" s="1578"/>
      <c r="AL74" s="1578"/>
      <c r="AM74" s="1578"/>
      <c r="AN74" s="1578"/>
      <c r="AO74" s="1578"/>
      <c r="AP74" s="1578"/>
      <c r="AQ74" s="1578"/>
      <c r="AR74" s="1578"/>
      <c r="AS74" s="250"/>
      <c r="AT74" s="250"/>
      <c r="AU74" s="250"/>
      <c r="AV74" s="250"/>
      <c r="AW74" s="250"/>
      <c r="AX74" s="250"/>
      <c r="AY74" s="250"/>
      <c r="AZ74" s="250"/>
      <c r="BA74" s="250"/>
      <c r="BB74" s="250"/>
    </row>
    <row r="75" spans="1:55" ht="24" customHeight="1" x14ac:dyDescent="0.25">
      <c r="A75" s="2017"/>
      <c r="B75" s="1345"/>
      <c r="C75" s="2017"/>
      <c r="D75" s="2163"/>
      <c r="E75" s="2163"/>
      <c r="F75" s="2163"/>
      <c r="G75" s="2163"/>
      <c r="H75" s="2163"/>
      <c r="I75" s="2229"/>
      <c r="J75" s="1353"/>
      <c r="K75" s="1353"/>
      <c r="L75" s="1353"/>
      <c r="M75" s="1353"/>
      <c r="N75" s="1353"/>
      <c r="O75" s="1353"/>
      <c r="P75" s="1353"/>
      <c r="Q75" s="1353"/>
      <c r="R75" s="694"/>
      <c r="S75" s="694"/>
      <c r="T75" s="1578"/>
      <c r="U75" s="1578"/>
      <c r="V75" s="1578"/>
      <c r="W75" s="1578"/>
      <c r="X75" s="1578"/>
      <c r="Y75" s="1578"/>
      <c r="Z75" s="1578"/>
      <c r="AA75" s="1578"/>
      <c r="AB75" s="1578"/>
      <c r="AC75" s="1578"/>
      <c r="AD75" s="1578"/>
      <c r="AE75" s="1578"/>
      <c r="AF75" s="1578"/>
      <c r="AG75" s="1578"/>
      <c r="AH75" s="1578"/>
      <c r="AI75" s="1578"/>
      <c r="AJ75" s="1578"/>
      <c r="AK75" s="1578"/>
      <c r="AL75" s="1578"/>
      <c r="AM75" s="1578"/>
      <c r="AN75" s="1578"/>
      <c r="AO75" s="1578"/>
      <c r="AP75" s="1578"/>
      <c r="AQ75" s="1578"/>
      <c r="AR75" s="1578"/>
      <c r="AS75" s="250"/>
      <c r="AT75" s="250"/>
      <c r="AU75" s="250"/>
      <c r="AV75" s="250"/>
      <c r="AW75" s="250"/>
      <c r="AX75" s="250"/>
      <c r="AY75" s="250"/>
      <c r="AZ75" s="250"/>
      <c r="BA75" s="250"/>
      <c r="BB75" s="250"/>
    </row>
    <row r="76" spans="1:55" x14ac:dyDescent="0.25">
      <c r="A76" s="112">
        <v>1</v>
      </c>
      <c r="B76" s="112"/>
      <c r="C76" s="41" t="s">
        <v>210</v>
      </c>
      <c r="D76" s="702">
        <v>1975</v>
      </c>
      <c r="E76" s="702">
        <v>2</v>
      </c>
      <c r="F76" s="702">
        <v>18</v>
      </c>
      <c r="G76" s="661">
        <v>60</v>
      </c>
      <c r="H76" s="703">
        <v>784.25</v>
      </c>
      <c r="I76" s="704">
        <v>85.12</v>
      </c>
      <c r="J76" s="704"/>
      <c r="K76" s="704"/>
      <c r="L76" s="704"/>
      <c r="M76" s="704"/>
      <c r="N76" s="704"/>
      <c r="O76" s="704"/>
      <c r="P76" s="704"/>
      <c r="Q76" s="704"/>
      <c r="R76" s="714"/>
      <c r="S76" s="714"/>
      <c r="T76" s="1578"/>
      <c r="U76" s="1578"/>
      <c r="V76" s="1578"/>
      <c r="W76" s="1578"/>
      <c r="X76" s="1578"/>
      <c r="Y76" s="1578"/>
      <c r="Z76" s="1578"/>
      <c r="AA76" s="1578"/>
      <c r="AB76" s="1578"/>
      <c r="AC76" s="1578"/>
      <c r="AD76" s="1578"/>
      <c r="AE76" s="1578"/>
      <c r="AF76" s="1578"/>
      <c r="AG76" s="1578"/>
      <c r="AH76" s="1578"/>
      <c r="AI76" s="1578"/>
      <c r="AJ76" s="1578"/>
      <c r="AK76" s="1578"/>
      <c r="AL76" s="1578"/>
      <c r="AM76" s="1578"/>
      <c r="AN76" s="1578"/>
      <c r="AO76" s="1578"/>
      <c r="AP76" s="1578"/>
      <c r="AQ76" s="1578"/>
      <c r="AR76" s="1578"/>
      <c r="AS76" s="250"/>
      <c r="AT76" s="250"/>
      <c r="AU76" s="250"/>
      <c r="AV76" s="250"/>
      <c r="AW76" s="250"/>
      <c r="AX76" s="250"/>
      <c r="AY76" s="250"/>
      <c r="AZ76" s="250"/>
      <c r="BA76" s="250"/>
      <c r="BB76" s="250"/>
    </row>
    <row r="77" spans="1:55" x14ac:dyDescent="0.25">
      <c r="A77" s="13">
        <v>2</v>
      </c>
      <c r="B77" s="13"/>
      <c r="C77" s="41" t="s">
        <v>211</v>
      </c>
      <c r="D77" s="705">
        <v>1975</v>
      </c>
      <c r="E77" s="705">
        <v>2</v>
      </c>
      <c r="F77" s="705">
        <v>18</v>
      </c>
      <c r="G77" s="661">
        <v>52</v>
      </c>
      <c r="H77" s="706">
        <v>785</v>
      </c>
      <c r="I77" s="707">
        <v>85.12</v>
      </c>
      <c r="J77" s="707"/>
      <c r="K77" s="707"/>
      <c r="L77" s="707"/>
      <c r="M77" s="707"/>
      <c r="N77" s="707"/>
      <c r="O77" s="707"/>
      <c r="P77" s="707"/>
      <c r="Q77" s="707"/>
      <c r="R77" s="715"/>
      <c r="S77" s="715"/>
      <c r="T77" s="1578"/>
      <c r="U77" s="1578"/>
      <c r="V77" s="1578"/>
      <c r="W77" s="1578"/>
      <c r="X77" s="1578"/>
      <c r="Y77" s="1578"/>
      <c r="Z77" s="1578"/>
      <c r="AA77" s="1578"/>
      <c r="AB77" s="1578"/>
      <c r="AC77" s="1578"/>
      <c r="AD77" s="1578"/>
      <c r="AE77" s="1578"/>
      <c r="AF77" s="1578"/>
      <c r="AG77" s="1578"/>
      <c r="AH77" s="1578"/>
      <c r="AI77" s="1578"/>
      <c r="AJ77" s="1578"/>
      <c r="AK77" s="1578"/>
      <c r="AL77" s="1578"/>
      <c r="AM77" s="1578"/>
      <c r="AN77" s="1578"/>
      <c r="AO77" s="1578"/>
      <c r="AP77" s="1578"/>
      <c r="AQ77" s="1578"/>
      <c r="AR77" s="1578"/>
      <c r="AS77" s="250"/>
      <c r="AT77" s="250"/>
      <c r="AU77" s="250"/>
      <c r="AV77" s="250"/>
      <c r="AW77" s="250"/>
      <c r="AX77" s="250"/>
      <c r="AY77" s="250"/>
      <c r="AZ77" s="250"/>
      <c r="BA77" s="250"/>
      <c r="BB77" s="250"/>
    </row>
    <row r="78" spans="1:55" x14ac:dyDescent="0.25">
      <c r="A78" s="13">
        <v>3</v>
      </c>
      <c r="B78" s="13"/>
      <c r="C78" s="41" t="s">
        <v>212</v>
      </c>
      <c r="D78" s="705">
        <v>1975</v>
      </c>
      <c r="E78" s="705">
        <v>2</v>
      </c>
      <c r="F78" s="705">
        <v>18</v>
      </c>
      <c r="G78" s="349">
        <v>58</v>
      </c>
      <c r="H78" s="707">
        <v>788.23</v>
      </c>
      <c r="I78" s="707">
        <v>86.42</v>
      </c>
      <c r="J78" s="707"/>
      <c r="K78" s="707"/>
      <c r="L78" s="707"/>
      <c r="M78" s="707"/>
      <c r="N78" s="707"/>
      <c r="O78" s="707"/>
      <c r="P78" s="707"/>
      <c r="Q78" s="707"/>
      <c r="R78" s="715"/>
      <c r="S78" s="715"/>
      <c r="T78" s="1578"/>
      <c r="U78" s="1578"/>
      <c r="V78" s="1578"/>
      <c r="W78" s="1578"/>
      <c r="X78" s="1578"/>
      <c r="Y78" s="1578"/>
      <c r="Z78" s="1578"/>
      <c r="AA78" s="1578"/>
      <c r="AB78" s="1578"/>
      <c r="AC78" s="1578"/>
      <c r="AD78" s="1578"/>
      <c r="AE78" s="1578"/>
      <c r="AF78" s="1578"/>
      <c r="AG78" s="1578"/>
      <c r="AH78" s="1578"/>
      <c r="AI78" s="1578"/>
      <c r="AJ78" s="1578"/>
      <c r="AK78" s="1578"/>
      <c r="AL78" s="1578"/>
      <c r="AM78" s="1578"/>
      <c r="AN78" s="1578"/>
      <c r="AO78" s="1578"/>
      <c r="AP78" s="1578"/>
      <c r="AQ78" s="1578"/>
      <c r="AR78" s="1578"/>
      <c r="AS78" s="250"/>
      <c r="AT78" s="250"/>
      <c r="AU78" s="250"/>
      <c r="AV78" s="250"/>
      <c r="AW78" s="250"/>
      <c r="AX78" s="250"/>
      <c r="AY78" s="250"/>
      <c r="AZ78" s="250"/>
      <c r="BA78" s="250"/>
      <c r="BB78" s="250"/>
    </row>
    <row r="79" spans="1:55" x14ac:dyDescent="0.25">
      <c r="A79" s="13">
        <v>4</v>
      </c>
      <c r="B79" s="13"/>
      <c r="C79" s="41" t="s">
        <v>213</v>
      </c>
      <c r="D79" s="705">
        <v>1975</v>
      </c>
      <c r="E79" s="705">
        <v>2</v>
      </c>
      <c r="F79" s="705">
        <v>18</v>
      </c>
      <c r="G79" s="708">
        <v>42</v>
      </c>
      <c r="H79" s="707">
        <v>789.57</v>
      </c>
      <c r="I79" s="707">
        <v>86.42</v>
      </c>
      <c r="J79" s="707"/>
      <c r="K79" s="707"/>
      <c r="L79" s="707"/>
      <c r="M79" s="707"/>
      <c r="N79" s="707"/>
      <c r="O79" s="707"/>
      <c r="P79" s="707"/>
      <c r="Q79" s="707"/>
      <c r="R79" s="715"/>
      <c r="S79" s="715"/>
      <c r="T79" s="1578"/>
      <c r="U79" s="1578"/>
      <c r="V79" s="1578"/>
      <c r="W79" s="1578"/>
      <c r="X79" s="1578"/>
      <c r="Y79" s="1578"/>
      <c r="Z79" s="1578"/>
      <c r="AA79" s="1578"/>
      <c r="AB79" s="1578"/>
      <c r="AC79" s="1578"/>
      <c r="AD79" s="1578"/>
      <c r="AE79" s="1578"/>
      <c r="AF79" s="1578"/>
      <c r="AG79" s="1578"/>
      <c r="AH79" s="1578"/>
      <c r="AI79" s="1578"/>
      <c r="AJ79" s="1578"/>
      <c r="AK79" s="1578"/>
      <c r="AL79" s="1578"/>
      <c r="AM79" s="1578"/>
      <c r="AN79" s="1578"/>
      <c r="AO79" s="1578"/>
      <c r="AP79" s="1578"/>
      <c r="AQ79" s="1578"/>
      <c r="AR79" s="1578"/>
      <c r="AS79" s="250"/>
      <c r="AT79" s="250"/>
      <c r="AU79" s="250"/>
      <c r="AV79" s="250"/>
      <c r="AW79" s="250"/>
      <c r="AX79" s="250"/>
      <c r="AY79" s="250"/>
      <c r="AZ79" s="250"/>
      <c r="BA79" s="250"/>
      <c r="BB79" s="250"/>
    </row>
    <row r="80" spans="1:55" x14ac:dyDescent="0.25">
      <c r="A80" s="13">
        <v>5</v>
      </c>
      <c r="B80" s="13"/>
      <c r="C80" s="41" t="s">
        <v>214</v>
      </c>
      <c r="D80" s="705">
        <v>1975</v>
      </c>
      <c r="E80" s="705">
        <v>5</v>
      </c>
      <c r="F80" s="705">
        <v>90</v>
      </c>
      <c r="G80" s="349">
        <v>268</v>
      </c>
      <c r="H80" s="707">
        <v>4496</v>
      </c>
      <c r="I80" s="707">
        <v>423.6</v>
      </c>
      <c r="J80" s="707"/>
      <c r="K80" s="707"/>
      <c r="L80" s="707"/>
      <c r="M80" s="707"/>
      <c r="N80" s="707"/>
      <c r="O80" s="707"/>
      <c r="P80" s="707"/>
      <c r="Q80" s="707"/>
      <c r="R80" s="715"/>
      <c r="S80" s="715"/>
      <c r="T80" s="1578"/>
      <c r="U80" s="1578"/>
      <c r="V80" s="1578"/>
      <c r="W80" s="1578"/>
      <c r="X80" s="1578"/>
      <c r="Y80" s="1578"/>
      <c r="Z80" s="1578"/>
      <c r="AA80" s="1578"/>
      <c r="AB80" s="1578"/>
      <c r="AC80" s="1578"/>
      <c r="AD80" s="1578"/>
      <c r="AE80" s="1578"/>
      <c r="AF80" s="1578"/>
      <c r="AG80" s="1578"/>
      <c r="AH80" s="1578"/>
      <c r="AI80" s="1578"/>
      <c r="AJ80" s="1578"/>
      <c r="AK80" s="1578"/>
      <c r="AL80" s="1578"/>
      <c r="AM80" s="1578"/>
      <c r="AN80" s="1578"/>
      <c r="AO80" s="1578"/>
      <c r="AP80" s="1578"/>
      <c r="AQ80" s="1578"/>
      <c r="AR80" s="1578"/>
      <c r="AS80" s="250"/>
      <c r="AT80" s="250"/>
      <c r="AU80" s="250"/>
      <c r="AV80" s="250"/>
      <c r="AW80" s="250"/>
      <c r="AX80" s="250"/>
      <c r="AY80" s="250"/>
      <c r="AZ80" s="250"/>
      <c r="BA80" s="250"/>
      <c r="BB80" s="250"/>
    </row>
    <row r="81" spans="1:54" x14ac:dyDescent="0.25">
      <c r="A81" s="13">
        <v>6</v>
      </c>
      <c r="B81" s="13"/>
      <c r="C81" s="41" t="s">
        <v>215</v>
      </c>
      <c r="D81" s="705">
        <v>1963</v>
      </c>
      <c r="E81" s="705">
        <v>2</v>
      </c>
      <c r="F81" s="705">
        <v>12</v>
      </c>
      <c r="G81" s="708">
        <v>39</v>
      </c>
      <c r="H81" s="707">
        <v>515.1</v>
      </c>
      <c r="I81" s="707">
        <v>49.6</v>
      </c>
      <c r="J81" s="707"/>
      <c r="K81" s="707"/>
      <c r="L81" s="707"/>
      <c r="M81" s="707"/>
      <c r="N81" s="707"/>
      <c r="O81" s="707"/>
      <c r="P81" s="707"/>
      <c r="Q81" s="707"/>
      <c r="R81" s="715"/>
      <c r="S81" s="715"/>
      <c r="T81" s="1578"/>
      <c r="U81" s="1578"/>
      <c r="V81" s="1578"/>
      <c r="W81" s="1578"/>
      <c r="X81" s="1578"/>
      <c r="Y81" s="1578"/>
      <c r="Z81" s="1578"/>
      <c r="AA81" s="1578"/>
      <c r="AB81" s="1578"/>
      <c r="AC81" s="1578"/>
      <c r="AD81" s="1578"/>
      <c r="AE81" s="1578"/>
      <c r="AF81" s="1578"/>
      <c r="AG81" s="1578"/>
      <c r="AH81" s="1578"/>
      <c r="AI81" s="1578"/>
      <c r="AJ81" s="1578"/>
      <c r="AK81" s="1578"/>
      <c r="AL81" s="1578"/>
      <c r="AM81" s="1578"/>
      <c r="AN81" s="1578"/>
      <c r="AO81" s="1578"/>
      <c r="AP81" s="1578"/>
      <c r="AQ81" s="1578"/>
      <c r="AR81" s="1578"/>
      <c r="AS81" s="250"/>
      <c r="AT81" s="250"/>
      <c r="AU81" s="250"/>
      <c r="AV81" s="250"/>
      <c r="AW81" s="250"/>
      <c r="AX81" s="250"/>
      <c r="AY81" s="250"/>
      <c r="AZ81" s="250"/>
      <c r="BA81" s="250"/>
      <c r="BB81" s="250"/>
    </row>
    <row r="82" spans="1:54" x14ac:dyDescent="0.25">
      <c r="A82" s="13">
        <v>7</v>
      </c>
      <c r="B82" s="13"/>
      <c r="C82" s="41" t="s">
        <v>216</v>
      </c>
      <c r="D82" s="705">
        <v>1963</v>
      </c>
      <c r="E82" s="705">
        <v>2</v>
      </c>
      <c r="F82" s="705">
        <v>16</v>
      </c>
      <c r="G82" s="349">
        <v>43</v>
      </c>
      <c r="H82" s="707">
        <v>624.4</v>
      </c>
      <c r="I82" s="707">
        <v>76</v>
      </c>
      <c r="J82" s="707"/>
      <c r="K82" s="707"/>
      <c r="L82" s="707"/>
      <c r="M82" s="707"/>
      <c r="N82" s="707"/>
      <c r="O82" s="707"/>
      <c r="P82" s="707"/>
      <c r="Q82" s="707"/>
      <c r="R82" s="715"/>
      <c r="S82" s="715"/>
      <c r="T82" s="1578"/>
      <c r="U82" s="1578"/>
      <c r="V82" s="1578"/>
      <c r="W82" s="1578"/>
      <c r="X82" s="1578"/>
      <c r="Y82" s="1578"/>
      <c r="Z82" s="1578"/>
      <c r="AA82" s="1578"/>
      <c r="AB82" s="1578"/>
      <c r="AC82" s="1578"/>
      <c r="AD82" s="1578"/>
      <c r="AE82" s="1578"/>
      <c r="AF82" s="1578"/>
      <c r="AG82" s="1578"/>
      <c r="AH82" s="1578"/>
      <c r="AI82" s="1578"/>
      <c r="AJ82" s="1578"/>
      <c r="AK82" s="1578"/>
      <c r="AL82" s="1578"/>
      <c r="AM82" s="1578"/>
      <c r="AN82" s="1578"/>
      <c r="AO82" s="1578"/>
      <c r="AP82" s="1578"/>
      <c r="AQ82" s="1578"/>
      <c r="AR82" s="1578"/>
      <c r="AS82" s="250"/>
      <c r="AT82" s="250"/>
      <c r="AU82" s="250"/>
      <c r="AV82" s="250"/>
      <c r="AW82" s="250"/>
      <c r="AX82" s="250"/>
      <c r="AY82" s="250"/>
      <c r="AZ82" s="250"/>
      <c r="BA82" s="250"/>
      <c r="BB82" s="250"/>
    </row>
    <row r="83" spans="1:54" x14ac:dyDescent="0.25">
      <c r="A83" s="13">
        <v>8</v>
      </c>
      <c r="B83" s="13"/>
      <c r="C83" s="41" t="s">
        <v>217</v>
      </c>
      <c r="D83" s="705">
        <v>1963</v>
      </c>
      <c r="E83" s="705">
        <v>2</v>
      </c>
      <c r="F83" s="705">
        <v>16</v>
      </c>
      <c r="G83" s="708">
        <v>27</v>
      </c>
      <c r="H83" s="707">
        <v>630.29999999999995</v>
      </c>
      <c r="I83" s="707">
        <v>76</v>
      </c>
      <c r="J83" s="707"/>
      <c r="K83" s="707"/>
      <c r="L83" s="707"/>
      <c r="M83" s="707"/>
      <c r="N83" s="707"/>
      <c r="O83" s="707"/>
      <c r="P83" s="707"/>
      <c r="Q83" s="707"/>
      <c r="R83" s="715"/>
      <c r="S83" s="715"/>
      <c r="T83" s="1578"/>
      <c r="U83" s="1578"/>
      <c r="V83" s="1578"/>
      <c r="W83" s="1578"/>
      <c r="X83" s="1578"/>
      <c r="Y83" s="1578"/>
      <c r="Z83" s="1578"/>
      <c r="AA83" s="1578"/>
      <c r="AB83" s="1578"/>
      <c r="AC83" s="1578"/>
      <c r="AD83" s="1578"/>
      <c r="AE83" s="1578"/>
      <c r="AF83" s="1578"/>
      <c r="AG83" s="1578"/>
      <c r="AH83" s="1578"/>
      <c r="AI83" s="1578"/>
      <c r="AJ83" s="1578"/>
      <c r="AK83" s="1578"/>
      <c r="AL83" s="1578"/>
      <c r="AM83" s="1578"/>
      <c r="AN83" s="1578"/>
      <c r="AO83" s="1578"/>
      <c r="AP83" s="1578"/>
      <c r="AQ83" s="1578"/>
      <c r="AR83" s="1578"/>
      <c r="AS83" s="250"/>
      <c r="AT83" s="250"/>
      <c r="AU83" s="250"/>
      <c r="AV83" s="250"/>
      <c r="AW83" s="250"/>
      <c r="AX83" s="250"/>
      <c r="AY83" s="250"/>
      <c r="AZ83" s="250"/>
      <c r="BA83" s="250"/>
      <c r="BB83" s="250"/>
    </row>
    <row r="84" spans="1:54" x14ac:dyDescent="0.25">
      <c r="A84" s="13">
        <v>9</v>
      </c>
      <c r="B84" s="13"/>
      <c r="C84" s="41" t="s">
        <v>218</v>
      </c>
      <c r="D84" s="705">
        <v>1963</v>
      </c>
      <c r="E84" s="705">
        <v>2</v>
      </c>
      <c r="F84" s="705">
        <v>8</v>
      </c>
      <c r="G84" s="349">
        <v>18</v>
      </c>
      <c r="H84" s="707">
        <v>313</v>
      </c>
      <c r="I84" s="707">
        <v>73.5</v>
      </c>
      <c r="J84" s="707"/>
      <c r="K84" s="707"/>
      <c r="L84" s="707"/>
      <c r="M84" s="707"/>
      <c r="N84" s="707"/>
      <c r="O84" s="707"/>
      <c r="P84" s="707"/>
      <c r="Q84" s="707"/>
      <c r="R84" s="715"/>
      <c r="S84" s="715"/>
      <c r="T84" s="1578"/>
      <c r="U84" s="1578"/>
      <c r="V84" s="1578"/>
      <c r="W84" s="1578"/>
      <c r="X84" s="1578"/>
      <c r="Y84" s="1578"/>
      <c r="Z84" s="1578"/>
      <c r="AA84" s="1578"/>
      <c r="AB84" s="1578"/>
      <c r="AC84" s="1578"/>
      <c r="AD84" s="1578"/>
      <c r="AE84" s="1578"/>
      <c r="AF84" s="1578"/>
      <c r="AG84" s="1578"/>
      <c r="AH84" s="1578"/>
      <c r="AI84" s="1578"/>
      <c r="AJ84" s="1578"/>
      <c r="AK84" s="1578"/>
      <c r="AL84" s="1578"/>
      <c r="AM84" s="1578"/>
      <c r="AN84" s="1578"/>
      <c r="AO84" s="1578"/>
      <c r="AP84" s="1578"/>
      <c r="AQ84" s="1578"/>
      <c r="AR84" s="1578"/>
      <c r="AS84" s="250"/>
      <c r="AT84" s="250"/>
      <c r="AU84" s="250"/>
      <c r="AV84" s="250"/>
      <c r="AW84" s="250"/>
      <c r="AX84" s="250"/>
      <c r="AY84" s="250"/>
      <c r="AZ84" s="250"/>
      <c r="BA84" s="250"/>
      <c r="BB84" s="250"/>
    </row>
    <row r="85" spans="1:54" x14ac:dyDescent="0.25">
      <c r="A85" s="13">
        <v>10</v>
      </c>
      <c r="B85" s="13"/>
      <c r="C85" s="41" t="s">
        <v>219</v>
      </c>
      <c r="D85" s="705">
        <v>1977</v>
      </c>
      <c r="E85" s="705">
        <v>5</v>
      </c>
      <c r="F85" s="705">
        <v>90</v>
      </c>
      <c r="G85" s="708">
        <v>231</v>
      </c>
      <c r="H85" s="707">
        <v>4847.7</v>
      </c>
      <c r="I85" s="707">
        <v>585</v>
      </c>
      <c r="J85" s="707"/>
      <c r="K85" s="707"/>
      <c r="L85" s="707"/>
      <c r="M85" s="707"/>
      <c r="N85" s="707"/>
      <c r="O85" s="707"/>
      <c r="P85" s="707"/>
      <c r="Q85" s="707"/>
      <c r="R85" s="715"/>
      <c r="S85" s="715"/>
      <c r="T85" s="1578"/>
      <c r="U85" s="1578"/>
      <c r="V85" s="1578"/>
      <c r="W85" s="1578"/>
      <c r="X85" s="1578"/>
      <c r="Y85" s="1578"/>
      <c r="Z85" s="1578"/>
      <c r="AA85" s="1578"/>
      <c r="AB85" s="1578"/>
      <c r="AC85" s="1578"/>
      <c r="AD85" s="1578"/>
      <c r="AE85" s="1578"/>
      <c r="AF85" s="1578"/>
      <c r="AG85" s="1578"/>
      <c r="AH85" s="1578"/>
      <c r="AI85" s="1578"/>
      <c r="AJ85" s="1578"/>
      <c r="AK85" s="1578"/>
      <c r="AL85" s="1578"/>
      <c r="AM85" s="1578"/>
      <c r="AN85" s="1578"/>
      <c r="AO85" s="1578"/>
      <c r="AP85" s="1578"/>
      <c r="AQ85" s="1578"/>
      <c r="AR85" s="1578"/>
      <c r="AS85" s="250"/>
      <c r="AT85" s="250"/>
      <c r="AU85" s="250"/>
      <c r="AV85" s="250"/>
      <c r="AW85" s="250"/>
      <c r="AX85" s="250"/>
      <c r="AY85" s="250"/>
      <c r="AZ85" s="250"/>
      <c r="BA85" s="250"/>
      <c r="BB85" s="250"/>
    </row>
    <row r="86" spans="1:54" x14ac:dyDescent="0.25">
      <c r="A86" s="13">
        <v>11</v>
      </c>
      <c r="B86" s="13"/>
      <c r="C86" s="41" t="s">
        <v>220</v>
      </c>
      <c r="D86" s="705">
        <v>1983</v>
      </c>
      <c r="E86" s="705">
        <v>4</v>
      </c>
      <c r="F86" s="705">
        <v>48</v>
      </c>
      <c r="G86" s="349">
        <v>143</v>
      </c>
      <c r="H86" s="707">
        <v>2618.7199999999998</v>
      </c>
      <c r="I86" s="707">
        <v>317.89999999999998</v>
      </c>
      <c r="J86" s="707"/>
      <c r="K86" s="707"/>
      <c r="L86" s="707"/>
      <c r="M86" s="707"/>
      <c r="N86" s="707"/>
      <c r="O86" s="707"/>
      <c r="P86" s="707"/>
      <c r="Q86" s="707"/>
      <c r="R86" s="715"/>
      <c r="S86" s="715"/>
      <c r="T86" s="1578"/>
      <c r="U86" s="1578"/>
      <c r="V86" s="1578"/>
      <c r="W86" s="1578"/>
      <c r="X86" s="1578"/>
      <c r="Y86" s="1578"/>
      <c r="Z86" s="1578"/>
      <c r="AA86" s="1578"/>
      <c r="AB86" s="1578"/>
      <c r="AC86" s="1578"/>
      <c r="AD86" s="1578"/>
      <c r="AE86" s="1578"/>
      <c r="AF86" s="1578"/>
      <c r="AG86" s="1578"/>
      <c r="AH86" s="1578"/>
      <c r="AI86" s="1578"/>
      <c r="AJ86" s="1578"/>
      <c r="AK86" s="1578"/>
      <c r="AL86" s="1578"/>
      <c r="AM86" s="1578"/>
      <c r="AN86" s="1578"/>
      <c r="AO86" s="1578"/>
      <c r="AP86" s="1578"/>
      <c r="AQ86" s="1578"/>
      <c r="AR86" s="1578"/>
      <c r="AS86" s="250"/>
      <c r="AT86" s="250"/>
      <c r="AU86" s="250"/>
      <c r="AV86" s="250"/>
      <c r="AW86" s="250"/>
      <c r="AX86" s="250"/>
      <c r="AY86" s="250"/>
      <c r="AZ86" s="250"/>
      <c r="BA86" s="250"/>
      <c r="BB86" s="250"/>
    </row>
    <row r="87" spans="1:54" x14ac:dyDescent="0.25">
      <c r="A87" s="13">
        <v>12</v>
      </c>
      <c r="B87" s="13"/>
      <c r="C87" s="41" t="s">
        <v>221</v>
      </c>
      <c r="D87" s="705">
        <v>1983</v>
      </c>
      <c r="E87" s="705">
        <v>4</v>
      </c>
      <c r="F87" s="705">
        <v>48</v>
      </c>
      <c r="G87" s="708">
        <v>137</v>
      </c>
      <c r="H87" s="707">
        <v>2615</v>
      </c>
      <c r="I87" s="707">
        <v>317.89999999999998</v>
      </c>
      <c r="J87" s="707"/>
      <c r="K87" s="707"/>
      <c r="L87" s="707"/>
      <c r="M87" s="707"/>
      <c r="N87" s="707"/>
      <c r="O87" s="707"/>
      <c r="P87" s="707"/>
      <c r="Q87" s="707"/>
      <c r="R87" s="715"/>
      <c r="S87" s="715"/>
      <c r="T87" s="1578"/>
      <c r="U87" s="1578"/>
      <c r="V87" s="1578"/>
      <c r="W87" s="1578"/>
      <c r="X87" s="1578"/>
      <c r="Y87" s="1578"/>
      <c r="Z87" s="1578"/>
      <c r="AA87" s="1578"/>
      <c r="AB87" s="1578"/>
      <c r="AC87" s="1578"/>
      <c r="AD87" s="1578"/>
      <c r="AE87" s="1578"/>
      <c r="AF87" s="1578"/>
      <c r="AG87" s="1578"/>
      <c r="AH87" s="1578"/>
      <c r="AI87" s="1578"/>
      <c r="AJ87" s="1578"/>
      <c r="AK87" s="1578"/>
      <c r="AL87" s="1578"/>
      <c r="AM87" s="1578"/>
      <c r="AN87" s="1578"/>
      <c r="AO87" s="1578"/>
      <c r="AP87" s="1578"/>
      <c r="AQ87" s="1578"/>
      <c r="AR87" s="1578"/>
      <c r="AS87" s="250"/>
      <c r="AT87" s="250"/>
      <c r="AU87" s="250"/>
      <c r="AV87" s="250"/>
      <c r="AW87" s="250"/>
      <c r="AX87" s="250"/>
      <c r="AY87" s="250"/>
      <c r="AZ87" s="250"/>
      <c r="BA87" s="250"/>
      <c r="BB87" s="250"/>
    </row>
    <row r="88" spans="1:54" x14ac:dyDescent="0.25">
      <c r="A88" s="13">
        <v>13</v>
      </c>
      <c r="B88" s="13"/>
      <c r="C88" s="42" t="s">
        <v>222</v>
      </c>
      <c r="D88" s="705">
        <v>1975</v>
      </c>
      <c r="E88" s="705">
        <v>2</v>
      </c>
      <c r="F88" s="705">
        <v>12</v>
      </c>
      <c r="G88" s="349">
        <v>30</v>
      </c>
      <c r="H88" s="707">
        <v>504.74</v>
      </c>
      <c r="I88" s="707">
        <v>58.2</v>
      </c>
      <c r="J88" s="707"/>
      <c r="K88" s="707"/>
      <c r="L88" s="707"/>
      <c r="M88" s="707"/>
      <c r="N88" s="707"/>
      <c r="O88" s="707"/>
      <c r="P88" s="707"/>
      <c r="Q88" s="707"/>
      <c r="R88" s="715"/>
      <c r="S88" s="715"/>
      <c r="T88" s="1578"/>
      <c r="U88" s="1578"/>
      <c r="V88" s="1578"/>
      <c r="W88" s="1578"/>
      <c r="X88" s="1578"/>
      <c r="Y88" s="1578"/>
      <c r="Z88" s="1578"/>
      <c r="AA88" s="1578"/>
      <c r="AB88" s="1578"/>
      <c r="AC88" s="1578"/>
      <c r="AD88" s="1578"/>
      <c r="AE88" s="1578"/>
      <c r="AF88" s="1578"/>
      <c r="AG88" s="1578"/>
      <c r="AH88" s="1578"/>
      <c r="AI88" s="1578"/>
      <c r="AJ88" s="1578"/>
      <c r="AK88" s="1578"/>
      <c r="AL88" s="1578"/>
      <c r="AM88" s="1578"/>
      <c r="AN88" s="1578"/>
      <c r="AO88" s="1578"/>
      <c r="AP88" s="1578"/>
      <c r="AQ88" s="1578"/>
      <c r="AR88" s="1578"/>
      <c r="AS88" s="250"/>
      <c r="AT88" s="250"/>
      <c r="AU88" s="250"/>
      <c r="AV88" s="250"/>
      <c r="AW88" s="250"/>
      <c r="AX88" s="250"/>
      <c r="AY88" s="250"/>
      <c r="AZ88" s="250"/>
      <c r="BA88" s="250"/>
      <c r="BB88" s="250"/>
    </row>
    <row r="89" spans="1:54" x14ac:dyDescent="0.25">
      <c r="A89" s="13">
        <v>14</v>
      </c>
      <c r="B89" s="13"/>
      <c r="C89" s="42" t="s">
        <v>122</v>
      </c>
      <c r="D89" s="705">
        <v>1975</v>
      </c>
      <c r="E89" s="705">
        <v>2</v>
      </c>
      <c r="F89" s="705">
        <v>12</v>
      </c>
      <c r="G89" s="708">
        <v>31</v>
      </c>
      <c r="H89" s="707">
        <v>527.04</v>
      </c>
      <c r="I89" s="707">
        <v>52.8</v>
      </c>
      <c r="J89" s="707"/>
      <c r="K89" s="707"/>
      <c r="L89" s="707"/>
      <c r="M89" s="707"/>
      <c r="N89" s="707"/>
      <c r="O89" s="707"/>
      <c r="P89" s="707"/>
      <c r="Q89" s="707"/>
      <c r="R89" s="715"/>
      <c r="S89" s="715"/>
      <c r="T89" s="1578"/>
      <c r="U89" s="1578"/>
      <c r="V89" s="1578"/>
      <c r="W89" s="1578"/>
      <c r="X89" s="1578"/>
      <c r="Y89" s="1578"/>
      <c r="Z89" s="1578"/>
      <c r="AA89" s="1578"/>
      <c r="AB89" s="1578"/>
      <c r="AC89" s="1578"/>
      <c r="AD89" s="1578"/>
      <c r="AE89" s="1578"/>
      <c r="AF89" s="1578"/>
      <c r="AG89" s="1578"/>
      <c r="AH89" s="1578"/>
      <c r="AI89" s="1578"/>
      <c r="AJ89" s="1578"/>
      <c r="AK89" s="1578"/>
      <c r="AL89" s="1578"/>
      <c r="AM89" s="1578"/>
      <c r="AN89" s="1578"/>
      <c r="AO89" s="1578"/>
      <c r="AP89" s="1578"/>
      <c r="AQ89" s="1578"/>
      <c r="AR89" s="1578"/>
      <c r="AS89" s="250"/>
      <c r="AT89" s="250"/>
      <c r="AU89" s="250"/>
      <c r="AV89" s="250"/>
      <c r="AW89" s="250"/>
      <c r="AX89" s="250"/>
      <c r="AY89" s="250"/>
      <c r="AZ89" s="250"/>
      <c r="BA89" s="250"/>
      <c r="BB89" s="250"/>
    </row>
    <row r="90" spans="1:54" x14ac:dyDescent="0.25">
      <c r="A90" s="13">
        <v>15</v>
      </c>
      <c r="B90" s="13"/>
      <c r="C90" s="42" t="s">
        <v>223</v>
      </c>
      <c r="D90" s="705">
        <v>1975</v>
      </c>
      <c r="E90" s="705">
        <v>2</v>
      </c>
      <c r="F90" s="705">
        <v>12</v>
      </c>
      <c r="G90" s="349">
        <v>23</v>
      </c>
      <c r="H90" s="707">
        <v>529.83000000000004</v>
      </c>
      <c r="I90" s="707">
        <v>52.4</v>
      </c>
      <c r="J90" s="707"/>
      <c r="K90" s="707"/>
      <c r="L90" s="707"/>
      <c r="M90" s="707"/>
      <c r="N90" s="707"/>
      <c r="O90" s="707"/>
      <c r="P90" s="707"/>
      <c r="Q90" s="707"/>
      <c r="R90" s="715"/>
      <c r="S90" s="715"/>
      <c r="T90" s="1578"/>
      <c r="U90" s="1578"/>
      <c r="V90" s="1578"/>
      <c r="W90" s="1578"/>
      <c r="X90" s="1578"/>
      <c r="Y90" s="1578"/>
      <c r="Z90" s="1578"/>
      <c r="AA90" s="1578"/>
      <c r="AB90" s="1578"/>
      <c r="AC90" s="1578"/>
      <c r="AD90" s="1578"/>
      <c r="AE90" s="1578"/>
      <c r="AF90" s="1578"/>
      <c r="AG90" s="1578"/>
      <c r="AH90" s="1578"/>
      <c r="AI90" s="1578"/>
      <c r="AJ90" s="1578"/>
      <c r="AK90" s="1578"/>
      <c r="AL90" s="1578"/>
      <c r="AM90" s="1578"/>
      <c r="AN90" s="1578"/>
      <c r="AO90" s="1578"/>
      <c r="AP90" s="1578"/>
      <c r="AQ90" s="1578"/>
      <c r="AR90" s="1578"/>
      <c r="AS90" s="250"/>
      <c r="AT90" s="250"/>
      <c r="AU90" s="250"/>
      <c r="AV90" s="250"/>
      <c r="AW90" s="250"/>
      <c r="AX90" s="250"/>
      <c r="AY90" s="250"/>
      <c r="AZ90" s="250"/>
      <c r="BA90" s="250"/>
      <c r="BB90" s="250"/>
    </row>
    <row r="91" spans="1:54" x14ac:dyDescent="0.25">
      <c r="A91" s="13">
        <v>16</v>
      </c>
      <c r="B91" s="13"/>
      <c r="C91" s="42" t="s">
        <v>224</v>
      </c>
      <c r="D91" s="705">
        <v>1968</v>
      </c>
      <c r="E91" s="705">
        <v>2</v>
      </c>
      <c r="F91" s="705">
        <v>16</v>
      </c>
      <c r="G91" s="708">
        <v>35</v>
      </c>
      <c r="H91" s="707">
        <v>715.87</v>
      </c>
      <c r="I91" s="707">
        <v>76</v>
      </c>
      <c r="J91" s="707"/>
      <c r="K91" s="707"/>
      <c r="L91" s="707"/>
      <c r="M91" s="707"/>
      <c r="N91" s="707"/>
      <c r="O91" s="707"/>
      <c r="P91" s="707"/>
      <c r="Q91" s="707"/>
      <c r="R91" s="715"/>
      <c r="S91" s="715"/>
      <c r="T91" s="1578"/>
      <c r="U91" s="1578"/>
      <c r="V91" s="1578"/>
      <c r="W91" s="1578"/>
      <c r="X91" s="1578"/>
      <c r="Y91" s="1578"/>
      <c r="Z91" s="1578"/>
      <c r="AA91" s="1578"/>
      <c r="AB91" s="1578"/>
      <c r="AC91" s="1578"/>
      <c r="AD91" s="1578"/>
      <c r="AE91" s="1578"/>
      <c r="AF91" s="1578"/>
      <c r="AG91" s="1578"/>
      <c r="AH91" s="1578"/>
      <c r="AI91" s="1578"/>
      <c r="AJ91" s="1578"/>
      <c r="AK91" s="1578"/>
      <c r="AL91" s="1578"/>
      <c r="AM91" s="1578"/>
      <c r="AN91" s="1578"/>
      <c r="AO91" s="1578"/>
      <c r="AP91" s="1578"/>
      <c r="AQ91" s="1578"/>
      <c r="AR91" s="1578"/>
      <c r="AS91" s="250"/>
      <c r="AT91" s="250"/>
      <c r="AU91" s="250"/>
      <c r="AV91" s="250"/>
      <c r="AW91" s="250"/>
      <c r="AX91" s="250"/>
      <c r="AY91" s="250"/>
      <c r="AZ91" s="250"/>
      <c r="BA91" s="250"/>
      <c r="BB91" s="250"/>
    </row>
    <row r="92" spans="1:54" x14ac:dyDescent="0.25">
      <c r="A92" s="13">
        <v>17</v>
      </c>
      <c r="B92" s="13"/>
      <c r="C92" s="45" t="s">
        <v>227</v>
      </c>
      <c r="D92" s="690"/>
      <c r="E92" s="690">
        <v>2</v>
      </c>
      <c r="F92" s="690">
        <v>10</v>
      </c>
      <c r="G92" s="690">
        <v>30</v>
      </c>
      <c r="H92" s="706">
        <v>637.20000000000005</v>
      </c>
      <c r="I92" s="706">
        <v>111</v>
      </c>
      <c r="J92" s="706"/>
      <c r="K92" s="706"/>
      <c r="L92" s="706"/>
      <c r="M92" s="706"/>
      <c r="N92" s="706"/>
      <c r="O92" s="706"/>
      <c r="P92" s="706"/>
      <c r="Q92" s="706"/>
      <c r="R92" s="716"/>
      <c r="S92" s="716"/>
      <c r="T92" s="1578"/>
      <c r="U92" s="1578"/>
      <c r="V92" s="1578"/>
      <c r="W92" s="1578"/>
      <c r="X92" s="1578"/>
      <c r="Y92" s="1578"/>
      <c r="Z92" s="1578"/>
      <c r="AA92" s="1578"/>
      <c r="AB92" s="1578"/>
      <c r="AC92" s="1578"/>
      <c r="AD92" s="1578"/>
      <c r="AE92" s="1578"/>
      <c r="AF92" s="1578"/>
      <c r="AG92" s="1578"/>
      <c r="AH92" s="1578"/>
      <c r="AI92" s="1578"/>
      <c r="AJ92" s="1578"/>
      <c r="AK92" s="1578"/>
      <c r="AL92" s="1578"/>
      <c r="AM92" s="1578"/>
      <c r="AN92" s="1578"/>
      <c r="AO92" s="1578"/>
      <c r="AP92" s="1578"/>
      <c r="AQ92" s="1578"/>
      <c r="AR92" s="1578"/>
      <c r="AS92" s="250"/>
      <c r="AT92" s="250"/>
      <c r="AU92" s="250"/>
      <c r="AV92" s="250"/>
      <c r="AW92" s="250"/>
      <c r="AX92" s="250"/>
      <c r="AY92" s="250"/>
      <c r="AZ92" s="250"/>
      <c r="BA92" s="250"/>
      <c r="BB92" s="250"/>
    </row>
    <row r="93" spans="1:54" x14ac:dyDescent="0.25">
      <c r="A93" s="13">
        <v>18</v>
      </c>
      <c r="B93" s="13"/>
      <c r="C93" s="45" t="s">
        <v>330</v>
      </c>
      <c r="D93" s="690">
        <v>2013</v>
      </c>
      <c r="E93" s="690">
        <v>3</v>
      </c>
      <c r="F93" s="690">
        <v>28</v>
      </c>
      <c r="G93" s="690"/>
      <c r="H93" s="706">
        <v>1588.6</v>
      </c>
      <c r="I93" s="706">
        <v>124.9</v>
      </c>
      <c r="J93" s="706"/>
      <c r="K93" s="706"/>
      <c r="L93" s="706"/>
      <c r="M93" s="706"/>
      <c r="N93" s="706"/>
      <c r="O93" s="706"/>
      <c r="P93" s="706"/>
      <c r="Q93" s="706"/>
      <c r="R93" s="716"/>
      <c r="S93" s="716"/>
      <c r="T93" s="1578"/>
      <c r="U93" s="1578"/>
      <c r="V93" s="1578"/>
      <c r="W93" s="1578"/>
      <c r="X93" s="1578"/>
      <c r="Y93" s="1578"/>
      <c r="Z93" s="1578"/>
      <c r="AA93" s="1578"/>
      <c r="AB93" s="1578"/>
      <c r="AC93" s="1578"/>
      <c r="AD93" s="1578"/>
      <c r="AE93" s="1578"/>
      <c r="AF93" s="1578"/>
      <c r="AG93" s="1578"/>
      <c r="AH93" s="1578"/>
      <c r="AI93" s="1578"/>
      <c r="AJ93" s="1578"/>
      <c r="AK93" s="1578"/>
      <c r="AL93" s="1578"/>
      <c r="AM93" s="1578"/>
      <c r="AN93" s="1578"/>
      <c r="AO93" s="1578"/>
      <c r="AP93" s="1578"/>
      <c r="AQ93" s="1578"/>
      <c r="AR93" s="1578"/>
      <c r="AS93" s="250"/>
      <c r="AT93" s="250"/>
      <c r="AU93" s="250"/>
      <c r="AV93" s="250"/>
      <c r="AW93" s="250"/>
      <c r="AX93" s="250"/>
      <c r="AY93" s="250"/>
      <c r="AZ93" s="250"/>
      <c r="BA93" s="250"/>
      <c r="BB93" s="250"/>
    </row>
    <row r="94" spans="1:54" ht="15.75" thickBot="1" x14ac:dyDescent="0.3">
      <c r="A94" s="187">
        <v>19</v>
      </c>
      <c r="B94" s="580">
        <v>42648</v>
      </c>
      <c r="C94" s="188" t="s">
        <v>473</v>
      </c>
      <c r="D94" s="709"/>
      <c r="E94" s="709"/>
      <c r="F94" s="709"/>
      <c r="G94" s="709"/>
      <c r="H94" s="710">
        <v>1372.13</v>
      </c>
      <c r="I94" s="710">
        <v>152</v>
      </c>
      <c r="J94" s="710"/>
      <c r="K94" s="710"/>
      <c r="L94" s="710"/>
      <c r="M94" s="710"/>
      <c r="N94" s="710"/>
      <c r="O94" s="710"/>
      <c r="P94" s="710"/>
      <c r="Q94" s="710"/>
      <c r="R94" s="717"/>
      <c r="S94" s="717"/>
      <c r="T94" s="1578"/>
      <c r="U94" s="1578"/>
      <c r="V94" s="1578"/>
      <c r="W94" s="1578"/>
      <c r="X94" s="1578"/>
      <c r="Y94" s="1578"/>
      <c r="Z94" s="1578"/>
      <c r="AA94" s="1578"/>
      <c r="AB94" s="1578"/>
      <c r="AC94" s="1578"/>
      <c r="AD94" s="1578"/>
      <c r="AE94" s="1578"/>
      <c r="AF94" s="1578"/>
      <c r="AG94" s="1578"/>
      <c r="AH94" s="1578"/>
      <c r="AI94" s="1578"/>
      <c r="AJ94" s="1578"/>
      <c r="AK94" s="1578"/>
      <c r="AL94" s="1578"/>
      <c r="AM94" s="1578"/>
      <c r="AN94" s="1578"/>
      <c r="AO94" s="1578"/>
      <c r="AP94" s="1578"/>
      <c r="AQ94" s="1578"/>
      <c r="AR94" s="1578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</row>
    <row r="95" spans="1:54" ht="15.75" thickBot="1" x14ac:dyDescent="0.3">
      <c r="A95" s="195"/>
      <c r="B95" s="579"/>
      <c r="C95" s="196" t="s">
        <v>296</v>
      </c>
      <c r="D95" s="711"/>
      <c r="E95" s="711"/>
      <c r="F95" s="712"/>
      <c r="G95" s="712">
        <f t="shared" ref="G95:I95" si="41">SUM(G76:G94)</f>
        <v>1267</v>
      </c>
      <c r="H95" s="713">
        <f t="shared" si="41"/>
        <v>25682.680000000004</v>
      </c>
      <c r="I95" s="713">
        <f t="shared" si="41"/>
        <v>2889.8800000000006</v>
      </c>
      <c r="J95" s="713"/>
      <c r="K95" s="713"/>
      <c r="L95" s="713"/>
      <c r="M95" s="713"/>
      <c r="N95" s="713"/>
      <c r="O95" s="713"/>
      <c r="P95" s="713"/>
      <c r="Q95" s="713"/>
      <c r="R95" s="722"/>
      <c r="S95" s="722"/>
      <c r="T95" s="1578"/>
      <c r="U95" s="1578"/>
      <c r="V95" s="1578"/>
      <c r="W95" s="1578"/>
      <c r="X95" s="1578"/>
      <c r="Y95" s="1578"/>
      <c r="Z95" s="1578"/>
      <c r="AA95" s="1578"/>
      <c r="AB95" s="1578"/>
      <c r="AC95" s="1578"/>
      <c r="AD95" s="1578"/>
      <c r="AE95" s="1578"/>
      <c r="AF95" s="1578"/>
      <c r="AG95" s="1578"/>
      <c r="AH95" s="1578"/>
      <c r="AI95" s="1578"/>
      <c r="AJ95" s="1578"/>
      <c r="AK95" s="1578"/>
      <c r="AL95" s="1578"/>
      <c r="AM95" s="1578"/>
      <c r="AN95" s="1578"/>
      <c r="AO95" s="1578"/>
      <c r="AP95" s="1578"/>
      <c r="AQ95" s="1578"/>
      <c r="AR95" s="1578"/>
      <c r="AS95" s="250"/>
      <c r="AT95" s="250"/>
      <c r="AU95" s="250"/>
      <c r="AV95" s="250"/>
      <c r="AW95" s="250"/>
      <c r="AX95" s="250"/>
      <c r="AY95" s="250"/>
      <c r="AZ95" s="250"/>
      <c r="BA95" s="250"/>
      <c r="BB95" s="250"/>
    </row>
    <row r="96" spans="1:54" x14ac:dyDescent="0.25">
      <c r="A96" s="189"/>
      <c r="B96" s="189"/>
      <c r="C96" s="190"/>
      <c r="D96" s="191"/>
      <c r="E96" s="191"/>
      <c r="F96" s="409"/>
      <c r="G96" s="409"/>
      <c r="H96" s="410"/>
      <c r="I96" s="410"/>
      <c r="J96" s="410"/>
      <c r="K96" s="410"/>
      <c r="L96" s="410"/>
      <c r="M96" s="410"/>
      <c r="N96" s="410"/>
      <c r="O96" s="410"/>
      <c r="P96" s="410"/>
      <c r="Q96" s="410"/>
      <c r="R96" s="410"/>
      <c r="S96" s="410"/>
      <c r="T96" s="1578"/>
      <c r="U96" s="1578"/>
      <c r="V96" s="1578"/>
      <c r="W96" s="1578"/>
      <c r="X96" s="1578"/>
      <c r="Y96" s="1578"/>
      <c r="Z96" s="1578"/>
      <c r="AA96" s="1578"/>
      <c r="AB96" s="1578"/>
      <c r="AC96" s="1578"/>
      <c r="AD96" s="1578"/>
      <c r="AE96" s="1578"/>
      <c r="AF96" s="1578"/>
      <c r="AG96" s="1578"/>
      <c r="AH96" s="1578"/>
      <c r="AI96" s="1578"/>
      <c r="AJ96" s="1578"/>
      <c r="AK96" s="1578"/>
      <c r="AL96" s="1578"/>
      <c r="AM96" s="1578"/>
      <c r="AN96" s="1578"/>
      <c r="AO96" s="1578"/>
      <c r="AP96" s="1578"/>
      <c r="AQ96" s="1578"/>
      <c r="AR96" s="1578"/>
      <c r="AS96" s="250"/>
      <c r="AT96" s="250"/>
      <c r="AU96" s="250"/>
      <c r="AV96" s="250"/>
      <c r="AW96" s="250"/>
      <c r="AX96" s="250"/>
      <c r="AY96" s="250"/>
      <c r="AZ96" s="250"/>
      <c r="BA96" s="250"/>
      <c r="BB96" s="250"/>
    </row>
    <row r="97" spans="1:54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247"/>
      <c r="K97" s="247"/>
      <c r="L97" s="247"/>
      <c r="M97" s="247"/>
      <c r="N97" s="247"/>
      <c r="O97" s="247"/>
      <c r="P97" s="247"/>
      <c r="Q97" s="247"/>
      <c r="R97" s="247"/>
      <c r="S97" s="247"/>
      <c r="T97" s="1578"/>
      <c r="U97" s="1578"/>
      <c r="V97" s="1578"/>
      <c r="W97" s="1578"/>
      <c r="X97" s="1578"/>
      <c r="Y97" s="1578"/>
      <c r="Z97" s="1578"/>
      <c r="AA97" s="1578"/>
      <c r="AB97" s="1578"/>
      <c r="AC97" s="1578"/>
      <c r="AD97" s="1578"/>
      <c r="AE97" s="1578"/>
      <c r="AF97" s="1578"/>
      <c r="AG97" s="1578"/>
      <c r="AH97" s="1578"/>
      <c r="AI97" s="1578"/>
      <c r="AJ97" s="1578"/>
      <c r="AK97" s="1578"/>
      <c r="AL97" s="1578"/>
      <c r="AM97" s="1578"/>
      <c r="AN97" s="1578"/>
      <c r="AO97" s="1578"/>
      <c r="AP97" s="1578"/>
      <c r="AQ97" s="1578"/>
      <c r="AR97" s="1578"/>
      <c r="AS97" s="250"/>
      <c r="AT97" s="250"/>
      <c r="AU97" s="250"/>
      <c r="AV97" s="250"/>
      <c r="AW97" s="250"/>
      <c r="AX97" s="250"/>
      <c r="AY97" s="250"/>
      <c r="AZ97" s="250"/>
      <c r="BA97" s="250"/>
      <c r="BB97" s="250"/>
    </row>
    <row r="98" spans="1:54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247"/>
      <c r="K98" s="247"/>
      <c r="L98" s="247"/>
      <c r="M98" s="247"/>
      <c r="N98" s="247"/>
      <c r="O98" s="247"/>
      <c r="P98" s="247"/>
      <c r="Q98" s="247"/>
      <c r="R98" s="247"/>
      <c r="S98" s="247"/>
      <c r="T98" s="1578"/>
      <c r="U98" s="1578"/>
      <c r="V98" s="1578"/>
      <c r="W98" s="1578"/>
      <c r="X98" s="1578"/>
      <c r="Y98" s="1578"/>
      <c r="Z98" s="1578"/>
      <c r="AA98" s="1578"/>
      <c r="AB98" s="1578"/>
      <c r="AC98" s="1578"/>
      <c r="AD98" s="1578"/>
      <c r="AE98" s="1578"/>
      <c r="AF98" s="1578"/>
      <c r="AG98" s="1578"/>
      <c r="AH98" s="1578"/>
      <c r="AI98" s="1578"/>
      <c r="AJ98" s="1578"/>
      <c r="AK98" s="1578"/>
      <c r="AL98" s="1578"/>
      <c r="AM98" s="1578"/>
      <c r="AN98" s="1578"/>
      <c r="AO98" s="1578"/>
      <c r="AP98" s="1578"/>
      <c r="AQ98" s="1578"/>
      <c r="AR98" s="1578"/>
      <c r="AS98" s="250"/>
      <c r="AT98" s="250"/>
      <c r="AU98" s="250"/>
      <c r="AV98" s="250"/>
      <c r="AW98" s="250"/>
      <c r="AX98" s="250"/>
      <c r="AY98" s="250"/>
      <c r="AZ98" s="250"/>
      <c r="BA98" s="250"/>
      <c r="BB98" s="250"/>
    </row>
    <row r="99" spans="1:54" x14ac:dyDescent="0.25">
      <c r="A99" s="247"/>
      <c r="B99" s="247"/>
      <c r="C99" s="247"/>
      <c r="D99" s="247"/>
      <c r="E99" s="596"/>
      <c r="F99" s="247"/>
      <c r="G99" s="247"/>
      <c r="H99" s="247"/>
      <c r="I99" s="247"/>
      <c r="J99" s="247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  <c r="AH99" s="247"/>
      <c r="AI99" s="247"/>
      <c r="AJ99" s="247"/>
      <c r="AK99" s="247"/>
      <c r="AL99" s="247"/>
      <c r="AM99" s="247"/>
      <c r="AN99" s="247"/>
      <c r="AO99" s="247"/>
      <c r="AP99" s="250"/>
      <c r="AQ99" s="250"/>
      <c r="AR99" s="250"/>
      <c r="AS99" s="250"/>
      <c r="AT99" s="250"/>
      <c r="AU99" s="250"/>
      <c r="AV99" s="250"/>
      <c r="AW99" s="250"/>
      <c r="AX99" s="250"/>
      <c r="AY99" s="250"/>
      <c r="AZ99" s="250"/>
      <c r="BA99" s="250"/>
      <c r="BB99" s="250"/>
    </row>
    <row r="100" spans="1:54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  <c r="AI100" s="247"/>
      <c r="AJ100" s="247"/>
      <c r="AK100" s="247"/>
      <c r="AL100" s="247"/>
      <c r="AM100" s="247"/>
      <c r="AN100" s="247"/>
      <c r="AO100" s="247"/>
      <c r="AP100" s="250"/>
      <c r="AQ100" s="250"/>
      <c r="AR100" s="250"/>
      <c r="AS100" s="250"/>
      <c r="AT100" s="250"/>
      <c r="AU100" s="250"/>
      <c r="AV100" s="250"/>
      <c r="AW100" s="250"/>
      <c r="AX100" s="250"/>
      <c r="AY100" s="250"/>
      <c r="AZ100" s="250"/>
      <c r="BA100" s="250"/>
      <c r="BB100" s="250"/>
    </row>
    <row r="101" spans="1:54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I101" s="247"/>
      <c r="AJ101" s="247"/>
      <c r="AK101" s="247"/>
      <c r="AL101" s="247"/>
      <c r="AM101" s="247"/>
      <c r="AN101" s="247"/>
      <c r="AO101" s="247"/>
      <c r="AP101" s="250"/>
      <c r="AQ101" s="250"/>
      <c r="AR101" s="250"/>
      <c r="AS101" s="250"/>
      <c r="AT101" s="250"/>
      <c r="AU101" s="250"/>
      <c r="AV101" s="250"/>
      <c r="AW101" s="250"/>
      <c r="AX101" s="250"/>
      <c r="AY101" s="250"/>
      <c r="AZ101" s="250"/>
      <c r="BA101" s="250"/>
      <c r="BB101" s="250"/>
    </row>
    <row r="102" spans="1:54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247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  <c r="AI102" s="247"/>
      <c r="AJ102" s="247"/>
      <c r="AK102" s="247"/>
      <c r="AL102" s="247"/>
      <c r="AM102" s="247"/>
      <c r="AN102" s="247"/>
      <c r="AO102" s="247"/>
      <c r="AP102" s="250"/>
      <c r="AQ102" s="250"/>
      <c r="AR102" s="250"/>
      <c r="AS102" s="250"/>
      <c r="AT102" s="250"/>
      <c r="AU102" s="250"/>
      <c r="AV102" s="250"/>
      <c r="AW102" s="250"/>
      <c r="AX102" s="250"/>
      <c r="AY102" s="250"/>
      <c r="AZ102" s="250"/>
      <c r="BA102" s="250"/>
      <c r="BB102" s="250"/>
    </row>
    <row r="103" spans="1:54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  <c r="AI103" s="247"/>
      <c r="AJ103" s="247"/>
      <c r="AK103" s="247"/>
      <c r="AL103" s="247"/>
      <c r="AM103" s="247"/>
      <c r="AN103" s="247"/>
      <c r="AO103" s="247"/>
      <c r="AP103" s="250"/>
      <c r="AQ103" s="250"/>
      <c r="AR103" s="250"/>
      <c r="AS103" s="250"/>
      <c r="AT103" s="250"/>
      <c r="AU103" s="250"/>
      <c r="AV103" s="250"/>
      <c r="AW103" s="250"/>
      <c r="AX103" s="250"/>
      <c r="AY103" s="250"/>
      <c r="AZ103" s="250"/>
      <c r="BA103" s="250"/>
      <c r="BB103" s="250"/>
    </row>
    <row r="104" spans="1:54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  <c r="AI104" s="247"/>
      <c r="AJ104" s="247"/>
      <c r="AK104" s="247"/>
      <c r="AL104" s="247"/>
      <c r="AM104" s="247"/>
      <c r="AN104" s="247"/>
      <c r="AO104" s="247"/>
      <c r="AP104" s="250"/>
      <c r="AQ104" s="250"/>
      <c r="AR104" s="250"/>
      <c r="AS104" s="250"/>
      <c r="AT104" s="250"/>
      <c r="AU104" s="250"/>
      <c r="AV104" s="250"/>
      <c r="AW104" s="250"/>
      <c r="AX104" s="250"/>
      <c r="AY104" s="250"/>
      <c r="AZ104" s="250"/>
      <c r="BA104" s="250"/>
      <c r="BB104" s="250"/>
    </row>
    <row r="105" spans="1:54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247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  <c r="AI105" s="247"/>
      <c r="AJ105" s="247"/>
      <c r="AK105" s="247"/>
      <c r="AL105" s="247"/>
      <c r="AM105" s="247"/>
      <c r="AN105" s="247"/>
      <c r="AO105" s="247"/>
      <c r="AP105" s="250"/>
      <c r="AQ105" s="250"/>
      <c r="AR105" s="250"/>
      <c r="AS105" s="250"/>
      <c r="AT105" s="250"/>
      <c r="AU105" s="250"/>
      <c r="AV105" s="250"/>
      <c r="AW105" s="250"/>
      <c r="AX105" s="250"/>
      <c r="AY105" s="250"/>
      <c r="AZ105" s="250"/>
      <c r="BA105" s="250"/>
      <c r="BB105" s="250"/>
    </row>
    <row r="106" spans="1:54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  <c r="AI106" s="247"/>
      <c r="AJ106" s="247"/>
      <c r="AK106" s="247"/>
      <c r="AL106" s="247"/>
      <c r="AM106" s="247"/>
      <c r="AN106" s="247"/>
      <c r="AO106" s="247"/>
      <c r="AP106" s="250"/>
      <c r="AQ106" s="250"/>
      <c r="AR106" s="250"/>
      <c r="AS106" s="250"/>
      <c r="AT106" s="250"/>
      <c r="AU106" s="250"/>
      <c r="AV106" s="250"/>
      <c r="AW106" s="250"/>
      <c r="AX106" s="250"/>
      <c r="AY106" s="250"/>
      <c r="AZ106" s="250"/>
      <c r="BA106" s="250"/>
      <c r="BB106" s="250"/>
    </row>
    <row r="107" spans="1:54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I107" s="247"/>
      <c r="AJ107" s="247"/>
      <c r="AK107" s="247"/>
      <c r="AL107" s="247"/>
      <c r="AM107" s="247"/>
      <c r="AN107" s="247"/>
      <c r="AO107" s="247"/>
      <c r="AP107" s="250"/>
      <c r="AQ107" s="250"/>
      <c r="AR107" s="250"/>
      <c r="AS107" s="250"/>
      <c r="AT107" s="250"/>
      <c r="AU107" s="250"/>
      <c r="AV107" s="250"/>
      <c r="AW107" s="250"/>
      <c r="AX107" s="250"/>
      <c r="AY107" s="250"/>
      <c r="AZ107" s="250"/>
      <c r="BA107" s="250"/>
      <c r="BB107" s="250"/>
    </row>
    <row r="108" spans="1:54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247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  <c r="AI108" s="247"/>
      <c r="AJ108" s="247"/>
      <c r="AK108" s="247"/>
      <c r="AL108" s="247"/>
      <c r="AM108" s="247"/>
      <c r="AN108" s="247"/>
      <c r="AO108" s="247"/>
      <c r="AP108" s="250"/>
      <c r="AQ108" s="250"/>
      <c r="AR108" s="250"/>
      <c r="AS108" s="250"/>
      <c r="AT108" s="250"/>
      <c r="AU108" s="250"/>
      <c r="AV108" s="250"/>
      <c r="AW108" s="250"/>
      <c r="AX108" s="250"/>
      <c r="AY108" s="250"/>
      <c r="AZ108" s="250"/>
      <c r="BA108" s="250"/>
      <c r="BB108" s="250"/>
    </row>
    <row r="109" spans="1:54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47"/>
      <c r="AL109" s="247"/>
      <c r="AM109" s="247"/>
      <c r="AN109" s="247"/>
      <c r="AO109" s="247"/>
      <c r="AP109" s="250"/>
      <c r="AQ109" s="250"/>
      <c r="AR109" s="250"/>
      <c r="AS109" s="250"/>
      <c r="AT109" s="250"/>
      <c r="AU109" s="250"/>
      <c r="AV109" s="250"/>
      <c r="AW109" s="250"/>
      <c r="AX109" s="250"/>
      <c r="AY109" s="250"/>
      <c r="AZ109" s="250"/>
      <c r="BA109" s="250"/>
      <c r="BB109" s="250"/>
    </row>
    <row r="110" spans="1:54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  <c r="AI110" s="247"/>
      <c r="AJ110" s="247"/>
      <c r="AK110" s="247"/>
      <c r="AL110" s="247"/>
      <c r="AM110" s="247"/>
      <c r="AN110" s="247"/>
      <c r="AO110" s="247"/>
      <c r="AP110" s="250"/>
      <c r="AQ110" s="250"/>
      <c r="AR110" s="250"/>
      <c r="AS110" s="250"/>
      <c r="AT110" s="250"/>
      <c r="AU110" s="250"/>
      <c r="AV110" s="250"/>
      <c r="AW110" s="250"/>
      <c r="AX110" s="250"/>
      <c r="AY110" s="250"/>
      <c r="AZ110" s="250"/>
      <c r="BA110" s="250"/>
      <c r="BB110" s="250"/>
    </row>
    <row r="111" spans="1:54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  <c r="AI111" s="247"/>
      <c r="AJ111" s="247"/>
      <c r="AK111" s="247"/>
      <c r="AL111" s="247"/>
      <c r="AM111" s="247"/>
      <c r="AN111" s="247"/>
      <c r="AO111" s="247"/>
      <c r="AP111" s="250"/>
      <c r="AQ111" s="250"/>
      <c r="AR111" s="250"/>
      <c r="AS111" s="250"/>
      <c r="AT111" s="250"/>
      <c r="AU111" s="250"/>
      <c r="AV111" s="250"/>
      <c r="AW111" s="250"/>
      <c r="AX111" s="250"/>
      <c r="AY111" s="250"/>
      <c r="AZ111" s="250"/>
      <c r="BA111" s="250"/>
      <c r="BB111" s="250"/>
    </row>
    <row r="112" spans="1:54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247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  <c r="AI112" s="247"/>
      <c r="AJ112" s="247"/>
      <c r="AK112" s="247"/>
      <c r="AL112" s="247"/>
      <c r="AM112" s="247"/>
      <c r="AN112" s="247"/>
      <c r="AO112" s="247"/>
      <c r="AP112" s="250"/>
      <c r="AQ112" s="250"/>
      <c r="AR112" s="250"/>
      <c r="AS112" s="250"/>
      <c r="AT112" s="250"/>
      <c r="AU112" s="250"/>
      <c r="AV112" s="250"/>
      <c r="AW112" s="250"/>
      <c r="AX112" s="250"/>
      <c r="AY112" s="250"/>
      <c r="AZ112" s="250"/>
      <c r="BA112" s="250"/>
      <c r="BB112" s="250"/>
    </row>
    <row r="113" spans="1:54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247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  <c r="AI113" s="247"/>
      <c r="AJ113" s="247"/>
      <c r="AK113" s="247"/>
      <c r="AL113" s="247"/>
      <c r="AM113" s="247"/>
      <c r="AN113" s="247"/>
      <c r="AO113" s="247"/>
      <c r="AP113" s="250"/>
      <c r="AQ113" s="250"/>
      <c r="AR113" s="250"/>
      <c r="AS113" s="250"/>
      <c r="AT113" s="250"/>
      <c r="AU113" s="250"/>
      <c r="AV113" s="250"/>
      <c r="AW113" s="250"/>
      <c r="AX113" s="250"/>
      <c r="AY113" s="250"/>
      <c r="AZ113" s="250"/>
      <c r="BA113" s="250"/>
      <c r="BB113" s="250"/>
    </row>
    <row r="114" spans="1:54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247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I114" s="247"/>
      <c r="AJ114" s="247"/>
      <c r="AK114" s="247"/>
      <c r="AL114" s="247"/>
      <c r="AM114" s="247"/>
      <c r="AN114" s="247"/>
      <c r="AO114" s="247"/>
      <c r="AP114" s="250"/>
      <c r="AQ114" s="250"/>
      <c r="AR114" s="250"/>
      <c r="AS114" s="250"/>
      <c r="AT114" s="250"/>
      <c r="AU114" s="250"/>
      <c r="AV114" s="250"/>
      <c r="AW114" s="250"/>
      <c r="AX114" s="250"/>
      <c r="AY114" s="250"/>
      <c r="AZ114" s="250"/>
      <c r="BA114" s="250"/>
      <c r="BB114" s="250"/>
    </row>
    <row r="115" spans="1:54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  <c r="AJ115" s="247"/>
      <c r="AK115" s="247"/>
      <c r="AL115" s="247"/>
      <c r="AM115" s="247"/>
      <c r="AN115" s="247"/>
      <c r="AO115" s="247"/>
      <c r="AP115" s="250"/>
      <c r="AQ115" s="250"/>
      <c r="AR115" s="250"/>
      <c r="AS115" s="250"/>
      <c r="AT115" s="250"/>
      <c r="AU115" s="250"/>
      <c r="AV115" s="250"/>
      <c r="AW115" s="250"/>
      <c r="AX115" s="250"/>
      <c r="AY115" s="250"/>
      <c r="AZ115" s="250"/>
      <c r="BA115" s="250"/>
      <c r="BB115" s="250"/>
    </row>
    <row r="116" spans="1:54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  <c r="AJ116" s="247"/>
      <c r="AK116" s="247"/>
      <c r="AL116" s="247"/>
      <c r="AM116" s="247"/>
      <c r="AN116" s="247"/>
      <c r="AO116" s="247"/>
      <c r="AP116" s="247"/>
      <c r="AQ116" s="247"/>
      <c r="AR116" s="247"/>
      <c r="AS116" s="247"/>
      <c r="AT116" s="247"/>
      <c r="AU116" s="247"/>
      <c r="AV116" s="247"/>
      <c r="AW116" s="247"/>
      <c r="AX116" s="247"/>
      <c r="AY116" s="247"/>
    </row>
    <row r="117" spans="1:54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  <c r="AJ117" s="247"/>
      <c r="AK117" s="247"/>
      <c r="AL117" s="247"/>
      <c r="AM117" s="247"/>
      <c r="AN117" s="247"/>
      <c r="AO117" s="247"/>
      <c r="AP117" s="247"/>
      <c r="AQ117" s="247"/>
      <c r="AR117" s="247"/>
      <c r="AS117" s="247"/>
      <c r="AT117" s="247"/>
      <c r="AU117" s="247"/>
      <c r="AV117" s="247"/>
      <c r="AW117" s="247"/>
      <c r="AX117" s="247"/>
      <c r="AY117" s="247"/>
    </row>
  </sheetData>
  <mergeCells count="71">
    <mergeCell ref="BK7:BK8"/>
    <mergeCell ref="BF7:BF8"/>
    <mergeCell ref="BG7:BG8"/>
    <mergeCell ref="BH7:BH8"/>
    <mergeCell ref="BI7:BI8"/>
    <mergeCell ref="BJ7:BJ8"/>
    <mergeCell ref="BA7:BA8"/>
    <mergeCell ref="BB7:BB8"/>
    <mergeCell ref="BC7:BC8"/>
    <mergeCell ref="BD7:BD8"/>
    <mergeCell ref="BE7:BE8"/>
    <mergeCell ref="R7:S7"/>
    <mergeCell ref="T7:U7"/>
    <mergeCell ref="V7:W7"/>
    <mergeCell ref="X7:Y7"/>
    <mergeCell ref="L7:M7"/>
    <mergeCell ref="F7:F8"/>
    <mergeCell ref="J7:K7"/>
    <mergeCell ref="G7:G8"/>
    <mergeCell ref="H7:H8"/>
    <mergeCell ref="I7:I8"/>
    <mergeCell ref="A7:A8"/>
    <mergeCell ref="B7:B8"/>
    <mergeCell ref="C7:C8"/>
    <mergeCell ref="D7:D8"/>
    <mergeCell ref="E7:E8"/>
    <mergeCell ref="AP7:AP8"/>
    <mergeCell ref="AQ7:AQ8"/>
    <mergeCell ref="AE7:AE8"/>
    <mergeCell ref="AF7:AF8"/>
    <mergeCell ref="Z7:AA7"/>
    <mergeCell ref="AH7:AH8"/>
    <mergeCell ref="AK7:AK8"/>
    <mergeCell ref="AL7:AL8"/>
    <mergeCell ref="AM7:AM8"/>
    <mergeCell ref="AN7:AN8"/>
    <mergeCell ref="AY7:AY8"/>
    <mergeCell ref="AZ7:AZ8"/>
    <mergeCell ref="AU7:AU8"/>
    <mergeCell ref="AV7:AV8"/>
    <mergeCell ref="AW7:AW8"/>
    <mergeCell ref="AX7:AX8"/>
    <mergeCell ref="A44:A45"/>
    <mergeCell ref="B44:B45"/>
    <mergeCell ref="C44:C45"/>
    <mergeCell ref="D44:D45"/>
    <mergeCell ref="E44:E45"/>
    <mergeCell ref="F44:F45"/>
    <mergeCell ref="G44:G45"/>
    <mergeCell ref="H44:H45"/>
    <mergeCell ref="AS7:AS8"/>
    <mergeCell ref="AT7:AT8"/>
    <mergeCell ref="I44:I45"/>
    <mergeCell ref="AO7:AO8"/>
    <mergeCell ref="AI7:AI8"/>
    <mergeCell ref="AJ7:AJ8"/>
    <mergeCell ref="N7:O7"/>
    <mergeCell ref="P7:Q7"/>
    <mergeCell ref="AR7:AR8"/>
    <mergeCell ref="AB7:AB8"/>
    <mergeCell ref="AC7:AC8"/>
    <mergeCell ref="AD7:AD8"/>
    <mergeCell ref="AG7:AG8"/>
    <mergeCell ref="G74:G75"/>
    <mergeCell ref="H74:H75"/>
    <mergeCell ref="I74:I75"/>
    <mergeCell ref="A74:A75"/>
    <mergeCell ref="C74:C75"/>
    <mergeCell ref="D74:D75"/>
    <mergeCell ref="E74:E75"/>
    <mergeCell ref="F74:F75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96"/>
  <sheetViews>
    <sheetView topLeftCell="AT13" zoomScaleNormal="100" workbookViewId="0">
      <selection activeCell="X7" sqref="X7:BA8"/>
    </sheetView>
  </sheetViews>
  <sheetFormatPr defaultRowHeight="15" x14ac:dyDescent="0.25"/>
  <cols>
    <col min="1" max="1" width="3.5703125" customWidth="1"/>
    <col min="2" max="2" width="10.5703125" hidden="1" customWidth="1"/>
    <col min="3" max="3" width="21.7109375" customWidth="1"/>
    <col min="4" max="4" width="7.42578125" hidden="1" customWidth="1"/>
    <col min="5" max="5" width="8.42578125" hidden="1" customWidth="1"/>
    <col min="6" max="6" width="9.85546875" hidden="1" customWidth="1"/>
    <col min="7" max="7" width="10" hidden="1" customWidth="1"/>
    <col min="8" max="8" width="9.5703125" customWidth="1"/>
    <col min="9" max="9" width="9.7109375" hidden="1" customWidth="1"/>
    <col min="10" max="10" width="12.140625" hidden="1" customWidth="1"/>
    <col min="11" max="11" width="11.7109375" hidden="1" customWidth="1"/>
    <col min="12" max="12" width="11" customWidth="1"/>
    <col min="13" max="13" width="12" customWidth="1"/>
    <col min="14" max="17" width="11" customWidth="1"/>
    <col min="18" max="19" width="12.140625" customWidth="1"/>
    <col min="20" max="20" width="10.7109375" customWidth="1"/>
    <col min="21" max="21" width="11" customWidth="1"/>
    <col min="22" max="22" width="12.28515625" customWidth="1"/>
    <col min="23" max="24" width="12.42578125" customWidth="1"/>
    <col min="25" max="25" width="9.85546875" customWidth="1"/>
    <col min="26" max="26" width="11.5703125" customWidth="1"/>
    <col min="27" max="27" width="11.28515625" customWidth="1"/>
    <col min="28" max="28" width="11.7109375" customWidth="1"/>
    <col min="29" max="29" width="11.28515625" customWidth="1"/>
    <col min="30" max="30" width="11.85546875" customWidth="1"/>
    <col min="31" max="31" width="10.28515625" customWidth="1"/>
    <col min="32" max="33" width="10.7109375" customWidth="1"/>
    <col min="34" max="37" width="10.85546875" customWidth="1"/>
    <col min="38" max="38" width="11.42578125" customWidth="1"/>
    <col min="39" max="39" width="10.140625" hidden="1" customWidth="1"/>
    <col min="40" max="40" width="11" customWidth="1"/>
    <col min="41" max="41" width="10.7109375" customWidth="1"/>
    <col min="42" max="42" width="9.42578125" customWidth="1"/>
    <col min="43" max="43" width="10.42578125" customWidth="1"/>
    <col min="44" max="44" width="11.28515625" hidden="1" customWidth="1"/>
    <col min="45" max="45" width="13.140625" customWidth="1"/>
    <col min="46" max="46" width="11.28515625" style="34" customWidth="1"/>
    <col min="47" max="47" width="9.140625" customWidth="1"/>
    <col min="48" max="48" width="10.7109375" customWidth="1"/>
    <col min="49" max="49" width="12" customWidth="1"/>
    <col min="50" max="51" width="9.140625" customWidth="1"/>
    <col min="52" max="52" width="11.7109375" customWidth="1"/>
    <col min="53" max="53" width="11.85546875" customWidth="1"/>
    <col min="54" max="54" width="12" customWidth="1"/>
  </cols>
  <sheetData>
    <row r="2" spans="1:54" ht="15.75" x14ac:dyDescent="0.25">
      <c r="A2" s="10"/>
      <c r="B2" s="10"/>
      <c r="C2" s="11" t="s">
        <v>802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54" ht="15.75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54" ht="15.75" x14ac:dyDescent="0.2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54" ht="15.75" x14ac:dyDescent="0.2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54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AR6" s="403"/>
      <c r="AS6" s="403"/>
      <c r="AT6" s="403"/>
      <c r="AU6" s="403"/>
    </row>
    <row r="7" spans="1:54" ht="27" customHeight="1" x14ac:dyDescent="0.25">
      <c r="A7" s="2017" t="s">
        <v>0</v>
      </c>
      <c r="B7" s="2020"/>
      <c r="C7" s="2017" t="s">
        <v>184</v>
      </c>
      <c r="D7" s="2017" t="s">
        <v>54</v>
      </c>
      <c r="E7" s="2017" t="s">
        <v>55</v>
      </c>
      <c r="F7" s="2017" t="s">
        <v>56</v>
      </c>
      <c r="G7" s="2017" t="s">
        <v>57</v>
      </c>
      <c r="H7" s="2017" t="s">
        <v>6</v>
      </c>
      <c r="I7" s="2020" t="s">
        <v>282</v>
      </c>
      <c r="J7" s="1991" t="s">
        <v>804</v>
      </c>
      <c r="K7" s="1992"/>
      <c r="L7" s="1991" t="s">
        <v>656</v>
      </c>
      <c r="M7" s="1992"/>
      <c r="N7" s="1991" t="s">
        <v>657</v>
      </c>
      <c r="O7" s="1992"/>
      <c r="P7" s="2214" t="s">
        <v>658</v>
      </c>
      <c r="Q7" s="2215"/>
      <c r="R7" s="1991" t="s">
        <v>310</v>
      </c>
      <c r="S7" s="1992"/>
      <c r="T7" s="2097" t="s">
        <v>593</v>
      </c>
      <c r="U7" s="2060"/>
      <c r="V7" s="1989" t="s">
        <v>745</v>
      </c>
      <c r="W7" s="1990"/>
      <c r="X7" s="2041" t="s">
        <v>457</v>
      </c>
      <c r="Y7" s="2147" t="s">
        <v>370</v>
      </c>
      <c r="Z7" s="2041" t="s">
        <v>333</v>
      </c>
      <c r="AA7" s="2041" t="s">
        <v>331</v>
      </c>
      <c r="AB7" s="2041" t="s">
        <v>430</v>
      </c>
      <c r="AC7" s="2132" t="s">
        <v>578</v>
      </c>
      <c r="AD7" s="2132" t="s">
        <v>586</v>
      </c>
      <c r="AE7" s="2049" t="s">
        <v>602</v>
      </c>
      <c r="AF7" s="2049" t="s">
        <v>751</v>
      </c>
      <c r="AG7" s="2049" t="s">
        <v>857</v>
      </c>
      <c r="AH7" s="2071" t="s">
        <v>369</v>
      </c>
      <c r="AI7" s="2071" t="s">
        <v>316</v>
      </c>
      <c r="AJ7" s="2181" t="s">
        <v>503</v>
      </c>
      <c r="AK7" s="2132" t="s">
        <v>10</v>
      </c>
      <c r="AL7" s="2049" t="s">
        <v>858</v>
      </c>
      <c r="AM7" s="2183"/>
      <c r="AN7" s="2069" t="s">
        <v>688</v>
      </c>
      <c r="AO7" s="2071" t="s">
        <v>727</v>
      </c>
      <c r="AP7" s="2071" t="s">
        <v>690</v>
      </c>
      <c r="AQ7" s="2049" t="s">
        <v>859</v>
      </c>
      <c r="AR7" s="2049"/>
      <c r="AS7" s="2262" t="s">
        <v>692</v>
      </c>
      <c r="AT7" s="2041" t="s">
        <v>693</v>
      </c>
      <c r="AU7" s="2041" t="s">
        <v>656</v>
      </c>
      <c r="AV7" s="2041" t="s">
        <v>694</v>
      </c>
      <c r="AW7" s="2041" t="s">
        <v>735</v>
      </c>
      <c r="AX7" s="2134" t="s">
        <v>724</v>
      </c>
      <c r="AY7" s="2043" t="s">
        <v>182</v>
      </c>
      <c r="AZ7" s="2043" t="s">
        <v>846</v>
      </c>
      <c r="BA7" s="2045" t="s">
        <v>830</v>
      </c>
      <c r="BB7" s="1999"/>
    </row>
    <row r="8" spans="1:54" ht="38.25" customHeight="1" x14ac:dyDescent="0.25">
      <c r="A8" s="2017"/>
      <c r="B8" s="2021"/>
      <c r="C8" s="2017"/>
      <c r="D8" s="2017"/>
      <c r="E8" s="2017"/>
      <c r="F8" s="2017"/>
      <c r="G8" s="2017"/>
      <c r="H8" s="2017"/>
      <c r="I8" s="2021"/>
      <c r="J8" s="150" t="s">
        <v>15</v>
      </c>
      <c r="K8" s="1723" t="s">
        <v>16</v>
      </c>
      <c r="L8" s="150" t="s">
        <v>15</v>
      </c>
      <c r="M8" s="1671" t="s">
        <v>16</v>
      </c>
      <c r="N8" s="150" t="s">
        <v>15</v>
      </c>
      <c r="O8" s="1671" t="s">
        <v>16</v>
      </c>
      <c r="P8" s="150" t="s">
        <v>15</v>
      </c>
      <c r="Q8" s="1671" t="s">
        <v>16</v>
      </c>
      <c r="R8" s="150" t="s">
        <v>15</v>
      </c>
      <c r="S8" s="1671" t="s">
        <v>16</v>
      </c>
      <c r="T8" s="150" t="s">
        <v>15</v>
      </c>
      <c r="U8" s="1671" t="s">
        <v>16</v>
      </c>
      <c r="V8" s="150" t="s">
        <v>15</v>
      </c>
      <c r="W8" s="1671" t="s">
        <v>16</v>
      </c>
      <c r="X8" s="2042"/>
      <c r="Y8" s="2147"/>
      <c r="Z8" s="2042"/>
      <c r="AA8" s="2042"/>
      <c r="AB8" s="2042"/>
      <c r="AC8" s="2133"/>
      <c r="AD8" s="2133"/>
      <c r="AE8" s="2050"/>
      <c r="AF8" s="2050"/>
      <c r="AG8" s="2050"/>
      <c r="AH8" s="2182"/>
      <c r="AI8" s="2071"/>
      <c r="AJ8" s="2181"/>
      <c r="AK8" s="2133"/>
      <c r="AL8" s="2050"/>
      <c r="AM8" s="2068"/>
      <c r="AN8" s="2070"/>
      <c r="AO8" s="2071"/>
      <c r="AP8" s="2071"/>
      <c r="AQ8" s="2050"/>
      <c r="AR8" s="2050"/>
      <c r="AS8" s="2263"/>
      <c r="AT8" s="2042"/>
      <c r="AU8" s="2042"/>
      <c r="AV8" s="2042"/>
      <c r="AW8" s="2042"/>
      <c r="AX8" s="2135"/>
      <c r="AY8" s="2044"/>
      <c r="AZ8" s="2044"/>
      <c r="BA8" s="2046"/>
      <c r="BB8" s="2000"/>
    </row>
    <row r="9" spans="1:54" s="124" customFormat="1" x14ac:dyDescent="0.25">
      <c r="A9" s="112">
        <v>1</v>
      </c>
      <c r="B9" s="602">
        <v>42401</v>
      </c>
      <c r="C9" s="422" t="s">
        <v>210</v>
      </c>
      <c r="D9" s="671">
        <v>1975</v>
      </c>
      <c r="E9" s="671">
        <v>2</v>
      </c>
      <c r="F9" s="671">
        <v>18</v>
      </c>
      <c r="G9" s="672">
        <v>60</v>
      </c>
      <c r="H9" s="673">
        <v>783.27</v>
      </c>
      <c r="I9" s="674">
        <v>85.12</v>
      </c>
      <c r="J9" s="674">
        <v>9667.3799999999992</v>
      </c>
      <c r="K9" s="674">
        <v>12256.37</v>
      </c>
      <c r="L9" s="674">
        <v>750.84</v>
      </c>
      <c r="M9" s="674">
        <v>944.69</v>
      </c>
      <c r="N9" s="626">
        <v>0</v>
      </c>
      <c r="O9" s="626">
        <v>0</v>
      </c>
      <c r="P9" s="626">
        <v>8353.32</v>
      </c>
      <c r="Q9" s="626">
        <v>10481.57</v>
      </c>
      <c r="R9" s="626">
        <v>105590.34</v>
      </c>
      <c r="S9" s="626">
        <v>101268.97</v>
      </c>
      <c r="T9" s="626">
        <v>2780.07</v>
      </c>
      <c r="U9" s="626">
        <v>2593.0100000000002</v>
      </c>
      <c r="V9" s="620">
        <f>J9+L9+N9+P9+R9+T9</f>
        <v>127141.95000000001</v>
      </c>
      <c r="W9" s="620">
        <f>K9+M9+O9+Q9+S9+U9</f>
        <v>127544.61</v>
      </c>
      <c r="X9" s="524">
        <f>AN9+AS9+AT9+AU9+AV9</f>
        <v>124312.47303808287</v>
      </c>
      <c r="Y9" s="622">
        <v>8705.1299999999992</v>
      </c>
      <c r="Z9" s="623">
        <f>47264.8/27715.26*H9</f>
        <v>1335.7659244762635</v>
      </c>
      <c r="AA9" s="623">
        <f>25690/27715.26*H9</f>
        <v>726.03346676163244</v>
      </c>
      <c r="AB9" s="623">
        <v>3791.76</v>
      </c>
      <c r="AC9" s="623">
        <f>14128.22/27715.26*H9</f>
        <v>399.28223222152707</v>
      </c>
      <c r="AD9" s="623">
        <f>1000/27715.26*H9</f>
        <v>28.261326070908229</v>
      </c>
      <c r="AE9" s="623">
        <f>69600/27715.26*H9</f>
        <v>1966.9882945352126</v>
      </c>
      <c r="AF9" s="623">
        <f>21521.67/27715.26*H9</f>
        <v>608.23093346048347</v>
      </c>
      <c r="AG9" s="623">
        <f>3212.04/27715.26*H9</f>
        <v>90.77650979280007</v>
      </c>
      <c r="AH9" s="623">
        <f>359466.04/27715.26*H9</f>
        <v>10158.98696785814</v>
      </c>
      <c r="AI9" s="623">
        <f>1034391.81/27715.26*H9</f>
        <v>29233.284227486954</v>
      </c>
      <c r="AJ9" s="623">
        <f>99886.25/27715.26*H9</f>
        <v>2822.9178812502573</v>
      </c>
      <c r="AK9" s="623"/>
      <c r="AL9" s="623">
        <f>940583.05/27445.26*H9</f>
        <v>26843.632946946032</v>
      </c>
      <c r="AM9" s="623"/>
      <c r="AN9" s="623">
        <f>AM9+AL9+AK9+AJ9+AI9+AH9+AG9+AF9+AE9+AD9+AC9+AB9+AA9+Z9+Y9</f>
        <v>86711.050710860203</v>
      </c>
      <c r="AO9" s="524">
        <f>8072.33/25679.26*H9</f>
        <v>246.22259049131478</v>
      </c>
      <c r="AP9" s="525">
        <v>149</v>
      </c>
      <c r="AQ9" s="622">
        <f>661564.48/25679.26*H9</f>
        <v>20179.07097983353</v>
      </c>
      <c r="AR9" s="1095"/>
      <c r="AS9" s="1526">
        <f>AR9+AQ9+AP9+AO9</f>
        <v>20574.293570324844</v>
      </c>
      <c r="AT9" s="1526"/>
      <c r="AU9" s="1526">
        <f>44224.62/27715.26*H9</f>
        <v>1249.8464061820096</v>
      </c>
      <c r="AV9" s="525">
        <f>558264.05/27715.26*H9</f>
        <v>15777.282350715815</v>
      </c>
      <c r="AW9" s="525">
        <f>V9-W9</f>
        <v>-402.65999999998894</v>
      </c>
      <c r="AX9" s="525">
        <f>W9/V9*100</f>
        <v>100.31670113601372</v>
      </c>
      <c r="AY9" s="525">
        <f>X9/H9/12</f>
        <v>13.225800494304101</v>
      </c>
      <c r="AZ9" s="525">
        <f>V9-W9</f>
        <v>-402.65999999998894</v>
      </c>
      <c r="BA9" s="525">
        <v>13.6</v>
      </c>
      <c r="BB9" s="525"/>
    </row>
    <row r="10" spans="1:54" s="124" customFormat="1" x14ac:dyDescent="0.25">
      <c r="A10" s="13">
        <v>2</v>
      </c>
      <c r="B10" s="573"/>
      <c r="C10" s="422" t="s">
        <v>211</v>
      </c>
      <c r="D10" s="675">
        <v>1975</v>
      </c>
      <c r="E10" s="675">
        <v>2</v>
      </c>
      <c r="F10" s="675">
        <v>18</v>
      </c>
      <c r="G10" s="672">
        <v>52</v>
      </c>
      <c r="H10" s="676">
        <v>784.97</v>
      </c>
      <c r="I10" s="677">
        <v>85.12</v>
      </c>
      <c r="J10" s="677">
        <v>9702.24</v>
      </c>
      <c r="K10" s="677">
        <v>11539.37</v>
      </c>
      <c r="L10" s="677">
        <v>753.54</v>
      </c>
      <c r="M10" s="677">
        <v>896.24</v>
      </c>
      <c r="N10" s="678">
        <v>0</v>
      </c>
      <c r="O10" s="678">
        <v>0</v>
      </c>
      <c r="P10" s="678">
        <v>8383.5</v>
      </c>
      <c r="Q10" s="678">
        <v>9970.91</v>
      </c>
      <c r="R10" s="678">
        <v>106065.42</v>
      </c>
      <c r="S10" s="678">
        <v>103327.09</v>
      </c>
      <c r="T10" s="678">
        <v>2780.12</v>
      </c>
      <c r="U10" s="678">
        <v>2685.31</v>
      </c>
      <c r="V10" s="620">
        <f t="shared" ref="V10:V32" si="0">J10+L10+N10+P10+R10+T10</f>
        <v>127684.81999999999</v>
      </c>
      <c r="W10" s="620">
        <f t="shared" ref="W10:W32" si="1">K10+M10+O10+Q10+S10+U10</f>
        <v>128418.92</v>
      </c>
      <c r="X10" s="524">
        <f t="shared" ref="X10:X32" si="2">AN10+AS10+AT10+AU10+AV10</f>
        <v>119379.12287717382</v>
      </c>
      <c r="Y10" s="622">
        <v>3328.42</v>
      </c>
      <c r="Z10" s="623">
        <f t="shared" ref="Z10:Z32" si="3">47264.8/27715.26*H10</f>
        <v>1338.6650551356909</v>
      </c>
      <c r="AA10" s="623">
        <f t="shared" ref="AA10:AA32" si="4">25690/27715.26*H10</f>
        <v>727.60924126275575</v>
      </c>
      <c r="AB10" s="623">
        <v>3791.76</v>
      </c>
      <c r="AC10" s="623">
        <f t="shared" ref="AC10:AC32" si="5">14128.22/27715.26*H10</f>
        <v>400.14882968444107</v>
      </c>
      <c r="AD10" s="623">
        <f t="shared" ref="AD10:AD32" si="6">1000/27715.26*H10</f>
        <v>28.322664120776786</v>
      </c>
      <c r="AE10" s="623">
        <f t="shared" ref="AE10:AE32" si="7">69600/27715.26*H10</f>
        <v>1971.2574228060644</v>
      </c>
      <c r="AF10" s="623">
        <f t="shared" ref="AF10:AF32" si="8">21521.67/27715.26*H10</f>
        <v>609.55103072819816</v>
      </c>
      <c r="AG10" s="623">
        <f t="shared" ref="AG10:AG32" si="9">3212.04/27715.26*H10</f>
        <v>90.973530062499876</v>
      </c>
      <c r="AH10" s="623">
        <f t="shared" ref="AH10:AH32" si="10">359466.04/27715.26*H10</f>
        <v>10181.035913745713</v>
      </c>
      <c r="AI10" s="623">
        <f t="shared" ref="AI10:AI32" si="11">1034391.81/27715.26*H10</f>
        <v>29296.731803912364</v>
      </c>
      <c r="AJ10" s="623">
        <f t="shared" ref="AJ10:AJ32" si="12">99886.25/27715.26*H10</f>
        <v>2829.0447090339403</v>
      </c>
      <c r="AK10" s="623"/>
      <c r="AL10" s="623">
        <f t="shared" ref="AL10:AL24" si="13">940583.05/27445.26*H10</f>
        <v>26901.894052324522</v>
      </c>
      <c r="AM10" s="623"/>
      <c r="AN10" s="623">
        <f t="shared" ref="AN10:AN32" si="14">AM10+AL10+AK10+AJ10+AI10+AH10+AG10+AF10+AE10+AD10+AC10+AB10+AA10+Z10+Y10</f>
        <v>81495.414252816976</v>
      </c>
      <c r="AO10" s="524">
        <f t="shared" ref="AO10:AO24" si="15">8072.33/25679.26*H10</f>
        <v>246.75698910716275</v>
      </c>
      <c r="AP10" s="525">
        <v>350</v>
      </c>
      <c r="AQ10" s="622">
        <f t="shared" ref="AQ10:AQ24" si="16">661564.48/25679.26*H10</f>
        <v>20222.867398266149</v>
      </c>
      <c r="AR10" s="1095"/>
      <c r="AS10" s="1526">
        <f t="shared" ref="AS10:AS32" si="17">AR10+AQ10+AP10+AO10</f>
        <v>20819.624387373311</v>
      </c>
      <c r="AT10" s="1526"/>
      <c r="AU10" s="1526">
        <f t="shared" ref="AU10:AU32" si="18">44224.62/27715.26*H10</f>
        <v>1252.5590581289875</v>
      </c>
      <c r="AV10" s="525">
        <f t="shared" ref="AV10:AV32" si="19">558264.05/27715.26*H10</f>
        <v>15811.525178854539</v>
      </c>
      <c r="AW10" s="525">
        <f t="shared" ref="AW10:AW32" si="20">V10-W10</f>
        <v>-734.10000000000582</v>
      </c>
      <c r="AX10" s="525">
        <f t="shared" ref="AX10:AX33" si="21">W10/V10*100</f>
        <v>100.57493130350186</v>
      </c>
      <c r="AY10" s="525">
        <f t="shared" ref="AY10:AY33" si="22">X10/H10/12</f>
        <v>12.673427315393562</v>
      </c>
      <c r="AZ10" s="525">
        <f t="shared" ref="AZ10:AZ32" si="23">V10-W10</f>
        <v>-734.10000000000582</v>
      </c>
      <c r="BA10" s="525">
        <v>13.61</v>
      </c>
      <c r="BB10" s="525"/>
    </row>
    <row r="11" spans="1:54" s="124" customFormat="1" x14ac:dyDescent="0.25">
      <c r="A11" s="13">
        <v>3</v>
      </c>
      <c r="B11" s="573"/>
      <c r="C11" s="422" t="s">
        <v>212</v>
      </c>
      <c r="D11" s="675">
        <v>1975</v>
      </c>
      <c r="E11" s="675">
        <v>2</v>
      </c>
      <c r="F11" s="675">
        <v>18</v>
      </c>
      <c r="G11" s="679">
        <v>58</v>
      </c>
      <c r="H11" s="677">
        <v>788.23</v>
      </c>
      <c r="I11" s="677">
        <v>86.42</v>
      </c>
      <c r="J11" s="677">
        <v>9742.44</v>
      </c>
      <c r="K11" s="677">
        <v>12366.91</v>
      </c>
      <c r="L11" s="677">
        <v>756.72</v>
      </c>
      <c r="M11" s="677">
        <v>960.59</v>
      </c>
      <c r="N11" s="678">
        <v>0</v>
      </c>
      <c r="O11" s="678">
        <v>0</v>
      </c>
      <c r="P11" s="678">
        <v>8418.36</v>
      </c>
      <c r="Q11" s="678">
        <v>10598.18</v>
      </c>
      <c r="R11" s="678">
        <v>106505.7</v>
      </c>
      <c r="S11" s="678">
        <v>104774.17</v>
      </c>
      <c r="T11" s="678">
        <v>2822.39</v>
      </c>
      <c r="U11" s="678">
        <v>2705.01</v>
      </c>
      <c r="V11" s="620">
        <f t="shared" si="0"/>
        <v>128245.61</v>
      </c>
      <c r="W11" s="620">
        <f t="shared" si="1"/>
        <v>131404.86000000002</v>
      </c>
      <c r="X11" s="524">
        <f t="shared" si="2"/>
        <v>126429.07350978344</v>
      </c>
      <c r="Y11" s="622">
        <v>10216.99</v>
      </c>
      <c r="Z11" s="623">
        <f t="shared" si="3"/>
        <v>1344.2245645178868</v>
      </c>
      <c r="AA11" s="623">
        <f t="shared" si="4"/>
        <v>730.63102060020378</v>
      </c>
      <c r="AB11" s="623">
        <v>3838.38</v>
      </c>
      <c r="AC11" s="623">
        <f t="shared" si="5"/>
        <v>401.8106577603819</v>
      </c>
      <c r="AD11" s="623">
        <f t="shared" si="6"/>
        <v>28.440288851701194</v>
      </c>
      <c r="AE11" s="623">
        <f t="shared" si="7"/>
        <v>1979.4441040784029</v>
      </c>
      <c r="AF11" s="623">
        <f t="shared" si="8"/>
        <v>612.08251137099205</v>
      </c>
      <c r="AG11" s="623">
        <f t="shared" si="9"/>
        <v>91.351345403218303</v>
      </c>
      <c r="AH11" s="623">
        <f t="shared" si="10"/>
        <v>10223.318009977176</v>
      </c>
      <c r="AI11" s="623">
        <f t="shared" si="11"/>
        <v>29418.401862234023</v>
      </c>
      <c r="AJ11" s="623">
        <f t="shared" si="12"/>
        <v>2840.7938023132388</v>
      </c>
      <c r="AK11" s="623"/>
      <c r="AL11" s="623">
        <f t="shared" si="13"/>
        <v>27013.618289697388</v>
      </c>
      <c r="AM11" s="623"/>
      <c r="AN11" s="623">
        <f t="shared" si="14"/>
        <v>88739.486456804618</v>
      </c>
      <c r="AO11" s="524">
        <f t="shared" si="15"/>
        <v>247.78177704108296</v>
      </c>
      <c r="AP11" s="525"/>
      <c r="AQ11" s="622">
        <f t="shared" si="16"/>
        <v>20306.853471260467</v>
      </c>
      <c r="AR11" s="1095"/>
      <c r="AS11" s="1526">
        <f t="shared" si="17"/>
        <v>20554.635248301551</v>
      </c>
      <c r="AT11" s="1526"/>
      <c r="AU11" s="1526">
        <f t="shared" si="18"/>
        <v>1257.7609671567218</v>
      </c>
      <c r="AV11" s="525">
        <f t="shared" si="19"/>
        <v>15877.190837520558</v>
      </c>
      <c r="AW11" s="525">
        <f t="shared" si="20"/>
        <v>-3159.2500000000146</v>
      </c>
      <c r="AX11" s="525">
        <f t="shared" si="21"/>
        <v>102.46343715001241</v>
      </c>
      <c r="AY11" s="525">
        <f t="shared" si="22"/>
        <v>13.36634754553276</v>
      </c>
      <c r="AZ11" s="525">
        <f t="shared" si="23"/>
        <v>-3159.2500000000146</v>
      </c>
      <c r="BA11" s="525">
        <v>13.61</v>
      </c>
      <c r="BB11" s="525"/>
    </row>
    <row r="12" spans="1:54" s="124" customFormat="1" x14ac:dyDescent="0.25">
      <c r="A12" s="13">
        <v>4</v>
      </c>
      <c r="B12" s="573"/>
      <c r="C12" s="422" t="s">
        <v>213</v>
      </c>
      <c r="D12" s="675">
        <v>1975</v>
      </c>
      <c r="E12" s="675">
        <v>2</v>
      </c>
      <c r="F12" s="675">
        <v>18</v>
      </c>
      <c r="G12" s="680">
        <v>42</v>
      </c>
      <c r="H12" s="677">
        <v>789.57</v>
      </c>
      <c r="I12" s="677">
        <v>86.42</v>
      </c>
      <c r="J12" s="677">
        <v>8764.3799999999992</v>
      </c>
      <c r="K12" s="677">
        <v>10749.39</v>
      </c>
      <c r="L12" s="677">
        <v>758.04</v>
      </c>
      <c r="M12" s="677">
        <v>2162.7399999999998</v>
      </c>
      <c r="N12" s="678">
        <v>0</v>
      </c>
      <c r="O12" s="678">
        <v>0</v>
      </c>
      <c r="P12" s="678">
        <v>8432.64</v>
      </c>
      <c r="Q12" s="678">
        <v>10295.120000000001</v>
      </c>
      <c r="R12" s="678">
        <v>105739.2</v>
      </c>
      <c r="S12" s="678">
        <v>97189.2</v>
      </c>
      <c r="T12" s="678">
        <v>2822.51</v>
      </c>
      <c r="U12" s="678">
        <v>2440.4499999999998</v>
      </c>
      <c r="V12" s="620">
        <f t="shared" si="0"/>
        <v>126516.76999999999</v>
      </c>
      <c r="W12" s="620">
        <f t="shared" si="1"/>
        <v>122836.9</v>
      </c>
      <c r="X12" s="524">
        <f t="shared" si="2"/>
        <v>117705.84008883157</v>
      </c>
      <c r="Y12" s="622">
        <v>1302.72</v>
      </c>
      <c r="Z12" s="623">
        <f t="shared" si="3"/>
        <v>1346.5097616259061</v>
      </c>
      <c r="AA12" s="623">
        <f t="shared" si="4"/>
        <v>731.8731016775597</v>
      </c>
      <c r="AB12" s="623">
        <v>3838.38</v>
      </c>
      <c r="AC12" s="623">
        <f t="shared" si="5"/>
        <v>402.49374046644346</v>
      </c>
      <c r="AD12" s="623">
        <f t="shared" si="6"/>
        <v>28.488637667479939</v>
      </c>
      <c r="AE12" s="623">
        <f t="shared" si="7"/>
        <v>1982.8091816566036</v>
      </c>
      <c r="AF12" s="623">
        <f t="shared" si="8"/>
        <v>613.12305862907294</v>
      </c>
      <c r="AG12" s="623">
        <f t="shared" si="9"/>
        <v>91.506643733452265</v>
      </c>
      <c r="AH12" s="623">
        <f t="shared" si="10"/>
        <v>10240.697767323851</v>
      </c>
      <c r="AI12" s="623">
        <f t="shared" si="11"/>
        <v>29468.413481298758</v>
      </c>
      <c r="AJ12" s="623">
        <f t="shared" si="12"/>
        <v>2845.6231842133184</v>
      </c>
      <c r="AK12" s="623"/>
      <c r="AL12" s="623">
        <f t="shared" si="13"/>
        <v>27059.541749231019</v>
      </c>
      <c r="AM12" s="623"/>
      <c r="AN12" s="623">
        <f t="shared" si="14"/>
        <v>79952.180307523449</v>
      </c>
      <c r="AO12" s="524">
        <f t="shared" si="15"/>
        <v>248.20300889122194</v>
      </c>
      <c r="AP12" s="525"/>
      <c r="AQ12" s="622">
        <f t="shared" si="16"/>
        <v>20341.375354025</v>
      </c>
      <c r="AR12" s="1095"/>
      <c r="AS12" s="1526">
        <f t="shared" si="17"/>
        <v>20589.578362916222</v>
      </c>
      <c r="AT12" s="1526"/>
      <c r="AU12" s="1526">
        <f t="shared" si="18"/>
        <v>1259.8991751619867</v>
      </c>
      <c r="AV12" s="525">
        <f t="shared" si="19"/>
        <v>15904.182243229905</v>
      </c>
      <c r="AW12" s="525">
        <f t="shared" si="20"/>
        <v>3679.8699999999953</v>
      </c>
      <c r="AX12" s="525">
        <f t="shared" si="21"/>
        <v>97.091397448733474</v>
      </c>
      <c r="AY12" s="525">
        <f t="shared" si="22"/>
        <v>12.422989737961968</v>
      </c>
      <c r="AZ12" s="525">
        <f t="shared" si="23"/>
        <v>3679.8699999999953</v>
      </c>
      <c r="BA12" s="525">
        <v>13.4</v>
      </c>
      <c r="BB12" s="525"/>
    </row>
    <row r="13" spans="1:54" s="124" customFormat="1" x14ac:dyDescent="0.25">
      <c r="A13" s="13">
        <v>5</v>
      </c>
      <c r="B13" s="573"/>
      <c r="C13" s="422" t="s">
        <v>214</v>
      </c>
      <c r="D13" s="675">
        <v>1975</v>
      </c>
      <c r="E13" s="675">
        <v>5</v>
      </c>
      <c r="F13" s="675">
        <v>90</v>
      </c>
      <c r="G13" s="679">
        <v>268</v>
      </c>
      <c r="H13" s="677">
        <v>4496.09</v>
      </c>
      <c r="I13" s="677">
        <v>423.6</v>
      </c>
      <c r="J13" s="677">
        <v>49087.68</v>
      </c>
      <c r="K13" s="677">
        <v>57380.07</v>
      </c>
      <c r="L13" s="677">
        <v>4315.38</v>
      </c>
      <c r="M13" s="677">
        <v>5044.3900000000003</v>
      </c>
      <c r="N13" s="678">
        <v>0</v>
      </c>
      <c r="O13" s="678">
        <v>0</v>
      </c>
      <c r="P13" s="678">
        <v>48008.82</v>
      </c>
      <c r="Q13" s="678">
        <v>55793.33</v>
      </c>
      <c r="R13" s="678">
        <v>598761.82999999996</v>
      </c>
      <c r="S13" s="678">
        <v>540959.96</v>
      </c>
      <c r="T13" s="678">
        <v>10855.59</v>
      </c>
      <c r="U13" s="678">
        <v>9508.4599999999991</v>
      </c>
      <c r="V13" s="620">
        <f t="shared" si="0"/>
        <v>711029.29999999993</v>
      </c>
      <c r="W13" s="620">
        <f t="shared" si="1"/>
        <v>668686.21</v>
      </c>
      <c r="X13" s="524">
        <f t="shared" si="2"/>
        <v>672247.85290486575</v>
      </c>
      <c r="Y13" s="622">
        <v>20540.189999999999</v>
      </c>
      <c r="Z13" s="623">
        <f t="shared" si="3"/>
        <v>7667.5013920850843</v>
      </c>
      <c r="AA13" s="623">
        <f t="shared" si="4"/>
        <v>4167.5435157382617</v>
      </c>
      <c r="AB13" s="623">
        <v>6728.12</v>
      </c>
      <c r="AC13" s="623">
        <f t="shared" si="5"/>
        <v>2291.9412864898259</v>
      </c>
      <c r="AD13" s="623">
        <f t="shared" si="6"/>
        <v>162.22434860795099</v>
      </c>
      <c r="AE13" s="623">
        <f t="shared" si="7"/>
        <v>11290.81466311339</v>
      </c>
      <c r="AF13" s="623">
        <f t="shared" si="8"/>
        <v>3491.3388967052811</v>
      </c>
      <c r="AG13" s="623">
        <f t="shared" si="9"/>
        <v>521.07109670268301</v>
      </c>
      <c r="AH13" s="623">
        <f t="shared" si="10"/>
        <v>58314.144185679659</v>
      </c>
      <c r="AI13" s="623">
        <f t="shared" si="11"/>
        <v>167803.53758264944</v>
      </c>
      <c r="AJ13" s="623">
        <f t="shared" si="12"/>
        <v>16203.981841140947</v>
      </c>
      <c r="AK13" s="623">
        <v>3594.8</v>
      </c>
      <c r="AL13" s="623">
        <f t="shared" si="13"/>
        <v>154086.57251833289</v>
      </c>
      <c r="AM13" s="623"/>
      <c r="AN13" s="623">
        <f t="shared" si="14"/>
        <v>456863.78132724552</v>
      </c>
      <c r="AO13" s="524">
        <f t="shared" si="15"/>
        <v>1413.3554545458085</v>
      </c>
      <c r="AP13" s="525">
        <v>401.42</v>
      </c>
      <c r="AQ13" s="622">
        <f t="shared" si="16"/>
        <v>115830.96408865365</v>
      </c>
      <c r="AR13" s="1095"/>
      <c r="AS13" s="1526">
        <f t="shared" si="17"/>
        <v>117645.73954319945</v>
      </c>
      <c r="AT13" s="1526"/>
      <c r="AU13" s="1526">
        <f t="shared" si="18"/>
        <v>7174.310171934163</v>
      </c>
      <c r="AV13" s="525">
        <f t="shared" si="19"/>
        <v>90564.021862486596</v>
      </c>
      <c r="AW13" s="525">
        <f t="shared" si="20"/>
        <v>42343.089999999967</v>
      </c>
      <c r="AX13" s="525">
        <f t="shared" si="21"/>
        <v>94.044817843652865</v>
      </c>
      <c r="AY13" s="525">
        <f t="shared" si="22"/>
        <v>12.459860547439845</v>
      </c>
      <c r="AZ13" s="525">
        <f t="shared" si="23"/>
        <v>42343.089999999967</v>
      </c>
      <c r="BA13" s="525">
        <v>13.32</v>
      </c>
      <c r="BB13" s="525"/>
    </row>
    <row r="14" spans="1:54" s="124" customFormat="1" x14ac:dyDescent="0.25">
      <c r="A14" s="13">
        <v>6</v>
      </c>
      <c r="B14" s="573"/>
      <c r="C14" s="422" t="s">
        <v>215</v>
      </c>
      <c r="D14" s="675">
        <v>1963</v>
      </c>
      <c r="E14" s="675">
        <v>2</v>
      </c>
      <c r="F14" s="675">
        <v>12</v>
      </c>
      <c r="G14" s="680">
        <v>39</v>
      </c>
      <c r="H14" s="677">
        <v>515.1</v>
      </c>
      <c r="I14" s="677">
        <v>49.6</v>
      </c>
      <c r="J14" s="677">
        <v>6397.5</v>
      </c>
      <c r="K14" s="677">
        <v>6441.12</v>
      </c>
      <c r="L14" s="677">
        <v>494.58</v>
      </c>
      <c r="M14" s="677">
        <v>497.97</v>
      </c>
      <c r="N14" s="678">
        <v>0</v>
      </c>
      <c r="O14" s="678">
        <v>0</v>
      </c>
      <c r="P14" s="678">
        <v>5501.4</v>
      </c>
      <c r="Q14" s="678">
        <v>5587.22</v>
      </c>
      <c r="R14" s="678">
        <v>69754.8</v>
      </c>
      <c r="S14" s="678">
        <v>52436.67</v>
      </c>
      <c r="T14" s="678">
        <v>1619.84</v>
      </c>
      <c r="U14" s="678">
        <v>1241.6300000000001</v>
      </c>
      <c r="V14" s="620">
        <f t="shared" si="0"/>
        <v>83768.12</v>
      </c>
      <c r="W14" s="620">
        <f t="shared" si="1"/>
        <v>66204.61</v>
      </c>
      <c r="X14" s="524">
        <f t="shared" si="2"/>
        <v>78889.331244547211</v>
      </c>
      <c r="Y14" s="622">
        <v>3252.24</v>
      </c>
      <c r="Z14" s="623">
        <f t="shared" si="3"/>
        <v>878.43658980648229</v>
      </c>
      <c r="AA14" s="623">
        <f t="shared" si="4"/>
        <v>477.45967384033207</v>
      </c>
      <c r="AB14" s="623">
        <v>2202.06</v>
      </c>
      <c r="AC14" s="623">
        <f t="shared" si="5"/>
        <v>262.5790312629216</v>
      </c>
      <c r="AD14" s="623">
        <f t="shared" si="6"/>
        <v>18.58542911017252</v>
      </c>
      <c r="AE14" s="623">
        <f t="shared" si="7"/>
        <v>1293.5458660680074</v>
      </c>
      <c r="AF14" s="623">
        <f t="shared" si="8"/>
        <v>399.98947211752659</v>
      </c>
      <c r="AG14" s="623">
        <f t="shared" si="9"/>
        <v>59.697141719038541</v>
      </c>
      <c r="AH14" s="623">
        <f t="shared" si="10"/>
        <v>6680.8306039344398</v>
      </c>
      <c r="AI14" s="623">
        <f t="shared" si="11"/>
        <v>19224.615656898044</v>
      </c>
      <c r="AJ14" s="623">
        <f t="shared" si="12"/>
        <v>1856.42881845597</v>
      </c>
      <c r="AK14" s="623"/>
      <c r="AL14" s="623">
        <f t="shared" si="13"/>
        <v>17653.114929681851</v>
      </c>
      <c r="AM14" s="623"/>
      <c r="AN14" s="623">
        <f t="shared" si="14"/>
        <v>54259.583212894788</v>
      </c>
      <c r="AO14" s="524">
        <f t="shared" si="15"/>
        <v>161.92278060193323</v>
      </c>
      <c r="AP14" s="525"/>
      <c r="AQ14" s="622">
        <f t="shared" si="16"/>
        <v>13270.314785083372</v>
      </c>
      <c r="AR14" s="1095"/>
      <c r="AS14" s="1526">
        <f t="shared" si="17"/>
        <v>13432.237565685306</v>
      </c>
      <c r="AT14" s="1526"/>
      <c r="AU14" s="1526">
        <f t="shared" si="18"/>
        <v>821.93353993431788</v>
      </c>
      <c r="AV14" s="525">
        <f t="shared" si="19"/>
        <v>10375.576926032807</v>
      </c>
      <c r="AW14" s="525">
        <f t="shared" si="20"/>
        <v>17563.509999999995</v>
      </c>
      <c r="AX14" s="525">
        <f t="shared" si="21"/>
        <v>79.033181119499886</v>
      </c>
      <c r="AY14" s="525">
        <f t="shared" si="22"/>
        <v>12.762785744604157</v>
      </c>
      <c r="AZ14" s="525">
        <f t="shared" si="23"/>
        <v>17563.509999999995</v>
      </c>
      <c r="BA14" s="525">
        <v>13.64</v>
      </c>
      <c r="BB14" s="525"/>
    </row>
    <row r="15" spans="1:54" s="124" customFormat="1" x14ac:dyDescent="0.25">
      <c r="A15" s="13">
        <v>7</v>
      </c>
      <c r="B15" s="573"/>
      <c r="C15" s="422" t="s">
        <v>216</v>
      </c>
      <c r="D15" s="675">
        <v>1963</v>
      </c>
      <c r="E15" s="675">
        <v>2</v>
      </c>
      <c r="F15" s="675">
        <v>16</v>
      </c>
      <c r="G15" s="679">
        <v>43</v>
      </c>
      <c r="H15" s="677">
        <v>624.4</v>
      </c>
      <c r="I15" s="677">
        <v>76</v>
      </c>
      <c r="J15" s="677">
        <v>7758.66</v>
      </c>
      <c r="K15" s="677">
        <v>10142.049999999999</v>
      </c>
      <c r="L15" s="677">
        <v>596.88</v>
      </c>
      <c r="M15" s="677">
        <v>780.23</v>
      </c>
      <c r="N15" s="678">
        <v>0</v>
      </c>
      <c r="O15" s="678">
        <v>0</v>
      </c>
      <c r="P15" s="678">
        <v>4252.38</v>
      </c>
      <c r="Q15" s="678">
        <v>5504.45</v>
      </c>
      <c r="R15" s="678">
        <v>81542.34</v>
      </c>
      <c r="S15" s="678">
        <v>82346.399999999994</v>
      </c>
      <c r="T15" s="678">
        <v>2482.11</v>
      </c>
      <c r="U15" s="678">
        <v>2349.35</v>
      </c>
      <c r="V15" s="620">
        <f t="shared" si="0"/>
        <v>96632.37</v>
      </c>
      <c r="W15" s="620">
        <f t="shared" si="1"/>
        <v>101122.48</v>
      </c>
      <c r="X15" s="524">
        <f t="shared" si="2"/>
        <v>101532.74325198073</v>
      </c>
      <c r="Y15" s="622">
        <v>9132.7199999999993</v>
      </c>
      <c r="Z15" s="623">
        <f t="shared" si="3"/>
        <v>1064.8336374978985</v>
      </c>
      <c r="AA15" s="623">
        <f t="shared" si="4"/>
        <v>578.77270500078305</v>
      </c>
      <c r="AB15" s="623">
        <v>3382.68</v>
      </c>
      <c r="AC15" s="623">
        <f t="shared" si="5"/>
        <v>318.29615049615268</v>
      </c>
      <c r="AD15" s="623">
        <f t="shared" si="6"/>
        <v>22.529104904662628</v>
      </c>
      <c r="AE15" s="623">
        <f t="shared" si="7"/>
        <v>1568.0257013645189</v>
      </c>
      <c r="AF15" s="623">
        <f t="shared" si="8"/>
        <v>484.86396115353057</v>
      </c>
      <c r="AG15" s="623">
        <f t="shared" si="9"/>
        <v>72.364386117972558</v>
      </c>
      <c r="AH15" s="623">
        <f t="shared" si="10"/>
        <v>8098.4481248236534</v>
      </c>
      <c r="AI15" s="623">
        <f t="shared" si="11"/>
        <v>23303.921600013859</v>
      </c>
      <c r="AJ15" s="623">
        <f t="shared" si="12"/>
        <v>2250.3478047833578</v>
      </c>
      <c r="AK15" s="623"/>
      <c r="AL15" s="623">
        <f t="shared" si="13"/>
        <v>21398.961293134045</v>
      </c>
      <c r="AM15" s="623"/>
      <c r="AN15" s="623">
        <f t="shared" si="14"/>
        <v>71676.764469290429</v>
      </c>
      <c r="AO15" s="524">
        <f t="shared" si="15"/>
        <v>196.28146807968764</v>
      </c>
      <c r="AP15" s="525"/>
      <c r="AQ15" s="622">
        <f t="shared" si="16"/>
        <v>16086.166864309953</v>
      </c>
      <c r="AR15" s="1095"/>
      <c r="AS15" s="1526">
        <f t="shared" si="17"/>
        <v>16282.44833238964</v>
      </c>
      <c r="AT15" s="1526"/>
      <c r="AU15" s="1526">
        <f t="shared" si="18"/>
        <v>996.3411033488411</v>
      </c>
      <c r="AV15" s="525">
        <f t="shared" si="19"/>
        <v>12577.189346951824</v>
      </c>
      <c r="AW15" s="525">
        <f t="shared" si="20"/>
        <v>-4490.1100000000006</v>
      </c>
      <c r="AX15" s="525">
        <f t="shared" si="21"/>
        <v>104.64658995738179</v>
      </c>
      <c r="AY15" s="525">
        <f t="shared" si="22"/>
        <v>13.550707779732642</v>
      </c>
      <c r="AZ15" s="525">
        <f t="shared" si="23"/>
        <v>-4490.1100000000006</v>
      </c>
      <c r="BA15" s="525">
        <v>12.95</v>
      </c>
      <c r="BB15" s="525"/>
    </row>
    <row r="16" spans="1:54" s="124" customFormat="1" x14ac:dyDescent="0.25">
      <c r="A16" s="13">
        <v>8</v>
      </c>
      <c r="B16" s="573"/>
      <c r="C16" s="422" t="s">
        <v>217</v>
      </c>
      <c r="D16" s="675">
        <v>1963</v>
      </c>
      <c r="E16" s="675">
        <v>2</v>
      </c>
      <c r="F16" s="675">
        <v>16</v>
      </c>
      <c r="G16" s="680">
        <v>27</v>
      </c>
      <c r="H16" s="677">
        <v>630.29999999999995</v>
      </c>
      <c r="I16" s="677">
        <v>76</v>
      </c>
      <c r="J16" s="677">
        <v>7866.23</v>
      </c>
      <c r="K16" s="677">
        <v>7483.92</v>
      </c>
      <c r="L16" s="677">
        <v>605.1</v>
      </c>
      <c r="M16" s="677">
        <v>575.69000000000005</v>
      </c>
      <c r="N16" s="678">
        <v>0</v>
      </c>
      <c r="O16" s="678">
        <v>0</v>
      </c>
      <c r="P16" s="678">
        <v>4311.24</v>
      </c>
      <c r="Q16" s="678">
        <v>4086.36</v>
      </c>
      <c r="R16" s="678">
        <v>82670.399999999994</v>
      </c>
      <c r="S16" s="678">
        <v>56933.02</v>
      </c>
      <c r="T16" s="678">
        <v>2481.89</v>
      </c>
      <c r="U16" s="678">
        <v>1699.61</v>
      </c>
      <c r="V16" s="620">
        <f t="shared" si="0"/>
        <v>97934.86</v>
      </c>
      <c r="W16" s="620">
        <f t="shared" si="1"/>
        <v>70778.599999999991</v>
      </c>
      <c r="X16" s="524">
        <f t="shared" si="2"/>
        <v>94245.934458237432</v>
      </c>
      <c r="Y16" s="622">
        <v>1004.78</v>
      </c>
      <c r="Z16" s="623">
        <f t="shared" si="3"/>
        <v>1074.8953262570874</v>
      </c>
      <c r="AA16" s="623">
        <f t="shared" si="4"/>
        <v>584.24156944585764</v>
      </c>
      <c r="AB16" s="623">
        <v>3382.68</v>
      </c>
      <c r="AC16" s="623">
        <f t="shared" si="5"/>
        <v>321.30375345567751</v>
      </c>
      <c r="AD16" s="623">
        <f t="shared" si="6"/>
        <v>22.741984018912323</v>
      </c>
      <c r="AE16" s="623">
        <f t="shared" si="7"/>
        <v>1582.8420877162976</v>
      </c>
      <c r="AF16" s="623">
        <f t="shared" si="8"/>
        <v>489.44547520030477</v>
      </c>
      <c r="AG16" s="623">
        <f t="shared" si="9"/>
        <v>73.048162348107141</v>
      </c>
      <c r="AH16" s="623">
        <f t="shared" si="10"/>
        <v>8174.9709370216979</v>
      </c>
      <c r="AI16" s="623">
        <f t="shared" si="11"/>
        <v>23524.122012313797</v>
      </c>
      <c r="AJ16" s="623">
        <f t="shared" si="12"/>
        <v>2271.6115012090813</v>
      </c>
      <c r="AK16" s="623"/>
      <c r="AL16" s="623">
        <f t="shared" si="13"/>
        <v>21601.161600035855</v>
      </c>
      <c r="AM16" s="623"/>
      <c r="AN16" s="623">
        <f t="shared" si="14"/>
        <v>64107.844409022677</v>
      </c>
      <c r="AO16" s="524">
        <f t="shared" si="15"/>
        <v>198.13614562880704</v>
      </c>
      <c r="AP16" s="525"/>
      <c r="AQ16" s="622">
        <f t="shared" si="16"/>
        <v>16238.166198870216</v>
      </c>
      <c r="AR16" s="1095"/>
      <c r="AS16" s="1526">
        <f t="shared" si="17"/>
        <v>16436.302344499025</v>
      </c>
      <c r="AT16" s="1526"/>
      <c r="AU16" s="1526">
        <f t="shared" si="18"/>
        <v>1005.7556012824704</v>
      </c>
      <c r="AV16" s="525">
        <f t="shared" si="19"/>
        <v>12696.032103433272</v>
      </c>
      <c r="AW16" s="525">
        <f t="shared" si="20"/>
        <v>27156.260000000009</v>
      </c>
      <c r="AX16" s="525">
        <f t="shared" si="21"/>
        <v>72.271099381772729</v>
      </c>
      <c r="AY16" s="525">
        <f t="shared" si="22"/>
        <v>12.460459894526076</v>
      </c>
      <c r="AZ16" s="525">
        <f t="shared" si="23"/>
        <v>27156.260000000009</v>
      </c>
      <c r="BA16" s="525">
        <v>12.95</v>
      </c>
      <c r="BB16" s="525"/>
    </row>
    <row r="17" spans="1:54" s="124" customFormat="1" x14ac:dyDescent="0.25">
      <c r="A17" s="13">
        <v>9</v>
      </c>
      <c r="B17" s="573"/>
      <c r="C17" s="422" t="s">
        <v>218</v>
      </c>
      <c r="D17" s="675">
        <v>1963</v>
      </c>
      <c r="E17" s="675">
        <v>2</v>
      </c>
      <c r="F17" s="675">
        <v>8</v>
      </c>
      <c r="G17" s="679">
        <v>18</v>
      </c>
      <c r="H17" s="677">
        <v>313</v>
      </c>
      <c r="I17" s="677">
        <v>73.5</v>
      </c>
      <c r="J17" s="677">
        <v>3906.18</v>
      </c>
      <c r="K17" s="677">
        <v>4090.52</v>
      </c>
      <c r="L17" s="677">
        <v>300.48</v>
      </c>
      <c r="M17" s="677">
        <v>314.70999999999998</v>
      </c>
      <c r="N17" s="678">
        <v>0</v>
      </c>
      <c r="O17" s="678">
        <v>0</v>
      </c>
      <c r="P17" s="678">
        <v>2140.92</v>
      </c>
      <c r="Q17" s="678">
        <v>2238.92</v>
      </c>
      <c r="R17" s="678">
        <v>40940.400000000001</v>
      </c>
      <c r="S17" s="678">
        <v>34106.69</v>
      </c>
      <c r="T17" s="678">
        <v>1200.1199999999999</v>
      </c>
      <c r="U17" s="678">
        <v>941.72</v>
      </c>
      <c r="V17" s="620">
        <f t="shared" si="0"/>
        <v>48488.100000000006</v>
      </c>
      <c r="W17" s="620">
        <f t="shared" si="1"/>
        <v>41692.560000000005</v>
      </c>
      <c r="X17" s="524">
        <f t="shared" si="2"/>
        <v>48750.343314974329</v>
      </c>
      <c r="Y17" s="622">
        <v>974.78</v>
      </c>
      <c r="Z17" s="623">
        <f t="shared" si="3"/>
        <v>533.78111552985615</v>
      </c>
      <c r="AA17" s="623">
        <f t="shared" si="4"/>
        <v>290.12789344209654</v>
      </c>
      <c r="AB17" s="623">
        <v>3003.84</v>
      </c>
      <c r="AC17" s="623">
        <f t="shared" si="5"/>
        <v>159.55588581885937</v>
      </c>
      <c r="AD17" s="623">
        <f t="shared" si="6"/>
        <v>11.293417416975341</v>
      </c>
      <c r="AE17" s="623">
        <f t="shared" si="7"/>
        <v>786.02185222148375</v>
      </c>
      <c r="AF17" s="623">
        <f t="shared" si="8"/>
        <v>243.05320282039568</v>
      </c>
      <c r="AG17" s="623">
        <f t="shared" si="9"/>
        <v>36.27490848002148</v>
      </c>
      <c r="AH17" s="623">
        <f t="shared" si="10"/>
        <v>4059.6000369471549</v>
      </c>
      <c r="AI17" s="623">
        <f t="shared" si="11"/>
        <v>11681.818483030651</v>
      </c>
      <c r="AJ17" s="623">
        <f t="shared" si="12"/>
        <v>1128.0571154663533</v>
      </c>
      <c r="AK17" s="623"/>
      <c r="AL17" s="623">
        <f t="shared" si="13"/>
        <v>10726.89763733337</v>
      </c>
      <c r="AM17" s="623"/>
      <c r="AN17" s="623">
        <f t="shared" si="14"/>
        <v>33635.10154850722</v>
      </c>
      <c r="AO17" s="524">
        <f t="shared" si="15"/>
        <v>98.392215741419335</v>
      </c>
      <c r="AP17" s="525">
        <v>149</v>
      </c>
      <c r="AQ17" s="622">
        <f t="shared" si="16"/>
        <v>8063.6935114173848</v>
      </c>
      <c r="AR17" s="1095"/>
      <c r="AS17" s="1526">
        <f t="shared" si="17"/>
        <v>8311.0857271588047</v>
      </c>
      <c r="AT17" s="1526"/>
      <c r="AU17" s="1526">
        <f t="shared" si="18"/>
        <v>499.44709376711609</v>
      </c>
      <c r="AV17" s="525">
        <f t="shared" si="19"/>
        <v>6304.7089455411933</v>
      </c>
      <c r="AW17" s="525">
        <f t="shared" si="20"/>
        <v>6795.5400000000009</v>
      </c>
      <c r="AX17" s="525">
        <f t="shared" si="21"/>
        <v>85.985138621641184</v>
      </c>
      <c r="AY17" s="525">
        <f t="shared" si="22"/>
        <v>12.979324631249822</v>
      </c>
      <c r="AZ17" s="525">
        <f t="shared" si="23"/>
        <v>6795.5400000000009</v>
      </c>
      <c r="BA17" s="525">
        <v>12.92</v>
      </c>
      <c r="BB17" s="525"/>
    </row>
    <row r="18" spans="1:54" s="226" customFormat="1" x14ac:dyDescent="0.25">
      <c r="A18" s="36">
        <v>10</v>
      </c>
      <c r="B18" s="575"/>
      <c r="C18" s="423" t="s">
        <v>219</v>
      </c>
      <c r="D18" s="681">
        <v>1977</v>
      </c>
      <c r="E18" s="681">
        <v>5</v>
      </c>
      <c r="F18" s="681">
        <v>90</v>
      </c>
      <c r="G18" s="682">
        <v>231</v>
      </c>
      <c r="H18" s="677">
        <v>4846.6000000000004</v>
      </c>
      <c r="I18" s="677">
        <v>585</v>
      </c>
      <c r="J18" s="677">
        <v>56706.720000000001</v>
      </c>
      <c r="K18" s="677">
        <v>68098.27</v>
      </c>
      <c r="L18" s="677">
        <v>4652.58</v>
      </c>
      <c r="M18" s="677">
        <v>5581.54</v>
      </c>
      <c r="N18" s="678">
        <v>0</v>
      </c>
      <c r="O18" s="678">
        <v>0</v>
      </c>
      <c r="P18" s="678">
        <v>51761.7</v>
      </c>
      <c r="Q18" s="678">
        <v>61962.7</v>
      </c>
      <c r="R18" s="678">
        <v>649058.34</v>
      </c>
      <c r="S18" s="678">
        <v>606158.94999999995</v>
      </c>
      <c r="T18" s="678">
        <v>14506.12</v>
      </c>
      <c r="U18" s="678">
        <v>13145.96</v>
      </c>
      <c r="V18" s="620">
        <f t="shared" si="0"/>
        <v>776685.46</v>
      </c>
      <c r="W18" s="620">
        <f t="shared" si="1"/>
        <v>754947.41999999993</v>
      </c>
      <c r="X18" s="524">
        <f t="shared" si="2"/>
        <v>719372.40478707547</v>
      </c>
      <c r="Y18" s="591">
        <v>16219.21</v>
      </c>
      <c r="Z18" s="623">
        <f t="shared" si="3"/>
        <v>8265.2509729297162</v>
      </c>
      <c r="AA18" s="623">
        <f t="shared" si="4"/>
        <v>4492.4404100845532</v>
      </c>
      <c r="AB18" s="623">
        <v>7502.95</v>
      </c>
      <c r="AC18" s="623">
        <f t="shared" si="5"/>
        <v>2470.6183904462746</v>
      </c>
      <c r="AD18" s="623">
        <f t="shared" si="6"/>
        <v>174.87117205467314</v>
      </c>
      <c r="AE18" s="623">
        <f t="shared" si="7"/>
        <v>12171.033575005251</v>
      </c>
      <c r="AF18" s="623">
        <f t="shared" si="8"/>
        <v>3763.5196574738975</v>
      </c>
      <c r="AG18" s="623">
        <f t="shared" si="9"/>
        <v>561.6931994864924</v>
      </c>
      <c r="AH18" s="623">
        <f t="shared" si="10"/>
        <v>62860.247728652022</v>
      </c>
      <c r="AI18" s="623">
        <f t="shared" si="11"/>
        <v>180885.30817845481</v>
      </c>
      <c r="AJ18" s="623">
        <f t="shared" si="12"/>
        <v>17467.225609646095</v>
      </c>
      <c r="AK18" s="623">
        <v>3594.8</v>
      </c>
      <c r="AL18" s="623">
        <f t="shared" si="13"/>
        <v>166098.98431022337</v>
      </c>
      <c r="AM18" s="623"/>
      <c r="AN18" s="623">
        <f t="shared" si="14"/>
        <v>486528.15320445714</v>
      </c>
      <c r="AO18" s="524">
        <f t="shared" si="15"/>
        <v>1523.5390185698498</v>
      </c>
      <c r="AP18" s="525">
        <v>1101.8</v>
      </c>
      <c r="AQ18" s="622">
        <f t="shared" si="16"/>
        <v>124861.01269148722</v>
      </c>
      <c r="AR18" s="1095"/>
      <c r="AS18" s="1526">
        <f t="shared" si="17"/>
        <v>127486.35171005708</v>
      </c>
      <c r="AT18" s="1526"/>
      <c r="AU18" s="1526">
        <f t="shared" si="18"/>
        <v>7733.6111330725398</v>
      </c>
      <c r="AV18" s="525">
        <f t="shared" si="19"/>
        <v>97624.288739488664</v>
      </c>
      <c r="AW18" s="525">
        <f t="shared" si="20"/>
        <v>21738.040000000037</v>
      </c>
      <c r="AX18" s="525">
        <f t="shared" si="21"/>
        <v>97.201178453887877</v>
      </c>
      <c r="AY18" s="525">
        <f t="shared" si="22"/>
        <v>12.369021664449912</v>
      </c>
      <c r="AZ18" s="525">
        <f t="shared" si="23"/>
        <v>21738.040000000037</v>
      </c>
      <c r="BA18" s="890">
        <v>13.45</v>
      </c>
      <c r="BB18" s="890"/>
    </row>
    <row r="19" spans="1:54" s="124" customFormat="1" x14ac:dyDescent="0.25">
      <c r="A19" s="13">
        <v>11</v>
      </c>
      <c r="B19" s="573"/>
      <c r="C19" s="422" t="s">
        <v>220</v>
      </c>
      <c r="D19" s="675">
        <v>1983</v>
      </c>
      <c r="E19" s="675">
        <v>4</v>
      </c>
      <c r="F19" s="675">
        <v>48</v>
      </c>
      <c r="G19" s="679">
        <v>143</v>
      </c>
      <c r="H19" s="677">
        <v>2619.02</v>
      </c>
      <c r="I19" s="677">
        <v>317.89999999999998</v>
      </c>
      <c r="J19" s="677">
        <v>30799.74</v>
      </c>
      <c r="K19" s="677">
        <v>35704.019999999997</v>
      </c>
      <c r="L19" s="677">
        <v>2514.3000000000002</v>
      </c>
      <c r="M19" s="677">
        <v>2914.67</v>
      </c>
      <c r="N19" s="678">
        <v>0</v>
      </c>
      <c r="O19" s="678">
        <v>0</v>
      </c>
      <c r="P19" s="678">
        <v>27971.1</v>
      </c>
      <c r="Q19" s="678">
        <v>32406.26</v>
      </c>
      <c r="R19" s="678">
        <v>353411.34</v>
      </c>
      <c r="S19" s="678">
        <v>333943.58</v>
      </c>
      <c r="T19" s="678">
        <v>8668.2199999999993</v>
      </c>
      <c r="U19" s="678">
        <v>7997.58</v>
      </c>
      <c r="V19" s="620">
        <f t="shared" si="0"/>
        <v>423364.7</v>
      </c>
      <c r="W19" s="620">
        <f t="shared" si="1"/>
        <v>412966.11000000004</v>
      </c>
      <c r="X19" s="524">
        <f t="shared" si="2"/>
        <v>387923.64810346346</v>
      </c>
      <c r="Y19" s="622">
        <v>7113.92</v>
      </c>
      <c r="Z19" s="623">
        <f t="shared" si="3"/>
        <v>4466.4006939137507</v>
      </c>
      <c r="AA19" s="623">
        <f t="shared" si="4"/>
        <v>2427.6381964304142</v>
      </c>
      <c r="AB19" s="623">
        <v>6244.91</v>
      </c>
      <c r="AC19" s="623">
        <f t="shared" si="5"/>
        <v>1335.0800513652048</v>
      </c>
      <c r="AD19" s="623">
        <f t="shared" si="6"/>
        <v>94.497399627497629</v>
      </c>
      <c r="AE19" s="623">
        <f t="shared" si="7"/>
        <v>6577.019014073835</v>
      </c>
      <c r="AF19" s="623">
        <f t="shared" si="8"/>
        <v>2033.7418506411268</v>
      </c>
      <c r="AG19" s="623">
        <f t="shared" si="9"/>
        <v>303.52942749950751</v>
      </c>
      <c r="AH19" s="623">
        <f t="shared" si="10"/>
        <v>33968.606034394048</v>
      </c>
      <c r="AI19" s="623">
        <f t="shared" si="11"/>
        <v>97747.336240980614</v>
      </c>
      <c r="AJ19" s="623">
        <f t="shared" si="12"/>
        <v>9438.9908835421356</v>
      </c>
      <c r="AK19" s="623"/>
      <c r="AL19" s="623">
        <f t="shared" si="13"/>
        <v>89757.058946098536</v>
      </c>
      <c r="AM19" s="623"/>
      <c r="AN19" s="623">
        <f t="shared" si="14"/>
        <v>261508.72873856663</v>
      </c>
      <c r="AO19" s="524">
        <f t="shared" si="15"/>
        <v>823.29450757537404</v>
      </c>
      <c r="AP19" s="525">
        <v>1185.25</v>
      </c>
      <c r="AQ19" s="622">
        <f t="shared" si="16"/>
        <v>67472.762237291885</v>
      </c>
      <c r="AR19" s="1095"/>
      <c r="AS19" s="1526">
        <f t="shared" si="17"/>
        <v>69481.306744867252</v>
      </c>
      <c r="AT19" s="1526"/>
      <c r="AU19" s="1526">
        <f t="shared" si="18"/>
        <v>4179.1115895142248</v>
      </c>
      <c r="AV19" s="525">
        <f t="shared" si="19"/>
        <v>52754.501030515326</v>
      </c>
      <c r="AW19" s="525">
        <f t="shared" si="20"/>
        <v>10398.589999999967</v>
      </c>
      <c r="AX19" s="525">
        <f t="shared" si="21"/>
        <v>97.543822146721254</v>
      </c>
      <c r="AY19" s="525">
        <f t="shared" si="22"/>
        <v>12.343155331111875</v>
      </c>
      <c r="AZ19" s="525">
        <f t="shared" si="23"/>
        <v>10398.589999999967</v>
      </c>
      <c r="BA19" s="525">
        <v>13.54</v>
      </c>
      <c r="BB19" s="525"/>
    </row>
    <row r="20" spans="1:54" s="124" customFormat="1" x14ac:dyDescent="0.25">
      <c r="A20" s="13">
        <v>12</v>
      </c>
      <c r="B20" s="573"/>
      <c r="C20" s="422" t="s">
        <v>221</v>
      </c>
      <c r="D20" s="675">
        <v>1983</v>
      </c>
      <c r="E20" s="675">
        <v>4</v>
      </c>
      <c r="F20" s="675">
        <v>48</v>
      </c>
      <c r="G20" s="680">
        <v>137</v>
      </c>
      <c r="H20" s="677">
        <v>2614.1999999999998</v>
      </c>
      <c r="I20" s="677">
        <v>317.89999999999998</v>
      </c>
      <c r="J20" s="677">
        <v>30731.22</v>
      </c>
      <c r="K20" s="677">
        <v>37467.39</v>
      </c>
      <c r="L20" s="677">
        <v>2508.66</v>
      </c>
      <c r="M20" s="677">
        <v>3058.63</v>
      </c>
      <c r="N20" s="678">
        <v>0</v>
      </c>
      <c r="O20" s="678">
        <v>0</v>
      </c>
      <c r="P20" s="678">
        <v>27909.119999999999</v>
      </c>
      <c r="Q20" s="678">
        <v>33837.769999999997</v>
      </c>
      <c r="R20" s="678">
        <v>352311.66</v>
      </c>
      <c r="S20" s="678">
        <v>338768.37</v>
      </c>
      <c r="T20" s="678">
        <v>6701.1</v>
      </c>
      <c r="U20" s="678">
        <v>6102.03</v>
      </c>
      <c r="V20" s="620">
        <f t="shared" si="0"/>
        <v>420161.75999999995</v>
      </c>
      <c r="W20" s="620">
        <f t="shared" si="1"/>
        <v>419234.19</v>
      </c>
      <c r="X20" s="524">
        <f t="shared" si="2"/>
        <v>387876.84667733504</v>
      </c>
      <c r="Y20" s="622">
        <v>9268.31</v>
      </c>
      <c r="Z20" s="623">
        <f t="shared" si="3"/>
        <v>4458.1808058087863</v>
      </c>
      <c r="AA20" s="623">
        <f t="shared" si="4"/>
        <v>2423.1704122566412</v>
      </c>
      <c r="AB20" s="623">
        <v>5169.1499999999996</v>
      </c>
      <c r="AC20" s="623">
        <f t="shared" si="5"/>
        <v>1332.6229926762369</v>
      </c>
      <c r="AD20" s="623">
        <f t="shared" si="6"/>
        <v>94.323488215517358</v>
      </c>
      <c r="AE20" s="623">
        <f t="shared" si="7"/>
        <v>6564.9147798000085</v>
      </c>
      <c r="AF20" s="623">
        <f t="shared" si="8"/>
        <v>2029.9989866232536</v>
      </c>
      <c r="AG20" s="623">
        <f t="shared" si="9"/>
        <v>302.9708170877704</v>
      </c>
      <c r="AH20" s="623">
        <f t="shared" si="10"/>
        <v>33906.090787818692</v>
      </c>
      <c r="AI20" s="623">
        <f t="shared" si="11"/>
        <v>97567.443700762698</v>
      </c>
      <c r="AJ20" s="623">
        <f t="shared" si="12"/>
        <v>9421.6195247672222</v>
      </c>
      <c r="AK20" s="623"/>
      <c r="AL20" s="623">
        <f t="shared" si="13"/>
        <v>89591.871576731297</v>
      </c>
      <c r="AM20" s="623"/>
      <c r="AN20" s="623">
        <f t="shared" si="14"/>
        <v>262130.6678725481</v>
      </c>
      <c r="AO20" s="524">
        <f t="shared" si="15"/>
        <v>821.77933032338149</v>
      </c>
      <c r="AP20" s="525">
        <v>746.98</v>
      </c>
      <c r="AQ20" s="622">
        <f t="shared" si="16"/>
        <v>67348.586509735862</v>
      </c>
      <c r="AR20" s="1095"/>
      <c r="AS20" s="1526">
        <f t="shared" si="17"/>
        <v>68917.345840059235</v>
      </c>
      <c r="AT20" s="1526"/>
      <c r="AU20" s="1526">
        <f t="shared" si="18"/>
        <v>4171.4204234057343</v>
      </c>
      <c r="AV20" s="525">
        <f t="shared" si="19"/>
        <v>52657.412541322003</v>
      </c>
      <c r="AW20" s="525">
        <f t="shared" si="20"/>
        <v>927.56999999994878</v>
      </c>
      <c r="AX20" s="525">
        <f t="shared" si="21"/>
        <v>99.779235026052831</v>
      </c>
      <c r="AY20" s="525">
        <f t="shared" si="22"/>
        <v>12.364421450709429</v>
      </c>
      <c r="AZ20" s="525">
        <f t="shared" si="23"/>
        <v>927.56999999994878</v>
      </c>
      <c r="BA20" s="525">
        <v>13.53</v>
      </c>
      <c r="BB20" s="525"/>
    </row>
    <row r="21" spans="1:54" s="124" customFormat="1" x14ac:dyDescent="0.25">
      <c r="A21" s="13">
        <v>13</v>
      </c>
      <c r="B21" s="573"/>
      <c r="C21" s="424" t="s">
        <v>222</v>
      </c>
      <c r="D21" s="675">
        <v>1975</v>
      </c>
      <c r="E21" s="675">
        <v>2</v>
      </c>
      <c r="F21" s="675">
        <v>12</v>
      </c>
      <c r="G21" s="679">
        <v>30</v>
      </c>
      <c r="H21" s="677">
        <v>503.62</v>
      </c>
      <c r="I21" s="677">
        <v>58.2</v>
      </c>
      <c r="J21" s="677">
        <v>5680.86</v>
      </c>
      <c r="K21" s="677">
        <v>5474.72</v>
      </c>
      <c r="L21" s="677">
        <v>483.54</v>
      </c>
      <c r="M21" s="677">
        <v>466.02</v>
      </c>
      <c r="N21" s="678">
        <v>0</v>
      </c>
      <c r="O21" s="678">
        <v>0</v>
      </c>
      <c r="P21" s="678">
        <v>3444.72</v>
      </c>
      <c r="Q21" s="678">
        <v>3328.5</v>
      </c>
      <c r="R21" s="678">
        <v>65692.259999999995</v>
      </c>
      <c r="S21" s="678">
        <v>48313.77</v>
      </c>
      <c r="T21" s="678">
        <v>1901.01</v>
      </c>
      <c r="U21" s="678">
        <v>1307.19</v>
      </c>
      <c r="V21" s="620">
        <f t="shared" si="0"/>
        <v>77202.389999999985</v>
      </c>
      <c r="W21" s="620">
        <f t="shared" si="1"/>
        <v>58890.2</v>
      </c>
      <c r="X21" s="524">
        <f t="shared" si="2"/>
        <v>76013.139507627391</v>
      </c>
      <c r="Y21" s="622">
        <v>1550.15</v>
      </c>
      <c r="Z21" s="623">
        <f t="shared" si="3"/>
        <v>858.85893100046701</v>
      </c>
      <c r="AA21" s="623">
        <f t="shared" si="4"/>
        <v>466.81856132686477</v>
      </c>
      <c r="AB21" s="623">
        <v>2595.6</v>
      </c>
      <c r="AC21" s="623">
        <f t="shared" si="5"/>
        <v>256.72694957218516</v>
      </c>
      <c r="AD21" s="623">
        <f t="shared" si="6"/>
        <v>18.171216867530738</v>
      </c>
      <c r="AE21" s="623">
        <f t="shared" si="7"/>
        <v>1264.7166939801396</v>
      </c>
      <c r="AF21" s="623">
        <f t="shared" si="8"/>
        <v>391.07493292143027</v>
      </c>
      <c r="AG21" s="623">
        <f t="shared" si="9"/>
        <v>58.366675427183438</v>
      </c>
      <c r="AH21" s="623">
        <f t="shared" si="10"/>
        <v>6531.9353693524799</v>
      </c>
      <c r="AI21" s="623">
        <f t="shared" si="11"/>
        <v>18796.157905507655</v>
      </c>
      <c r="AJ21" s="623">
        <f t="shared" si="12"/>
        <v>1815.0547108343924</v>
      </c>
      <c r="AK21" s="623"/>
      <c r="AL21" s="623">
        <f t="shared" si="13"/>
        <v>17259.681112184768</v>
      </c>
      <c r="AM21" s="623"/>
      <c r="AN21" s="623">
        <f t="shared" si="14"/>
        <v>51863.313058975102</v>
      </c>
      <c r="AO21" s="524">
        <f t="shared" si="15"/>
        <v>158.31401818432462</v>
      </c>
      <c r="AP21" s="525">
        <v>69</v>
      </c>
      <c r="AQ21" s="622">
        <f t="shared" si="16"/>
        <v>12974.560147667808</v>
      </c>
      <c r="AR21" s="1095"/>
      <c r="AS21" s="1526">
        <f t="shared" si="17"/>
        <v>13201.874165852132</v>
      </c>
      <c r="AT21" s="1526"/>
      <c r="AU21" s="1526">
        <f t="shared" si="18"/>
        <v>803.61516090413738</v>
      </c>
      <c r="AV21" s="525">
        <f t="shared" si="19"/>
        <v>10144.337121896026</v>
      </c>
      <c r="AW21" s="525">
        <f t="shared" si="20"/>
        <v>18312.189999999988</v>
      </c>
      <c r="AX21" s="525">
        <f t="shared" si="21"/>
        <v>76.280280960213815</v>
      </c>
      <c r="AY21" s="525">
        <f t="shared" si="22"/>
        <v>12.57779336067329</v>
      </c>
      <c r="AZ21" s="525">
        <f t="shared" si="23"/>
        <v>18312.189999999988</v>
      </c>
      <c r="BA21" s="525">
        <v>12.79</v>
      </c>
      <c r="BB21" s="525"/>
    </row>
    <row r="22" spans="1:54" s="124" customFormat="1" x14ac:dyDescent="0.25">
      <c r="A22" s="13">
        <v>14</v>
      </c>
      <c r="B22" s="573"/>
      <c r="C22" s="424" t="s">
        <v>122</v>
      </c>
      <c r="D22" s="675">
        <v>1975</v>
      </c>
      <c r="E22" s="675">
        <v>2</v>
      </c>
      <c r="F22" s="675">
        <v>12</v>
      </c>
      <c r="G22" s="680">
        <v>31</v>
      </c>
      <c r="H22" s="677">
        <v>528.76</v>
      </c>
      <c r="I22" s="677">
        <v>52.8</v>
      </c>
      <c r="J22" s="677">
        <v>5871.96</v>
      </c>
      <c r="K22" s="677">
        <v>7143.16</v>
      </c>
      <c r="L22" s="677">
        <v>502.44</v>
      </c>
      <c r="M22" s="677">
        <v>617.29</v>
      </c>
      <c r="N22" s="678">
        <v>0</v>
      </c>
      <c r="O22" s="678">
        <v>0</v>
      </c>
      <c r="P22" s="678">
        <v>3579.72</v>
      </c>
      <c r="Q22" s="678">
        <v>4371.49</v>
      </c>
      <c r="R22" s="678">
        <v>68140.2</v>
      </c>
      <c r="S22" s="678">
        <v>67308.97</v>
      </c>
      <c r="T22" s="678">
        <v>1900.89</v>
      </c>
      <c r="U22" s="678">
        <v>1830.52</v>
      </c>
      <c r="V22" s="620">
        <f t="shared" si="0"/>
        <v>79995.209999999992</v>
      </c>
      <c r="W22" s="620">
        <f t="shared" si="1"/>
        <v>81271.430000000008</v>
      </c>
      <c r="X22" s="524">
        <f t="shared" si="2"/>
        <v>78160.463833948321</v>
      </c>
      <c r="Y22" s="622">
        <v>384.42</v>
      </c>
      <c r="Z22" s="623">
        <f t="shared" si="3"/>
        <v>901.73195734046885</v>
      </c>
      <c r="AA22" s="623">
        <f t="shared" si="4"/>
        <v>490.1214854199456</v>
      </c>
      <c r="AB22" s="623">
        <v>2393.58</v>
      </c>
      <c r="AC22" s="623">
        <f t="shared" si="5"/>
        <v>269.54239675904182</v>
      </c>
      <c r="AD22" s="623">
        <f t="shared" si="6"/>
        <v>19.078298381469271</v>
      </c>
      <c r="AE22" s="623">
        <f t="shared" si="7"/>
        <v>1327.8495673502612</v>
      </c>
      <c r="AF22" s="623">
        <f t="shared" si="8"/>
        <v>410.59684192751575</v>
      </c>
      <c r="AG22" s="623">
        <f t="shared" si="9"/>
        <v>61.280257533214559</v>
      </c>
      <c r="AH22" s="623">
        <f t="shared" si="10"/>
        <v>6858.0003691251677</v>
      </c>
      <c r="AI22" s="623">
        <f t="shared" si="11"/>
        <v>19734.435594528073</v>
      </c>
      <c r="AJ22" s="623">
        <f t="shared" si="12"/>
        <v>1905.6596817060349</v>
      </c>
      <c r="AK22" s="623"/>
      <c r="AL22" s="623">
        <f t="shared" si="13"/>
        <v>18121.260047017229</v>
      </c>
      <c r="AM22" s="623"/>
      <c r="AN22" s="623">
        <f t="shared" si="14"/>
        <v>52877.556497088422</v>
      </c>
      <c r="AO22" s="524">
        <f t="shared" si="15"/>
        <v>166.21683065633511</v>
      </c>
      <c r="AP22" s="525"/>
      <c r="AQ22" s="622">
        <f t="shared" si="16"/>
        <v>13622.231888488999</v>
      </c>
      <c r="AR22" s="1095"/>
      <c r="AS22" s="1526">
        <f t="shared" si="17"/>
        <v>13788.448719145334</v>
      </c>
      <c r="AT22" s="1526"/>
      <c r="AU22" s="1526">
        <f t="shared" si="18"/>
        <v>843.73049616709352</v>
      </c>
      <c r="AV22" s="525">
        <f t="shared" si="19"/>
        <v>10650.72812154748</v>
      </c>
      <c r="AW22" s="525">
        <f t="shared" si="20"/>
        <v>-1276.2200000000157</v>
      </c>
      <c r="AX22" s="525">
        <f t="shared" si="21"/>
        <v>101.59537052281007</v>
      </c>
      <c r="AY22" s="525">
        <f t="shared" si="22"/>
        <v>12.318201048041381</v>
      </c>
      <c r="AZ22" s="525">
        <f t="shared" si="23"/>
        <v>-1276.2200000000157</v>
      </c>
      <c r="BA22" s="525">
        <v>12.76</v>
      </c>
      <c r="BB22" s="525"/>
    </row>
    <row r="23" spans="1:54" s="124" customFormat="1" x14ac:dyDescent="0.25">
      <c r="A23" s="13">
        <v>15</v>
      </c>
      <c r="B23" s="573"/>
      <c r="C23" s="424" t="s">
        <v>223</v>
      </c>
      <c r="D23" s="675">
        <v>1975</v>
      </c>
      <c r="E23" s="675">
        <v>2</v>
      </c>
      <c r="F23" s="675">
        <v>12</v>
      </c>
      <c r="G23" s="679">
        <v>23</v>
      </c>
      <c r="H23" s="677">
        <v>528.33000000000004</v>
      </c>
      <c r="I23" s="677">
        <v>52.4</v>
      </c>
      <c r="J23" s="677">
        <v>5909.4</v>
      </c>
      <c r="K23" s="677">
        <v>7118.9</v>
      </c>
      <c r="L23" s="677">
        <v>505.62</v>
      </c>
      <c r="M23" s="677">
        <v>609.1</v>
      </c>
      <c r="N23" s="678">
        <v>0</v>
      </c>
      <c r="O23" s="678">
        <v>0</v>
      </c>
      <c r="P23" s="678">
        <v>3602.58</v>
      </c>
      <c r="Q23" s="678">
        <v>4339.9399999999996</v>
      </c>
      <c r="R23" s="678">
        <v>68572.44</v>
      </c>
      <c r="S23" s="678">
        <v>67634.240000000005</v>
      </c>
      <c r="T23" s="678">
        <v>1900.86</v>
      </c>
      <c r="U23" s="678">
        <v>1836.04</v>
      </c>
      <c r="V23" s="620">
        <f t="shared" si="0"/>
        <v>80490.900000000009</v>
      </c>
      <c r="W23" s="620">
        <f t="shared" si="1"/>
        <v>81538.22</v>
      </c>
      <c r="X23" s="524">
        <f t="shared" si="2"/>
        <v>78194.881051119446</v>
      </c>
      <c r="Y23" s="622">
        <v>495.68</v>
      </c>
      <c r="Z23" s="623">
        <f t="shared" si="3"/>
        <v>900.99864782073143</v>
      </c>
      <c r="AA23" s="623">
        <f t="shared" si="4"/>
        <v>489.72290716377915</v>
      </c>
      <c r="AB23" s="623">
        <v>2378.04</v>
      </c>
      <c r="AC23" s="623">
        <f t="shared" si="5"/>
        <v>269.32319857724593</v>
      </c>
      <c r="AD23" s="623">
        <f t="shared" si="6"/>
        <v>19.062783462973108</v>
      </c>
      <c r="AE23" s="623">
        <f t="shared" si="7"/>
        <v>1326.7697290229282</v>
      </c>
      <c r="AF23" s="623">
        <f t="shared" si="8"/>
        <v>410.26293497156445</v>
      </c>
      <c r="AG23" s="623">
        <f t="shared" si="9"/>
        <v>61.230422994408144</v>
      </c>
      <c r="AH23" s="623">
        <f t="shared" si="10"/>
        <v>6852.4232828124295</v>
      </c>
      <c r="AI23" s="623">
        <f t="shared" si="11"/>
        <v>19718.387089902822</v>
      </c>
      <c r="AJ23" s="623">
        <f t="shared" si="12"/>
        <v>1904.1099546783976</v>
      </c>
      <c r="AK23" s="623"/>
      <c r="AL23" s="623">
        <f t="shared" si="13"/>
        <v>18106.523414480318</v>
      </c>
      <c r="AM23" s="623"/>
      <c r="AN23" s="623">
        <f t="shared" si="14"/>
        <v>52932.534365887586</v>
      </c>
      <c r="AO23" s="524">
        <f t="shared" si="15"/>
        <v>166.08165924173829</v>
      </c>
      <c r="AP23" s="525"/>
      <c r="AQ23" s="622">
        <f t="shared" si="16"/>
        <v>13611.153970885454</v>
      </c>
      <c r="AR23" s="1095"/>
      <c r="AS23" s="1526">
        <f t="shared" si="17"/>
        <v>13777.235630127192</v>
      </c>
      <c r="AT23" s="1526"/>
      <c r="AU23" s="1526">
        <f t="shared" si="18"/>
        <v>843.04435479226981</v>
      </c>
      <c r="AV23" s="525">
        <f t="shared" si="19"/>
        <v>10642.066700312393</v>
      </c>
      <c r="AW23" s="525">
        <f t="shared" si="20"/>
        <v>-1047.3199999999924</v>
      </c>
      <c r="AX23" s="525">
        <f t="shared" si="21"/>
        <v>101.30116572183935</v>
      </c>
      <c r="AY23" s="525">
        <f t="shared" si="22"/>
        <v>12.333655267717688</v>
      </c>
      <c r="AZ23" s="525">
        <f t="shared" si="23"/>
        <v>-1047.3199999999924</v>
      </c>
      <c r="BA23" s="525">
        <v>12.76</v>
      </c>
      <c r="BB23" s="525"/>
    </row>
    <row r="24" spans="1:54" s="124" customFormat="1" x14ac:dyDescent="0.25">
      <c r="A24" s="13">
        <v>16</v>
      </c>
      <c r="B24" s="573"/>
      <c r="C24" s="424" t="s">
        <v>224</v>
      </c>
      <c r="D24" s="675">
        <v>1968</v>
      </c>
      <c r="E24" s="675">
        <v>2</v>
      </c>
      <c r="F24" s="675">
        <v>16</v>
      </c>
      <c r="G24" s="680">
        <v>35</v>
      </c>
      <c r="H24" s="677">
        <v>715.87</v>
      </c>
      <c r="I24" s="677">
        <v>76</v>
      </c>
      <c r="J24" s="677">
        <v>7989.18</v>
      </c>
      <c r="K24" s="677">
        <v>8626.27</v>
      </c>
      <c r="L24" s="677">
        <v>687.3</v>
      </c>
      <c r="M24" s="677">
        <v>742.13</v>
      </c>
      <c r="N24" s="678">
        <v>0</v>
      </c>
      <c r="O24" s="678">
        <v>0</v>
      </c>
      <c r="P24" s="678">
        <v>4896.4799999999996</v>
      </c>
      <c r="Q24" s="678">
        <v>5286.99</v>
      </c>
      <c r="R24" s="678">
        <v>93077.52</v>
      </c>
      <c r="S24" s="678">
        <v>83296.72</v>
      </c>
      <c r="T24" s="678">
        <v>2482.12</v>
      </c>
      <c r="U24" s="678">
        <v>2201.96</v>
      </c>
      <c r="V24" s="620">
        <f t="shared" si="0"/>
        <v>109132.6</v>
      </c>
      <c r="W24" s="620">
        <f t="shared" si="1"/>
        <v>100154.07</v>
      </c>
      <c r="X24" s="524">
        <f t="shared" si="2"/>
        <v>105501.95824118424</v>
      </c>
      <c r="Y24" s="622">
        <v>61.55</v>
      </c>
      <c r="Z24" s="623">
        <f t="shared" si="3"/>
        <v>1220.8239206848505</v>
      </c>
      <c r="AA24" s="623">
        <f t="shared" si="4"/>
        <v>663.55864242298298</v>
      </c>
      <c r="AB24" s="623">
        <v>3382.68</v>
      </c>
      <c r="AC24" s="623">
        <f t="shared" si="5"/>
        <v>364.92419163305709</v>
      </c>
      <c r="AD24" s="623">
        <f t="shared" si="6"/>
        <v>25.829452799649001</v>
      </c>
      <c r="AE24" s="623">
        <f t="shared" si="7"/>
        <v>1797.7299148555705</v>
      </c>
      <c r="AF24" s="623">
        <f t="shared" si="8"/>
        <v>555.89295943462196</v>
      </c>
      <c r="AG24" s="623">
        <f t="shared" si="9"/>
        <v>82.965235570584582</v>
      </c>
      <c r="AH24" s="623">
        <f t="shared" si="10"/>
        <v>9284.811113256741</v>
      </c>
      <c r="AI24" s="623">
        <f t="shared" si="11"/>
        <v>26717.774432738504</v>
      </c>
      <c r="AJ24" s="623">
        <f t="shared" si="12"/>
        <v>2580.0071797089404</v>
      </c>
      <c r="AK24" s="623"/>
      <c r="AL24" s="623">
        <f t="shared" si="13"/>
        <v>24533.751474881275</v>
      </c>
      <c r="AM24" s="623"/>
      <c r="AN24" s="623">
        <f t="shared" si="14"/>
        <v>71272.298517986768</v>
      </c>
      <c r="AO24" s="524">
        <f t="shared" si="15"/>
        <v>225.03525713357783</v>
      </c>
      <c r="AP24" s="525"/>
      <c r="AQ24" s="622">
        <f t="shared" si="16"/>
        <v>18442.671801975601</v>
      </c>
      <c r="AR24" s="1095"/>
      <c r="AS24" s="1526">
        <f t="shared" si="17"/>
        <v>18667.70705910918</v>
      </c>
      <c r="AT24" s="1526"/>
      <c r="AU24" s="1526">
        <f t="shared" si="18"/>
        <v>1142.2977348724135</v>
      </c>
      <c r="AV24" s="525">
        <f t="shared" si="19"/>
        <v>14419.654929215892</v>
      </c>
      <c r="AW24" s="525">
        <f t="shared" si="20"/>
        <v>8978.5299999999988</v>
      </c>
      <c r="AX24" s="525">
        <f t="shared" si="21"/>
        <v>91.772824985384744</v>
      </c>
      <c r="AY24" s="525">
        <f t="shared" si="22"/>
        <v>12.281321823001411</v>
      </c>
      <c r="AZ24" s="525">
        <f t="shared" si="23"/>
        <v>8978.5299999999988</v>
      </c>
      <c r="BA24" s="525">
        <v>12.74</v>
      </c>
      <c r="BB24" s="525"/>
    </row>
    <row r="25" spans="1:54" s="124" customFormat="1" x14ac:dyDescent="0.25">
      <c r="A25" s="36">
        <v>17</v>
      </c>
      <c r="B25" s="575"/>
      <c r="C25" s="425" t="s">
        <v>225</v>
      </c>
      <c r="D25" s="681">
        <v>1989</v>
      </c>
      <c r="E25" s="683">
        <v>1</v>
      </c>
      <c r="F25" s="681">
        <v>2</v>
      </c>
      <c r="G25" s="684">
        <v>5</v>
      </c>
      <c r="H25" s="685">
        <v>108</v>
      </c>
      <c r="I25" s="686"/>
      <c r="J25" s="686"/>
      <c r="K25" s="686"/>
      <c r="L25" s="686">
        <v>103.68</v>
      </c>
      <c r="M25" s="686">
        <v>120.95</v>
      </c>
      <c r="N25" s="686">
        <v>0</v>
      </c>
      <c r="O25" s="686">
        <v>0</v>
      </c>
      <c r="P25" s="686">
        <v>738.72</v>
      </c>
      <c r="Q25" s="686">
        <v>861.79</v>
      </c>
      <c r="R25" s="686">
        <v>7594.56</v>
      </c>
      <c r="S25" s="686">
        <v>7056.48</v>
      </c>
      <c r="T25" s="687">
        <v>0</v>
      </c>
      <c r="U25" s="687">
        <v>0</v>
      </c>
      <c r="V25" s="620">
        <f t="shared" si="0"/>
        <v>8436.9600000000009</v>
      </c>
      <c r="W25" s="620">
        <f t="shared" si="1"/>
        <v>8039.2199999999993</v>
      </c>
      <c r="X25" s="524">
        <f t="shared" si="2"/>
        <v>8879.3735292398487</v>
      </c>
      <c r="Y25" s="649"/>
      <c r="Z25" s="623">
        <f t="shared" si="3"/>
        <v>184.1800654224424</v>
      </c>
      <c r="AA25" s="623">
        <f t="shared" si="4"/>
        <v>100.10802713018028</v>
      </c>
      <c r="AB25" s="623"/>
      <c r="AC25" s="623">
        <f t="shared" si="5"/>
        <v>55.054427055708665</v>
      </c>
      <c r="AD25" s="623">
        <f t="shared" si="6"/>
        <v>3.896770226943568</v>
      </c>
      <c r="AE25" s="623">
        <f t="shared" si="7"/>
        <v>271.21520779527236</v>
      </c>
      <c r="AF25" s="623">
        <f t="shared" si="8"/>
        <v>83.865002890104577</v>
      </c>
      <c r="AG25" s="623">
        <f t="shared" si="9"/>
        <v>12.51658183975182</v>
      </c>
      <c r="AH25" s="623">
        <f t="shared" si="10"/>
        <v>1400.756562269306</v>
      </c>
      <c r="AI25" s="623">
        <f t="shared" si="11"/>
        <v>4030.7872082022691</v>
      </c>
      <c r="AJ25" s="623">
        <f t="shared" si="12"/>
        <v>389.23376508104201</v>
      </c>
      <c r="AK25" s="623"/>
      <c r="AL25" s="650"/>
      <c r="AM25" s="650"/>
      <c r="AN25" s="623">
        <f t="shared" si="14"/>
        <v>6531.6136179130208</v>
      </c>
      <c r="AO25" s="524"/>
      <c r="AP25" s="525"/>
      <c r="AQ25" s="649"/>
      <c r="AR25" s="1095"/>
      <c r="AS25" s="1526">
        <f t="shared" si="17"/>
        <v>0</v>
      </c>
      <c r="AT25" s="1526"/>
      <c r="AU25" s="1526">
        <f t="shared" si="18"/>
        <v>172.33318251389309</v>
      </c>
      <c r="AV25" s="525">
        <f t="shared" si="19"/>
        <v>2175.4267288129358</v>
      </c>
      <c r="AW25" s="525">
        <f t="shared" si="20"/>
        <v>397.7400000000016</v>
      </c>
      <c r="AX25" s="525">
        <f t="shared" si="21"/>
        <v>95.285742731979269</v>
      </c>
      <c r="AY25" s="525">
        <f t="shared" si="22"/>
        <v>6.8513684639196368</v>
      </c>
      <c r="AZ25" s="525">
        <f t="shared" si="23"/>
        <v>397.7400000000016</v>
      </c>
      <c r="BA25" s="525">
        <v>6.68</v>
      </c>
      <c r="BB25" s="525"/>
    </row>
    <row r="26" spans="1:54" s="124" customFormat="1" x14ac:dyDescent="0.25">
      <c r="A26" s="36">
        <v>18</v>
      </c>
      <c r="B26" s="580">
        <v>42648</v>
      </c>
      <c r="C26" s="425" t="s">
        <v>226</v>
      </c>
      <c r="D26" s="681">
        <v>1989</v>
      </c>
      <c r="E26" s="683">
        <v>1</v>
      </c>
      <c r="F26" s="681">
        <v>2</v>
      </c>
      <c r="G26" s="681">
        <v>6</v>
      </c>
      <c r="H26" s="685">
        <v>54</v>
      </c>
      <c r="I26" s="686"/>
      <c r="J26" s="686"/>
      <c r="K26" s="686"/>
      <c r="L26" s="686">
        <v>51.84</v>
      </c>
      <c r="M26" s="686">
        <v>60.48</v>
      </c>
      <c r="N26" s="686">
        <v>0</v>
      </c>
      <c r="O26" s="686">
        <v>0</v>
      </c>
      <c r="P26" s="686">
        <v>369.36</v>
      </c>
      <c r="Q26" s="686">
        <v>430.92</v>
      </c>
      <c r="R26" s="686">
        <v>3797.28</v>
      </c>
      <c r="S26" s="686">
        <v>3708.72</v>
      </c>
      <c r="T26" s="687">
        <v>0</v>
      </c>
      <c r="U26" s="687">
        <v>0</v>
      </c>
      <c r="V26" s="620">
        <f t="shared" si="0"/>
        <v>4218.4800000000005</v>
      </c>
      <c r="W26" s="620">
        <f t="shared" si="1"/>
        <v>4200.12</v>
      </c>
      <c r="X26" s="524">
        <f t="shared" si="2"/>
        <v>4439.6867646199244</v>
      </c>
      <c r="Y26" s="649"/>
      <c r="Z26" s="623">
        <f t="shared" si="3"/>
        <v>92.090032711221198</v>
      </c>
      <c r="AA26" s="623">
        <f t="shared" si="4"/>
        <v>50.054013565090138</v>
      </c>
      <c r="AB26" s="623"/>
      <c r="AC26" s="623">
        <f t="shared" si="5"/>
        <v>27.527213527854332</v>
      </c>
      <c r="AD26" s="623">
        <f t="shared" si="6"/>
        <v>1.948385113471784</v>
      </c>
      <c r="AE26" s="623">
        <f t="shared" si="7"/>
        <v>135.60760389763618</v>
      </c>
      <c r="AF26" s="623">
        <f t="shared" si="8"/>
        <v>41.932501445052289</v>
      </c>
      <c r="AG26" s="623">
        <f t="shared" si="9"/>
        <v>6.2582909198759102</v>
      </c>
      <c r="AH26" s="623">
        <f t="shared" si="10"/>
        <v>700.37828113465298</v>
      </c>
      <c r="AI26" s="623">
        <f t="shared" si="11"/>
        <v>2015.3936041011345</v>
      </c>
      <c r="AJ26" s="623">
        <f t="shared" si="12"/>
        <v>194.616882540521</v>
      </c>
      <c r="AK26" s="623"/>
      <c r="AL26" s="650"/>
      <c r="AM26" s="650"/>
      <c r="AN26" s="623">
        <f t="shared" si="14"/>
        <v>3265.8068089565104</v>
      </c>
      <c r="AO26" s="524"/>
      <c r="AP26" s="525"/>
      <c r="AQ26" s="649"/>
      <c r="AR26" s="1095"/>
      <c r="AS26" s="1526">
        <f t="shared" si="17"/>
        <v>0</v>
      </c>
      <c r="AT26" s="1526"/>
      <c r="AU26" s="1526">
        <f t="shared" si="18"/>
        <v>86.166591256946546</v>
      </c>
      <c r="AV26" s="525">
        <f t="shared" si="19"/>
        <v>1087.7133644064679</v>
      </c>
      <c r="AW26" s="525">
        <f t="shared" si="20"/>
        <v>18.360000000000582</v>
      </c>
      <c r="AX26" s="525">
        <f t="shared" si="21"/>
        <v>99.564772145417294</v>
      </c>
      <c r="AY26" s="525">
        <f t="shared" si="22"/>
        <v>6.8513684639196368</v>
      </c>
      <c r="AZ26" s="525">
        <f t="shared" si="23"/>
        <v>18.360000000000582</v>
      </c>
      <c r="BA26" s="525">
        <v>6.68</v>
      </c>
      <c r="BB26" s="525"/>
    </row>
    <row r="27" spans="1:54" s="124" customFormat="1" x14ac:dyDescent="0.25">
      <c r="A27" s="36">
        <v>19</v>
      </c>
      <c r="B27" s="580">
        <v>42648</v>
      </c>
      <c r="C27" s="425" t="s">
        <v>592</v>
      </c>
      <c r="D27" s="681">
        <v>1989</v>
      </c>
      <c r="E27" s="683">
        <v>1</v>
      </c>
      <c r="F27" s="681">
        <v>2</v>
      </c>
      <c r="G27" s="681"/>
      <c r="H27" s="685">
        <v>108</v>
      </c>
      <c r="I27" s="686"/>
      <c r="J27" s="686"/>
      <c r="K27" s="686"/>
      <c r="L27" s="686">
        <v>207.36</v>
      </c>
      <c r="M27" s="686">
        <v>216</v>
      </c>
      <c r="N27" s="686">
        <v>0</v>
      </c>
      <c r="O27" s="686">
        <v>0</v>
      </c>
      <c r="P27" s="686">
        <v>738.72</v>
      </c>
      <c r="Q27" s="686">
        <v>923.39</v>
      </c>
      <c r="R27" s="686">
        <v>8936.9599999999991</v>
      </c>
      <c r="S27" s="686">
        <v>8252.24</v>
      </c>
      <c r="T27" s="687">
        <v>0</v>
      </c>
      <c r="U27" s="687">
        <v>0</v>
      </c>
      <c r="V27" s="620">
        <f t="shared" si="0"/>
        <v>9883.0399999999991</v>
      </c>
      <c r="W27" s="620">
        <f t="shared" si="1"/>
        <v>9391.6299999999992</v>
      </c>
      <c r="X27" s="524">
        <f t="shared" si="2"/>
        <v>8879.3735292398487</v>
      </c>
      <c r="Y27" s="649"/>
      <c r="Z27" s="623">
        <f t="shared" si="3"/>
        <v>184.1800654224424</v>
      </c>
      <c r="AA27" s="623">
        <f t="shared" si="4"/>
        <v>100.10802713018028</v>
      </c>
      <c r="AB27" s="623"/>
      <c r="AC27" s="623">
        <f t="shared" si="5"/>
        <v>55.054427055708665</v>
      </c>
      <c r="AD27" s="623">
        <f t="shared" si="6"/>
        <v>3.896770226943568</v>
      </c>
      <c r="AE27" s="623">
        <f t="shared" si="7"/>
        <v>271.21520779527236</v>
      </c>
      <c r="AF27" s="623">
        <f t="shared" si="8"/>
        <v>83.865002890104577</v>
      </c>
      <c r="AG27" s="623">
        <f t="shared" si="9"/>
        <v>12.51658183975182</v>
      </c>
      <c r="AH27" s="623">
        <f t="shared" si="10"/>
        <v>1400.756562269306</v>
      </c>
      <c r="AI27" s="623">
        <f t="shared" si="11"/>
        <v>4030.7872082022691</v>
      </c>
      <c r="AJ27" s="623">
        <f t="shared" si="12"/>
        <v>389.23376508104201</v>
      </c>
      <c r="AK27" s="623"/>
      <c r="AL27" s="650"/>
      <c r="AM27" s="650"/>
      <c r="AN27" s="623">
        <f t="shared" si="14"/>
        <v>6531.6136179130208</v>
      </c>
      <c r="AO27" s="524"/>
      <c r="AP27" s="525"/>
      <c r="AQ27" s="649"/>
      <c r="AR27" s="1095"/>
      <c r="AS27" s="1526">
        <f t="shared" si="17"/>
        <v>0</v>
      </c>
      <c r="AT27" s="1526"/>
      <c r="AU27" s="1526">
        <f t="shared" si="18"/>
        <v>172.33318251389309</v>
      </c>
      <c r="AV27" s="525">
        <f t="shared" si="19"/>
        <v>2175.4267288129358</v>
      </c>
      <c r="AW27" s="525">
        <f t="shared" si="20"/>
        <v>491.40999999999985</v>
      </c>
      <c r="AX27" s="525">
        <f t="shared" si="21"/>
        <v>95.027744499668117</v>
      </c>
      <c r="AY27" s="525">
        <f t="shared" si="22"/>
        <v>6.8513684639196368</v>
      </c>
      <c r="AZ27" s="525">
        <f t="shared" si="23"/>
        <v>491.40999999999985</v>
      </c>
      <c r="BA27" s="525">
        <v>6.34</v>
      </c>
      <c r="BB27" s="525"/>
    </row>
    <row r="28" spans="1:54" s="124" customFormat="1" x14ac:dyDescent="0.25">
      <c r="A28" s="13">
        <v>20</v>
      </c>
      <c r="B28" s="573"/>
      <c r="C28" s="425" t="s">
        <v>227</v>
      </c>
      <c r="D28" s="681">
        <v>2010</v>
      </c>
      <c r="E28" s="681">
        <v>2</v>
      </c>
      <c r="F28" s="681">
        <v>10</v>
      </c>
      <c r="G28" s="681">
        <v>30</v>
      </c>
      <c r="H28" s="676">
        <v>637.20000000000005</v>
      </c>
      <c r="I28" s="676"/>
      <c r="J28" s="676">
        <v>15101.76</v>
      </c>
      <c r="K28" s="676">
        <v>17483.68</v>
      </c>
      <c r="L28" s="676">
        <v>611.76</v>
      </c>
      <c r="M28" s="676">
        <v>708.26</v>
      </c>
      <c r="N28" s="676">
        <v>0</v>
      </c>
      <c r="O28" s="676">
        <v>0</v>
      </c>
      <c r="P28" s="676">
        <v>6805.32</v>
      </c>
      <c r="Q28" s="676">
        <v>7878.67</v>
      </c>
      <c r="R28" s="676">
        <v>92292.36</v>
      </c>
      <c r="S28" s="676">
        <v>89407.679999999993</v>
      </c>
      <c r="T28" s="591">
        <v>2193.5300000000002</v>
      </c>
      <c r="U28" s="591">
        <v>2193.5300000000002</v>
      </c>
      <c r="V28" s="620">
        <f t="shared" si="0"/>
        <v>117004.73</v>
      </c>
      <c r="W28" s="620">
        <f t="shared" si="1"/>
        <v>117671.81999999999</v>
      </c>
      <c r="X28" s="524">
        <f t="shared" si="2"/>
        <v>93533.780275724101</v>
      </c>
      <c r="Y28" s="591">
        <v>833.27</v>
      </c>
      <c r="Z28" s="623">
        <f t="shared" si="3"/>
        <v>1086.6623859924102</v>
      </c>
      <c r="AA28" s="623">
        <f t="shared" si="4"/>
        <v>590.63736006806369</v>
      </c>
      <c r="AB28" s="623">
        <v>705.6</v>
      </c>
      <c r="AC28" s="623">
        <f t="shared" si="5"/>
        <v>324.82111962868117</v>
      </c>
      <c r="AD28" s="623">
        <f t="shared" si="6"/>
        <v>22.990944338967054</v>
      </c>
      <c r="AE28" s="623">
        <f t="shared" si="7"/>
        <v>1600.169725992107</v>
      </c>
      <c r="AF28" s="623">
        <f t="shared" si="8"/>
        <v>494.80351705161706</v>
      </c>
      <c r="AG28" s="623">
        <f t="shared" si="9"/>
        <v>73.847832854535739</v>
      </c>
      <c r="AH28" s="623">
        <f t="shared" si="10"/>
        <v>8264.4637173889059</v>
      </c>
      <c r="AI28" s="623">
        <f t="shared" si="11"/>
        <v>23781.64452839339</v>
      </c>
      <c r="AJ28" s="623">
        <f t="shared" si="12"/>
        <v>2296.479213978148</v>
      </c>
      <c r="AK28" s="623">
        <v>1087.5</v>
      </c>
      <c r="AL28" s="623">
        <f t="shared" ref="AL28:AL32" si="24">940583.05/27445.26*H28</f>
        <v>21837.633145395605</v>
      </c>
      <c r="AM28" s="623"/>
      <c r="AN28" s="623">
        <f t="shared" si="14"/>
        <v>63000.523491082429</v>
      </c>
      <c r="AO28" s="524">
        <f t="shared" ref="AO28" si="25">8072.33/25679.26*H28</f>
        <v>200.30517530489587</v>
      </c>
      <c r="AP28" s="525">
        <v>65.239999999999995</v>
      </c>
      <c r="AQ28" s="622">
        <f t="shared" ref="AQ28" si="26">661564.48/25679.26*H28</f>
        <v>16415.928132508492</v>
      </c>
      <c r="AR28" s="1095"/>
      <c r="AS28" s="1526">
        <f t="shared" si="17"/>
        <v>16681.47330781339</v>
      </c>
      <c r="AT28" s="1526"/>
      <c r="AU28" s="1526">
        <f t="shared" si="18"/>
        <v>1016.7657768319692</v>
      </c>
      <c r="AV28" s="525">
        <f t="shared" si="19"/>
        <v>12835.017699996322</v>
      </c>
      <c r="AW28" s="525">
        <f t="shared" si="20"/>
        <v>-667.08999999999651</v>
      </c>
      <c r="AX28" s="525">
        <f t="shared" si="21"/>
        <v>100.57013934393935</v>
      </c>
      <c r="AY28" s="525">
        <f t="shared" si="22"/>
        <v>12.232394365416942</v>
      </c>
      <c r="AZ28" s="525">
        <f t="shared" si="23"/>
        <v>-667.08999999999651</v>
      </c>
      <c r="BA28" s="525">
        <v>15.41</v>
      </c>
      <c r="BB28" s="525"/>
    </row>
    <row r="29" spans="1:54" s="124" customFormat="1" x14ac:dyDescent="0.25">
      <c r="A29" s="13">
        <v>21</v>
      </c>
      <c r="B29" s="573"/>
      <c r="C29" s="425" t="s">
        <v>329</v>
      </c>
      <c r="D29" s="681">
        <v>2012</v>
      </c>
      <c r="E29" s="681">
        <v>2</v>
      </c>
      <c r="F29" s="681"/>
      <c r="G29" s="681"/>
      <c r="H29" s="676">
        <v>1179.9000000000001</v>
      </c>
      <c r="I29" s="676"/>
      <c r="J29" s="676"/>
      <c r="K29" s="676"/>
      <c r="L29" s="676">
        <v>1132.74</v>
      </c>
      <c r="M29" s="676">
        <v>1082.44</v>
      </c>
      <c r="N29" s="676">
        <v>0</v>
      </c>
      <c r="O29" s="676">
        <v>0</v>
      </c>
      <c r="P29" s="676">
        <v>12601.27</v>
      </c>
      <c r="Q29" s="676">
        <v>11938.75</v>
      </c>
      <c r="R29" s="676">
        <v>141446.69</v>
      </c>
      <c r="S29" s="676">
        <v>107319.41</v>
      </c>
      <c r="T29" s="591">
        <v>1135.99</v>
      </c>
      <c r="U29" s="591">
        <v>838.84</v>
      </c>
      <c r="V29" s="620">
        <f t="shared" si="0"/>
        <v>156316.69</v>
      </c>
      <c r="W29" s="620">
        <f t="shared" si="1"/>
        <v>121179.44</v>
      </c>
      <c r="X29" s="524">
        <f t="shared" si="2"/>
        <v>146717.7100634618</v>
      </c>
      <c r="Y29" s="591">
        <v>3342.33</v>
      </c>
      <c r="Z29" s="623">
        <f t="shared" si="3"/>
        <v>2012.1672147401835</v>
      </c>
      <c r="AA29" s="623">
        <f t="shared" si="4"/>
        <v>1093.6801963972196</v>
      </c>
      <c r="AB29" s="623">
        <v>5931.59</v>
      </c>
      <c r="AC29" s="623">
        <f t="shared" si="5"/>
        <v>601.46961558361727</v>
      </c>
      <c r="AD29" s="623">
        <f t="shared" si="6"/>
        <v>42.572214729358485</v>
      </c>
      <c r="AE29" s="623">
        <f t="shared" si="7"/>
        <v>2963.0261451633505</v>
      </c>
      <c r="AF29" s="623">
        <f t="shared" si="8"/>
        <v>916.2251565743926</v>
      </c>
      <c r="AG29" s="623">
        <f t="shared" si="9"/>
        <v>136.74365659928864</v>
      </c>
      <c r="AH29" s="623">
        <f t="shared" si="10"/>
        <v>15303.265442792168</v>
      </c>
      <c r="AI29" s="623">
        <f t="shared" si="11"/>
        <v>44036.350249609794</v>
      </c>
      <c r="AJ29" s="623">
        <f t="shared" si="12"/>
        <v>4252.3788835103842</v>
      </c>
      <c r="AK29" s="623"/>
      <c r="AL29" s="623">
        <f t="shared" si="24"/>
        <v>40436.634256516438</v>
      </c>
      <c r="AM29" s="623"/>
      <c r="AN29" s="623">
        <f t="shared" si="14"/>
        <v>121068.4330322162</v>
      </c>
      <c r="AO29" s="524"/>
      <c r="AP29" s="525"/>
      <c r="AQ29" s="524"/>
      <c r="AR29" s="1095"/>
      <c r="AS29" s="1526">
        <f t="shared" si="17"/>
        <v>0</v>
      </c>
      <c r="AT29" s="1526"/>
      <c r="AU29" s="1526">
        <f t="shared" si="18"/>
        <v>1882.7400189642822</v>
      </c>
      <c r="AV29" s="525">
        <f t="shared" si="19"/>
        <v>23766.537012281326</v>
      </c>
      <c r="AW29" s="525">
        <f t="shared" si="20"/>
        <v>35137.25</v>
      </c>
      <c r="AX29" s="525">
        <f t="shared" si="21"/>
        <v>77.521754075012723</v>
      </c>
      <c r="AY29" s="525">
        <f t="shared" si="22"/>
        <v>10.362298363100107</v>
      </c>
      <c r="AZ29" s="525">
        <f t="shared" si="23"/>
        <v>35137.25</v>
      </c>
      <c r="BA29" s="525">
        <v>11.25</v>
      </c>
      <c r="BB29" s="525"/>
    </row>
    <row r="30" spans="1:54" s="124" customFormat="1" x14ac:dyDescent="0.25">
      <c r="A30" s="13">
        <v>22</v>
      </c>
      <c r="B30" s="576"/>
      <c r="C30" s="426" t="s">
        <v>330</v>
      </c>
      <c r="D30" s="688">
        <v>2012</v>
      </c>
      <c r="E30" s="688">
        <v>3</v>
      </c>
      <c r="F30" s="688">
        <v>28</v>
      </c>
      <c r="G30" s="688"/>
      <c r="H30" s="689">
        <v>1588.6</v>
      </c>
      <c r="I30" s="689"/>
      <c r="J30" s="689">
        <v>36793.93</v>
      </c>
      <c r="K30" s="689">
        <v>39022.26</v>
      </c>
      <c r="L30" s="689">
        <v>1446.39</v>
      </c>
      <c r="M30" s="689">
        <v>1414.87</v>
      </c>
      <c r="N30" s="689">
        <v>9040.24</v>
      </c>
      <c r="O30" s="689">
        <v>9701.5499999999993</v>
      </c>
      <c r="P30" s="689">
        <v>16091.52</v>
      </c>
      <c r="Q30" s="689">
        <v>17282.97</v>
      </c>
      <c r="R30" s="689">
        <v>190771.22</v>
      </c>
      <c r="S30" s="689">
        <v>171057.88</v>
      </c>
      <c r="T30" s="632">
        <v>3539.96</v>
      </c>
      <c r="U30" s="632">
        <v>3161.7</v>
      </c>
      <c r="V30" s="620">
        <f t="shared" si="0"/>
        <v>257683.25999999998</v>
      </c>
      <c r="W30" s="620">
        <f t="shared" si="1"/>
        <v>241641.23000000004</v>
      </c>
      <c r="X30" s="524">
        <f t="shared" si="2"/>
        <v>257848.68441509796</v>
      </c>
      <c r="Y30" s="632">
        <v>9809.4699999999993</v>
      </c>
      <c r="Z30" s="623">
        <f t="shared" si="3"/>
        <v>2709.152332686037</v>
      </c>
      <c r="AA30" s="623">
        <f t="shared" si="4"/>
        <v>1472.5149249907813</v>
      </c>
      <c r="AB30" s="623">
        <v>5581.1</v>
      </c>
      <c r="AC30" s="623">
        <f t="shared" si="5"/>
        <v>809.80984093239613</v>
      </c>
      <c r="AD30" s="623">
        <f t="shared" si="6"/>
        <v>57.318603541875483</v>
      </c>
      <c r="AE30" s="623">
        <f t="shared" si="7"/>
        <v>3989.3748065145337</v>
      </c>
      <c r="AF30" s="623">
        <f t="shared" si="8"/>
        <v>1233.5920702890753</v>
      </c>
      <c r="AG30" s="623">
        <f t="shared" si="9"/>
        <v>184.10964732064573</v>
      </c>
      <c r="AH30" s="623">
        <f t="shared" si="10"/>
        <v>20604.091433527956</v>
      </c>
      <c r="AI30" s="623">
        <f t="shared" si="11"/>
        <v>59289.894064353</v>
      </c>
      <c r="AJ30" s="623">
        <f t="shared" si="12"/>
        <v>5725.3403630346602</v>
      </c>
      <c r="AK30" s="623"/>
      <c r="AL30" s="623">
        <f t="shared" si="24"/>
        <v>54443.289414274092</v>
      </c>
      <c r="AM30" s="623"/>
      <c r="AN30" s="623">
        <f t="shared" si="14"/>
        <v>165909.05750146505</v>
      </c>
      <c r="AO30" s="524">
        <f t="shared" ref="AO30" si="27">8072.33/25679.26*H30</f>
        <v>499.37978890357431</v>
      </c>
      <c r="AP30" s="525">
        <v>213.65</v>
      </c>
      <c r="AQ30" s="622">
        <f t="shared" ref="AQ30" si="28">661564.48/25679.26*H30</f>
        <v>40926.464895327976</v>
      </c>
      <c r="AR30" s="1095"/>
      <c r="AS30" s="1526">
        <f t="shared" si="17"/>
        <v>41639.494684231555</v>
      </c>
      <c r="AT30" s="1526">
        <f>35201.1/3546.83*H30</f>
        <v>15766.323015199489</v>
      </c>
      <c r="AU30" s="1526">
        <f t="shared" si="18"/>
        <v>2534.8934605700974</v>
      </c>
      <c r="AV30" s="525">
        <f t="shared" si="19"/>
        <v>31998.915753631754</v>
      </c>
      <c r="AW30" s="525">
        <f t="shared" si="20"/>
        <v>16042.029999999941</v>
      </c>
      <c r="AX30" s="525">
        <f t="shared" si="21"/>
        <v>93.77451604733659</v>
      </c>
      <c r="AY30" s="525">
        <f t="shared" si="22"/>
        <v>13.525991670606087</v>
      </c>
      <c r="AZ30" s="525">
        <f t="shared" si="23"/>
        <v>16042.029999999941</v>
      </c>
      <c r="BA30" s="525">
        <v>14.43</v>
      </c>
      <c r="BB30" s="525"/>
    </row>
    <row r="31" spans="1:54" s="124" customFormat="1" x14ac:dyDescent="0.25">
      <c r="A31" s="13">
        <v>23</v>
      </c>
      <c r="B31" s="576"/>
      <c r="C31" s="426" t="s">
        <v>474</v>
      </c>
      <c r="D31" s="681"/>
      <c r="E31" s="681">
        <v>2</v>
      </c>
      <c r="F31" s="681"/>
      <c r="G31" s="681"/>
      <c r="H31" s="676">
        <v>586.1</v>
      </c>
      <c r="I31" s="676"/>
      <c r="J31" s="676"/>
      <c r="K31" s="676"/>
      <c r="L31" s="676">
        <v>543.48</v>
      </c>
      <c r="M31" s="676">
        <v>785.65</v>
      </c>
      <c r="N31" s="676">
        <v>3396.6</v>
      </c>
      <c r="O31" s="676">
        <v>4909.8</v>
      </c>
      <c r="P31" s="676">
        <v>6045.96</v>
      </c>
      <c r="Q31" s="676">
        <v>8609.0400000000009</v>
      </c>
      <c r="R31" s="676">
        <v>99995.88</v>
      </c>
      <c r="S31" s="676">
        <v>104490.58</v>
      </c>
      <c r="T31" s="591">
        <v>2453.62</v>
      </c>
      <c r="U31" s="591">
        <v>2307.42</v>
      </c>
      <c r="V31" s="620">
        <f t="shared" si="0"/>
        <v>112435.54000000001</v>
      </c>
      <c r="W31" s="620">
        <f t="shared" si="1"/>
        <v>121102.49</v>
      </c>
      <c r="X31" s="524">
        <f t="shared" si="2"/>
        <v>77988.133769520835</v>
      </c>
      <c r="Y31" s="591">
        <v>135.74</v>
      </c>
      <c r="Z31" s="623">
        <f t="shared" si="3"/>
        <v>999.51792911197674</v>
      </c>
      <c r="AA31" s="623">
        <f t="shared" si="4"/>
        <v>543.27143241665431</v>
      </c>
      <c r="AB31" s="623">
        <v>2674.63</v>
      </c>
      <c r="AC31" s="623">
        <f t="shared" si="5"/>
        <v>298.7722194199153</v>
      </c>
      <c r="AD31" s="623">
        <f t="shared" si="6"/>
        <v>21.147194722329864</v>
      </c>
      <c r="AE31" s="623">
        <f t="shared" si="7"/>
        <v>1471.8447526741586</v>
      </c>
      <c r="AF31" s="623">
        <f t="shared" si="8"/>
        <v>455.12294623972497</v>
      </c>
      <c r="AG31" s="623">
        <f t="shared" si="9"/>
        <v>67.925635335912418</v>
      </c>
      <c r="AH31" s="623">
        <f t="shared" si="10"/>
        <v>7601.6983439448168</v>
      </c>
      <c r="AI31" s="623">
        <f t="shared" si="11"/>
        <v>21874.485025253241</v>
      </c>
      <c r="AJ31" s="623">
        <f t="shared" si="12"/>
        <v>2112.3139788333215</v>
      </c>
      <c r="AK31" s="623">
        <v>1087.5</v>
      </c>
      <c r="AL31" s="623">
        <f t="shared" si="24"/>
        <v>20086.37286019517</v>
      </c>
      <c r="AM31" s="623"/>
      <c r="AN31" s="623">
        <f t="shared" si="14"/>
        <v>59430.342318147217</v>
      </c>
      <c r="AO31" s="524"/>
      <c r="AP31" s="525"/>
      <c r="AQ31" s="524"/>
      <c r="AR31" s="1095"/>
      <c r="AS31" s="1526">
        <f t="shared" si="17"/>
        <v>0</v>
      </c>
      <c r="AT31" s="1526">
        <f t="shared" ref="AT31:AT32" si="29">35201.1/3546.83*H31</f>
        <v>5816.8462288860765</v>
      </c>
      <c r="AU31" s="1526">
        <f t="shared" si="18"/>
        <v>935.22665066104389</v>
      </c>
      <c r="AV31" s="525">
        <f t="shared" si="19"/>
        <v>11805.718571826497</v>
      </c>
      <c r="AW31" s="525">
        <f t="shared" si="20"/>
        <v>-8666.9499999999971</v>
      </c>
      <c r="AX31" s="525">
        <f t="shared" si="21"/>
        <v>107.70837228157572</v>
      </c>
      <c r="AY31" s="525">
        <f t="shared" si="22"/>
        <v>11.088570461457207</v>
      </c>
      <c r="AZ31" s="525">
        <f t="shared" si="23"/>
        <v>-8666.9499999999971</v>
      </c>
      <c r="BA31" s="525">
        <v>16.440000000000001</v>
      </c>
      <c r="BB31" s="525"/>
    </row>
    <row r="32" spans="1:54" s="124" customFormat="1" ht="14.25" customHeight="1" x14ac:dyDescent="0.25">
      <c r="A32" s="13">
        <v>24</v>
      </c>
      <c r="B32" s="580">
        <v>42648</v>
      </c>
      <c r="C32" s="426" t="s">
        <v>543</v>
      </c>
      <c r="D32" s="688"/>
      <c r="E32" s="688">
        <v>3</v>
      </c>
      <c r="F32" s="688"/>
      <c r="G32" s="688"/>
      <c r="H32" s="689">
        <v>1372.13</v>
      </c>
      <c r="I32" s="689"/>
      <c r="J32" s="689">
        <v>32853.4</v>
      </c>
      <c r="K32" s="689">
        <v>24419.040000000001</v>
      </c>
      <c r="L32" s="689">
        <v>1302.0899999999999</v>
      </c>
      <c r="M32" s="689">
        <v>971.2</v>
      </c>
      <c r="N32" s="689">
        <v>8137.41</v>
      </c>
      <c r="O32" s="689">
        <v>6069.87</v>
      </c>
      <c r="P32" s="689">
        <v>14484.51</v>
      </c>
      <c r="Q32" s="689">
        <v>10804.4</v>
      </c>
      <c r="R32" s="689">
        <v>272249.38</v>
      </c>
      <c r="S32" s="689">
        <v>165781.57</v>
      </c>
      <c r="T32" s="632">
        <v>4964.49</v>
      </c>
      <c r="U32" s="632">
        <v>2835.5</v>
      </c>
      <c r="V32" s="620">
        <f t="shared" si="0"/>
        <v>333991.27999999997</v>
      </c>
      <c r="W32" s="620">
        <f t="shared" si="1"/>
        <v>210881.58000000002</v>
      </c>
      <c r="X32" s="524">
        <f t="shared" si="2"/>
        <v>217319.06076286567</v>
      </c>
      <c r="Y32" s="632">
        <v>7408.46</v>
      </c>
      <c r="Z32" s="623">
        <f t="shared" si="3"/>
        <v>2339.9906774823694</v>
      </c>
      <c r="AA32" s="623">
        <f t="shared" si="4"/>
        <v>1271.8632154271693</v>
      </c>
      <c r="AB32" s="623"/>
      <c r="AC32" s="623">
        <f t="shared" si="5"/>
        <v>699.46139811064393</v>
      </c>
      <c r="AD32" s="623">
        <f t="shared" si="6"/>
        <v>49.508104921259985</v>
      </c>
      <c r="AE32" s="623">
        <f t="shared" si="7"/>
        <v>3445.7641025196949</v>
      </c>
      <c r="AF32" s="623">
        <f t="shared" si="8"/>
        <v>1065.4970964407335</v>
      </c>
      <c r="AG32" s="623">
        <f t="shared" si="9"/>
        <v>159.02201333128394</v>
      </c>
      <c r="AH32" s="623">
        <f t="shared" si="10"/>
        <v>17796.482423949841</v>
      </c>
      <c r="AI32" s="623">
        <f t="shared" si="11"/>
        <v>51210.778259172039</v>
      </c>
      <c r="AJ32" s="623">
        <f t="shared" si="12"/>
        <v>4945.1789451912055</v>
      </c>
      <c r="AK32" s="623"/>
      <c r="AL32" s="623">
        <f t="shared" si="24"/>
        <v>47024.594425285104</v>
      </c>
      <c r="AM32" s="623"/>
      <c r="AN32" s="623">
        <f t="shared" si="14"/>
        <v>137416.60066183135</v>
      </c>
      <c r="AO32" s="524">
        <f t="shared" ref="AO32" si="30">8072.33/25679.26*H32</f>
        <v>431.33198397851032</v>
      </c>
      <c r="AP32" s="1032">
        <v>675.49</v>
      </c>
      <c r="AQ32" s="622">
        <f t="shared" ref="AQ32" si="31">661564.48/25679.26*H32</f>
        <v>35349.635072910984</v>
      </c>
      <c r="AR32" s="1095"/>
      <c r="AS32" s="614">
        <f t="shared" si="17"/>
        <v>36456.457056889492</v>
      </c>
      <c r="AT32" s="1526">
        <f t="shared" si="29"/>
        <v>13617.930755914438</v>
      </c>
      <c r="AU32" s="1526">
        <f t="shared" si="18"/>
        <v>2189.477127062853</v>
      </c>
      <c r="AV32" s="525">
        <f t="shared" si="19"/>
        <v>27638.595161167534</v>
      </c>
      <c r="AW32" s="525">
        <f t="shared" si="20"/>
        <v>123109.69999999995</v>
      </c>
      <c r="AX32" s="525">
        <f t="shared" si="21"/>
        <v>63.139846046280027</v>
      </c>
      <c r="AY32" s="525">
        <f t="shared" si="22"/>
        <v>13.198400829541519</v>
      </c>
      <c r="AZ32" s="525">
        <f t="shared" si="23"/>
        <v>123109.69999999995</v>
      </c>
      <c r="BA32" s="736">
        <v>20.51</v>
      </c>
      <c r="BB32" s="736"/>
    </row>
    <row r="33" spans="1:54" s="124" customFormat="1" x14ac:dyDescent="0.25">
      <c r="A33" s="13"/>
      <c r="B33" s="13"/>
      <c r="C33" s="417" t="s">
        <v>296</v>
      </c>
      <c r="D33" s="690"/>
      <c r="E33" s="690"/>
      <c r="F33" s="1144">
        <f>SUM(F9:F28)</f>
        <v>468</v>
      </c>
      <c r="G33" s="1144">
        <f>SUM(G9:G28)</f>
        <v>1278</v>
      </c>
      <c r="H33" s="1652">
        <f>SUM(H9:H32)</f>
        <v>27715.26</v>
      </c>
      <c r="I33" s="1652">
        <f>SUM(I9:I32)</f>
        <v>2501.9800000000005</v>
      </c>
      <c r="J33" s="1652">
        <f t="shared" ref="J33:K33" si="32">SUM(J9:J32)</f>
        <v>341330.85999999993</v>
      </c>
      <c r="K33" s="1652">
        <f t="shared" si="32"/>
        <v>383007.42999999993</v>
      </c>
      <c r="L33" s="1681">
        <f t="shared" ref="L33:S33" si="33">SUM(L9:L32)</f>
        <v>26585.339999999997</v>
      </c>
      <c r="M33" s="1681">
        <f t="shared" si="33"/>
        <v>31526.48</v>
      </c>
      <c r="N33" s="1681">
        <f t="shared" si="33"/>
        <v>20574.25</v>
      </c>
      <c r="O33" s="1681">
        <f t="shared" si="33"/>
        <v>20681.219999999998</v>
      </c>
      <c r="P33" s="1681">
        <f t="shared" si="33"/>
        <v>278843.38</v>
      </c>
      <c r="Q33" s="1681">
        <f t="shared" si="33"/>
        <v>318819.63999999996</v>
      </c>
      <c r="R33" s="1681">
        <f t="shared" si="33"/>
        <v>3764918.5199999996</v>
      </c>
      <c r="S33" s="1681">
        <f t="shared" si="33"/>
        <v>3375841.330000001</v>
      </c>
      <c r="T33" s="1681">
        <f>SUM(T9:T32)</f>
        <v>82192.550000000017</v>
      </c>
      <c r="U33" s="1681">
        <f>SUM(U9:U32)</f>
        <v>71922.819999999992</v>
      </c>
      <c r="V33" s="1681">
        <f t="shared" ref="V33:BA33" si="34">SUM(V9:V32)</f>
        <v>4514444.9000000004</v>
      </c>
      <c r="W33" s="1681">
        <f t="shared" si="34"/>
        <v>4201798.92</v>
      </c>
      <c r="X33" s="1681">
        <f t="shared" si="34"/>
        <v>4132141.8600000003</v>
      </c>
      <c r="Y33" s="1652">
        <f t="shared" si="34"/>
        <v>115080.48</v>
      </c>
      <c r="Z33" s="1652">
        <f t="shared" si="34"/>
        <v>47264.800000000003</v>
      </c>
      <c r="AA33" s="1652">
        <f t="shared" si="34"/>
        <v>25690.000000000007</v>
      </c>
      <c r="AB33" s="1652">
        <f t="shared" si="34"/>
        <v>78519.49000000002</v>
      </c>
      <c r="AC33" s="1652">
        <f t="shared" si="34"/>
        <v>14128.220000000003</v>
      </c>
      <c r="AD33" s="1652">
        <f t="shared" si="34"/>
        <v>1000</v>
      </c>
      <c r="AE33" s="1652">
        <f t="shared" si="34"/>
        <v>69600</v>
      </c>
      <c r="AF33" s="1652">
        <f t="shared" si="34"/>
        <v>21521.67</v>
      </c>
      <c r="AG33" s="1652">
        <f t="shared" si="34"/>
        <v>3212.0399999999995</v>
      </c>
      <c r="AH33" s="1652">
        <f t="shared" si="34"/>
        <v>359466.03999999992</v>
      </c>
      <c r="AI33" s="1652">
        <f t="shared" si="34"/>
        <v>1034391.8100000003</v>
      </c>
      <c r="AJ33" s="1652">
        <f t="shared" si="34"/>
        <v>99886.25</v>
      </c>
      <c r="AK33" s="1652">
        <f t="shared" si="34"/>
        <v>9364.6</v>
      </c>
      <c r="AL33" s="1652">
        <f t="shared" si="34"/>
        <v>940583.05</v>
      </c>
      <c r="AM33" s="1652">
        <f t="shared" si="34"/>
        <v>0</v>
      </c>
      <c r="AN33" s="1652">
        <f t="shared" si="34"/>
        <v>2819708.45</v>
      </c>
      <c r="AO33" s="1682">
        <f t="shared" si="34"/>
        <v>8072.329999999999</v>
      </c>
      <c r="AP33" s="1682">
        <f t="shared" si="34"/>
        <v>5106.83</v>
      </c>
      <c r="AQ33" s="1682">
        <f t="shared" si="34"/>
        <v>661564.48</v>
      </c>
      <c r="AR33" s="1682">
        <f t="shared" si="34"/>
        <v>0</v>
      </c>
      <c r="AS33" s="1682">
        <f t="shared" si="34"/>
        <v>674743.64000000013</v>
      </c>
      <c r="AT33" s="1682">
        <f t="shared" si="34"/>
        <v>35201.100000000006</v>
      </c>
      <c r="AU33" s="1682">
        <f t="shared" si="34"/>
        <v>44224.620000000017</v>
      </c>
      <c r="AV33" s="1682">
        <f t="shared" si="34"/>
        <v>558264.05000000005</v>
      </c>
      <c r="AW33" s="1682">
        <f t="shared" si="34"/>
        <v>312645.97999999981</v>
      </c>
      <c r="AX33" s="654">
        <f t="shared" si="21"/>
        <v>93.07454212144664</v>
      </c>
      <c r="AY33" s="654">
        <f t="shared" si="22"/>
        <v>12.424388405521002</v>
      </c>
      <c r="AZ33" s="1682">
        <f t="shared" si="34"/>
        <v>312645.97999999981</v>
      </c>
      <c r="BA33" s="1682">
        <f t="shared" si="34"/>
        <v>309.30999999999995</v>
      </c>
      <c r="BB33" s="641"/>
    </row>
    <row r="34" spans="1:54" s="124" customFormat="1" x14ac:dyDescent="0.25">
      <c r="A34" s="13"/>
      <c r="B34" s="13"/>
      <c r="C34" s="417" t="s">
        <v>753</v>
      </c>
      <c r="D34" s="690"/>
      <c r="E34" s="1530">
        <f>H33-H25-H26-H27</f>
        <v>27445.26</v>
      </c>
      <c r="F34" s="691"/>
      <c r="G34" s="691"/>
      <c r="H34" s="692"/>
      <c r="I34" s="692"/>
      <c r="J34" s="692"/>
      <c r="K34" s="692"/>
      <c r="L34" s="1685" t="s">
        <v>180</v>
      </c>
      <c r="M34" s="1685"/>
      <c r="N34" s="1685" t="s">
        <v>180</v>
      </c>
      <c r="O34" s="1685"/>
      <c r="P34" s="1685" t="s">
        <v>180</v>
      </c>
      <c r="Q34" s="1685"/>
      <c r="R34" s="1685" t="s">
        <v>180</v>
      </c>
      <c r="S34" s="1685"/>
      <c r="T34" s="1685" t="s">
        <v>180</v>
      </c>
      <c r="U34" s="1685"/>
      <c r="V34" s="1686"/>
      <c r="W34" s="1686"/>
      <c r="X34" s="418" t="s">
        <v>180</v>
      </c>
      <c r="Y34" s="1819">
        <f>Y33+Z33+AA33</f>
        <v>188035.28</v>
      </c>
      <c r="Z34" s="420"/>
      <c r="AA34" s="420"/>
      <c r="AB34" s="420"/>
      <c r="AC34" s="420" t="s">
        <v>180</v>
      </c>
      <c r="AD34" s="420" t="s">
        <v>180</v>
      </c>
      <c r="AE34" s="421" t="s">
        <v>180</v>
      </c>
      <c r="AF34" s="421" t="s">
        <v>180</v>
      </c>
      <c r="AG34" s="421" t="s">
        <v>180</v>
      </c>
      <c r="AH34" s="419" t="s">
        <v>180</v>
      </c>
      <c r="AI34" s="419" t="s">
        <v>180</v>
      </c>
      <c r="AJ34" s="419" t="s">
        <v>180</v>
      </c>
      <c r="AK34" s="419" t="s">
        <v>180</v>
      </c>
      <c r="AL34" s="641" t="s">
        <v>180</v>
      </c>
      <c r="AM34" s="421"/>
      <c r="AN34" s="421" t="s">
        <v>180</v>
      </c>
      <c r="AO34" s="1527">
        <f>AO33+AP33</f>
        <v>13179.16</v>
      </c>
      <c r="AP34" s="294"/>
      <c r="AQ34" s="1529"/>
      <c r="AR34" s="614"/>
      <c r="AS34" s="614" t="s">
        <v>180</v>
      </c>
      <c r="AT34" s="614" t="s">
        <v>180</v>
      </c>
      <c r="AU34" s="614" t="s">
        <v>180</v>
      </c>
      <c r="AV34" s="1820" t="s">
        <v>180</v>
      </c>
      <c r="AW34" s="1820" t="s">
        <v>180</v>
      </c>
      <c r="AX34" s="1672"/>
      <c r="AY34" s="1672"/>
      <c r="AZ34" s="1672"/>
      <c r="BA34" s="1672"/>
      <c r="BB34" s="1672"/>
    </row>
    <row r="35" spans="1:54" s="124" customFormat="1" x14ac:dyDescent="0.25">
      <c r="A35" s="13"/>
      <c r="B35" s="13"/>
      <c r="C35" s="417" t="s">
        <v>752</v>
      </c>
      <c r="D35" s="690"/>
      <c r="E35" s="1528">
        <f>H9+H10+H11+H12+H13+H14+H15+H16+H17+H18+H19+H20+H21+H22+H23+H24+H28+H30+H32</f>
        <v>25679.26</v>
      </c>
      <c r="F35" s="691"/>
      <c r="G35" s="691"/>
      <c r="H35" s="692"/>
      <c r="I35" s="692"/>
      <c r="J35" s="692"/>
      <c r="K35" s="692"/>
      <c r="L35" s="692"/>
      <c r="M35" s="692"/>
      <c r="N35" s="692"/>
      <c r="O35" s="692"/>
      <c r="P35" s="692"/>
      <c r="Q35" s="692"/>
      <c r="R35" s="692"/>
      <c r="S35" s="692"/>
      <c r="T35" s="692"/>
      <c r="U35" s="692"/>
      <c r="V35" s="163"/>
      <c r="W35" s="163"/>
      <c r="X35" s="418"/>
      <c r="Y35" s="419" t="s">
        <v>180</v>
      </c>
      <c r="Z35" s="420"/>
      <c r="AA35" s="420"/>
      <c r="AB35" s="420"/>
      <c r="AC35" s="420"/>
      <c r="AD35" s="420"/>
      <c r="AE35" s="421"/>
      <c r="AF35" s="421"/>
      <c r="AG35" s="421"/>
      <c r="AH35" s="419"/>
      <c r="AI35" s="419"/>
      <c r="AJ35" s="419"/>
      <c r="AK35" s="419"/>
      <c r="AL35" s="421"/>
      <c r="AM35" s="421"/>
      <c r="AN35" s="421"/>
      <c r="AO35" s="49"/>
      <c r="AP35" s="294"/>
      <c r="AQ35" s="49"/>
      <c r="AR35" s="614"/>
      <c r="AS35" s="614"/>
      <c r="AT35" s="614"/>
      <c r="AU35" s="614"/>
      <c r="AV35" s="1672"/>
      <c r="AW35" s="1672"/>
      <c r="AX35" s="1672"/>
      <c r="AY35" s="1672"/>
      <c r="AZ35" s="1672"/>
      <c r="BA35" s="1672"/>
      <c r="BB35" s="1672"/>
    </row>
    <row r="36" spans="1:54" s="124" customFormat="1" x14ac:dyDescent="0.25">
      <c r="A36" s="13"/>
      <c r="B36" s="13"/>
      <c r="C36" s="417" t="s">
        <v>754</v>
      </c>
      <c r="D36" s="690"/>
      <c r="E36" s="1530">
        <f>H30+H31+H32</f>
        <v>3546.83</v>
      </c>
      <c r="F36" s="691"/>
      <c r="G36" s="691"/>
      <c r="H36" s="692"/>
      <c r="I36" s="692"/>
      <c r="J36" s="692"/>
      <c r="K36" s="692"/>
      <c r="L36" s="692"/>
      <c r="M36" s="692"/>
      <c r="N36" s="692"/>
      <c r="O36" s="692"/>
      <c r="P36" s="692"/>
      <c r="Q36" s="692"/>
      <c r="R36" s="692"/>
      <c r="S36" s="692"/>
      <c r="T36" s="692"/>
      <c r="U36" s="692"/>
      <c r="V36" s="163"/>
      <c r="W36" s="163"/>
      <c r="X36" s="418"/>
      <c r="Y36" s="419"/>
      <c r="Z36" s="420"/>
      <c r="AA36" s="420"/>
      <c r="AB36" s="420"/>
      <c r="AC36" s="420"/>
      <c r="AD36" s="420"/>
      <c r="AE36" s="421"/>
      <c r="AF36" s="421"/>
      <c r="AG36" s="421"/>
      <c r="AH36" s="419"/>
      <c r="AI36" s="419"/>
      <c r="AJ36" s="419"/>
      <c r="AK36" s="419"/>
      <c r="AL36" s="421"/>
      <c r="AM36" s="421"/>
      <c r="AN36" s="421"/>
      <c r="AO36" s="49"/>
      <c r="AP36" s="294"/>
      <c r="AQ36" s="49"/>
      <c r="AR36" s="614"/>
      <c r="AS36" s="614"/>
      <c r="AT36" s="614"/>
      <c r="AU36" s="614"/>
      <c r="AV36" s="1672"/>
      <c r="AW36" s="1672"/>
      <c r="AX36" s="1672"/>
      <c r="AY36" s="1672"/>
      <c r="AZ36" s="1672"/>
      <c r="BA36" s="1672"/>
      <c r="BB36" s="1672"/>
    </row>
    <row r="37" spans="1:54" s="124" customFormat="1" x14ac:dyDescent="0.25">
      <c r="A37" s="13"/>
      <c r="B37" s="13"/>
      <c r="C37" s="417"/>
      <c r="D37" s="690"/>
      <c r="E37" s="690"/>
      <c r="F37" s="691"/>
      <c r="G37" s="691"/>
      <c r="H37" s="692"/>
      <c r="I37" s="692"/>
      <c r="J37" s="692"/>
      <c r="K37" s="692"/>
      <c r="L37" s="692"/>
      <c r="M37" s="692"/>
      <c r="N37" s="692"/>
      <c r="O37" s="692"/>
      <c r="P37" s="692"/>
      <c r="Q37" s="692"/>
      <c r="R37" s="692"/>
      <c r="S37" s="692"/>
      <c r="T37" s="692"/>
      <c r="U37" s="692"/>
      <c r="V37" s="163"/>
      <c r="W37" s="163"/>
      <c r="X37" s="418"/>
      <c r="Y37" s="419"/>
      <c r="Z37" s="420"/>
      <c r="AA37" s="420"/>
      <c r="AB37" s="420"/>
      <c r="AC37" s="420"/>
      <c r="AD37" s="420"/>
      <c r="AE37" s="421"/>
      <c r="AF37" s="421"/>
      <c r="AG37" s="421"/>
      <c r="AH37" s="419"/>
      <c r="AI37" s="419"/>
      <c r="AJ37" s="419"/>
      <c r="AK37" s="419"/>
      <c r="AL37" s="421"/>
      <c r="AM37" s="421"/>
      <c r="AN37" s="421"/>
      <c r="AO37" s="49"/>
      <c r="AP37" s="294"/>
      <c r="AQ37" s="49"/>
      <c r="AR37" s="614"/>
      <c r="AS37" s="614"/>
      <c r="AT37" s="614"/>
      <c r="AU37" s="614"/>
      <c r="AV37" s="1672"/>
      <c r="AW37" s="1672"/>
      <c r="AX37" s="1672"/>
      <c r="AY37" s="1672"/>
      <c r="AZ37" s="1672"/>
      <c r="BA37" s="1672"/>
      <c r="BB37" s="1672"/>
    </row>
    <row r="38" spans="1:54" s="124" customFormat="1" x14ac:dyDescent="0.25">
      <c r="A38" s="13"/>
      <c r="B38" s="13"/>
      <c r="C38" s="417"/>
      <c r="D38" s="690"/>
      <c r="E38" s="690"/>
      <c r="F38" s="691"/>
      <c r="G38" s="691"/>
      <c r="H38" s="692"/>
      <c r="I38" s="692"/>
      <c r="J38" s="692"/>
      <c r="K38" s="692"/>
      <c r="L38" s="692"/>
      <c r="M38" s="692"/>
      <c r="N38" s="692"/>
      <c r="O38" s="692"/>
      <c r="P38" s="692"/>
      <c r="Q38" s="692"/>
      <c r="R38" s="692"/>
      <c r="S38" s="692"/>
      <c r="T38" s="692"/>
      <c r="U38" s="692"/>
      <c r="V38" s="163"/>
      <c r="W38" s="163"/>
      <c r="X38" s="418"/>
      <c r="Y38" s="419"/>
      <c r="Z38" s="420"/>
      <c r="AA38" s="420"/>
      <c r="AB38" s="420"/>
      <c r="AC38" s="420"/>
      <c r="AD38" s="420"/>
      <c r="AE38" s="421"/>
      <c r="AF38" s="421"/>
      <c r="AG38" s="421"/>
      <c r="AH38" s="419"/>
      <c r="AI38" s="419"/>
      <c r="AJ38" s="419"/>
      <c r="AK38" s="419"/>
      <c r="AL38" s="421"/>
      <c r="AM38" s="421"/>
      <c r="AN38" s="421"/>
      <c r="AO38" s="49"/>
      <c r="AP38" s="294"/>
      <c r="AQ38" s="49"/>
      <c r="AR38" s="614"/>
      <c r="AS38" s="614"/>
      <c r="AT38" s="614"/>
      <c r="AU38" s="614"/>
      <c r="AV38" s="1672"/>
      <c r="AW38" s="1672"/>
      <c r="AX38" s="1672"/>
      <c r="AY38" s="1672"/>
      <c r="AZ38" s="1672"/>
      <c r="BA38" s="1672"/>
      <c r="BB38" s="1672"/>
    </row>
    <row r="39" spans="1:54" s="124" customFormat="1" x14ac:dyDescent="0.25">
      <c r="A39" s="13"/>
      <c r="B39" s="13"/>
      <c r="C39" s="417" t="s">
        <v>803</v>
      </c>
      <c r="D39" s="690"/>
      <c r="E39" s="690"/>
      <c r="F39" s="691"/>
      <c r="G39" s="691"/>
      <c r="H39" s="692"/>
      <c r="I39" s="692"/>
      <c r="J39" s="692"/>
      <c r="K39" s="692"/>
      <c r="L39" s="692"/>
      <c r="M39" s="692"/>
      <c r="N39" s="692"/>
      <c r="O39" s="692"/>
      <c r="P39" s="692"/>
      <c r="Q39" s="692"/>
      <c r="R39" s="692"/>
      <c r="S39" s="692"/>
      <c r="T39" s="692"/>
      <c r="U39" s="692"/>
      <c r="V39" s="163"/>
      <c r="W39" s="163"/>
      <c r="X39" s="418"/>
      <c r="Y39" s="419"/>
      <c r="Z39" s="420"/>
      <c r="AA39" s="420"/>
      <c r="AB39" s="420"/>
      <c r="AC39" s="420"/>
      <c r="AD39" s="420"/>
      <c r="AE39" s="421"/>
      <c r="AF39" s="421"/>
      <c r="AG39" s="421"/>
      <c r="AH39" s="419"/>
      <c r="AI39" s="419"/>
      <c r="AJ39" s="419"/>
      <c r="AK39" s="419"/>
      <c r="AL39" s="421"/>
      <c r="AM39" s="421"/>
      <c r="AN39" s="421"/>
      <c r="AO39" s="49"/>
      <c r="AP39" s="294"/>
      <c r="AQ39" s="49"/>
      <c r="AR39" s="614"/>
      <c r="AS39" s="614"/>
      <c r="AT39" s="614"/>
      <c r="AU39" s="614"/>
      <c r="AV39" s="1672"/>
      <c r="AW39" s="1672"/>
      <c r="AX39" s="1672"/>
      <c r="AY39" s="1672"/>
      <c r="AZ39" s="1672"/>
      <c r="BA39" s="1672"/>
      <c r="BB39" s="1672"/>
    </row>
    <row r="40" spans="1:54" s="124" customFormat="1" x14ac:dyDescent="0.25">
      <c r="A40" s="13"/>
      <c r="B40" s="13"/>
      <c r="C40" s="417"/>
      <c r="D40" s="690"/>
      <c r="E40" s="690"/>
      <c r="F40" s="691"/>
      <c r="G40" s="691"/>
      <c r="H40" s="692"/>
      <c r="I40" s="692"/>
      <c r="J40" s="692"/>
      <c r="K40" s="692"/>
      <c r="L40" s="692"/>
      <c r="M40" s="692"/>
      <c r="N40" s="692"/>
      <c r="O40" s="692"/>
      <c r="P40" s="692"/>
      <c r="Q40" s="692"/>
      <c r="R40" s="692"/>
      <c r="S40" s="692"/>
      <c r="T40" s="692"/>
      <c r="U40" s="692"/>
      <c r="V40" s="163"/>
      <c r="W40" s="163"/>
      <c r="X40" s="418"/>
      <c r="Y40" s="419"/>
      <c r="Z40" s="420"/>
      <c r="AA40" s="420"/>
      <c r="AB40" s="420"/>
      <c r="AC40" s="420"/>
      <c r="AD40" s="420"/>
      <c r="AE40" s="421"/>
      <c r="AF40" s="421"/>
      <c r="AG40" s="421"/>
      <c r="AH40" s="419"/>
      <c r="AI40" s="419"/>
      <c r="AJ40" s="419"/>
      <c r="AK40" s="419"/>
      <c r="AL40" s="421"/>
      <c r="AM40" s="421"/>
      <c r="AN40" s="421"/>
      <c r="AO40" s="49"/>
      <c r="AP40" s="294"/>
      <c r="AQ40" s="49"/>
      <c r="AR40" s="614"/>
      <c r="AS40" s="614"/>
      <c r="AT40" s="614"/>
      <c r="AU40" s="614"/>
      <c r="AV40" s="1672"/>
      <c r="AW40" s="1672"/>
      <c r="AX40" s="1672"/>
      <c r="AY40" s="1672"/>
      <c r="AZ40" s="1672"/>
      <c r="BA40" s="1672"/>
      <c r="BB40" s="1672"/>
    </row>
    <row r="41" spans="1:54" s="124" customFormat="1" x14ac:dyDescent="0.25">
      <c r="A41" s="13"/>
      <c r="B41" s="13"/>
      <c r="C41" s="417"/>
      <c r="D41" s="690"/>
      <c r="E41" s="690"/>
      <c r="F41" s="691"/>
      <c r="G41" s="691"/>
      <c r="H41" s="692"/>
      <c r="I41" s="692"/>
      <c r="J41" s="692"/>
      <c r="K41" s="692"/>
      <c r="L41" s="692"/>
      <c r="M41" s="692"/>
      <c r="N41" s="692"/>
      <c r="O41" s="692"/>
      <c r="P41" s="692"/>
      <c r="Q41" s="692"/>
      <c r="R41" s="692"/>
      <c r="S41" s="692"/>
      <c r="T41" s="692"/>
      <c r="U41" s="692"/>
      <c r="V41" s="163"/>
      <c r="W41" s="163"/>
      <c r="X41" s="418"/>
      <c r="Y41" s="419"/>
      <c r="Z41" s="420"/>
      <c r="AA41" s="420"/>
      <c r="AB41" s="420"/>
      <c r="AC41" s="420"/>
      <c r="AD41" s="420"/>
      <c r="AE41" s="421"/>
      <c r="AF41" s="421"/>
      <c r="AG41" s="421"/>
      <c r="AH41" s="419"/>
      <c r="AI41" s="419"/>
      <c r="AJ41" s="419"/>
      <c r="AK41" s="419"/>
      <c r="AL41" s="421"/>
      <c r="AM41" s="421"/>
      <c r="AN41" s="421"/>
      <c r="AO41" s="49"/>
      <c r="AP41" s="294"/>
      <c r="AQ41" s="49"/>
      <c r="AR41" s="614"/>
      <c r="AS41" s="614"/>
      <c r="AT41" s="614"/>
      <c r="AU41" s="614"/>
      <c r="AV41" s="1672"/>
      <c r="AW41" s="1672"/>
      <c r="AX41" s="1672"/>
      <c r="AY41" s="1672"/>
      <c r="AZ41" s="1672"/>
      <c r="BA41" s="1672"/>
      <c r="BB41" s="1672"/>
    </row>
    <row r="42" spans="1:54" s="124" customFormat="1" x14ac:dyDescent="0.25">
      <c r="A42" s="13"/>
      <c r="B42" s="13"/>
      <c r="C42" s="417"/>
      <c r="D42" s="690"/>
      <c r="E42" s="690"/>
      <c r="F42" s="691"/>
      <c r="G42" s="691"/>
      <c r="H42" s="692"/>
      <c r="I42" s="692"/>
      <c r="J42" s="692"/>
      <c r="K42" s="692"/>
      <c r="L42" s="692"/>
      <c r="M42" s="692"/>
      <c r="N42" s="692"/>
      <c r="O42" s="692"/>
      <c r="P42" s="692"/>
      <c r="Q42" s="692"/>
      <c r="R42" s="692"/>
      <c r="S42" s="692"/>
      <c r="T42" s="692"/>
      <c r="U42" s="692"/>
      <c r="V42" s="163"/>
      <c r="W42" s="163"/>
      <c r="X42" s="418"/>
      <c r="Y42" s="419"/>
      <c r="Z42" s="420"/>
      <c r="AA42" s="420"/>
      <c r="AB42" s="420"/>
      <c r="AC42" s="420"/>
      <c r="AD42" s="420"/>
      <c r="AE42" s="421"/>
      <c r="AF42" s="421"/>
      <c r="AG42" s="421"/>
      <c r="AH42" s="419"/>
      <c r="AI42" s="419"/>
      <c r="AJ42" s="419"/>
      <c r="AK42" s="419"/>
      <c r="AL42" s="421"/>
      <c r="AM42" s="421"/>
      <c r="AN42" s="421"/>
      <c r="AO42" s="49"/>
      <c r="AP42" s="294"/>
      <c r="AQ42" s="49"/>
      <c r="AR42" s="614"/>
      <c r="AS42" s="614"/>
      <c r="AT42" s="614"/>
      <c r="AU42" s="614"/>
      <c r="AV42" s="1672"/>
      <c r="AW42" s="1672"/>
      <c r="AX42" s="1672"/>
      <c r="AY42" s="1672"/>
      <c r="AZ42" s="1672"/>
      <c r="BA42" s="1672"/>
      <c r="BB42" s="1672"/>
    </row>
    <row r="43" spans="1:54" s="124" customFormat="1" x14ac:dyDescent="0.25">
      <c r="A43" s="13"/>
      <c r="B43" s="13"/>
      <c r="C43" s="417"/>
      <c r="D43" s="690"/>
      <c r="E43" s="690"/>
      <c r="F43" s="691"/>
      <c r="G43" s="691"/>
      <c r="H43" s="692"/>
      <c r="I43" s="692"/>
      <c r="J43" s="692"/>
      <c r="K43" s="692"/>
      <c r="L43" s="692"/>
      <c r="M43" s="692"/>
      <c r="N43" s="692"/>
      <c r="O43" s="692"/>
      <c r="P43" s="692"/>
      <c r="Q43" s="692"/>
      <c r="R43" s="692"/>
      <c r="S43" s="692"/>
      <c r="T43" s="692"/>
      <c r="U43" s="692"/>
      <c r="V43" s="163"/>
      <c r="W43" s="163"/>
      <c r="X43" s="418"/>
      <c r="Y43" s="419"/>
      <c r="Z43" s="420"/>
      <c r="AA43" s="420"/>
      <c r="AB43" s="420"/>
      <c r="AC43" s="420"/>
      <c r="AD43" s="420"/>
      <c r="AE43" s="421"/>
      <c r="AF43" s="421"/>
      <c r="AG43" s="421"/>
      <c r="AH43" s="419"/>
      <c r="AI43" s="419"/>
      <c r="AJ43" s="419"/>
      <c r="AK43" s="419"/>
      <c r="AL43" s="421"/>
      <c r="AM43" s="421"/>
      <c r="AN43" s="421"/>
      <c r="AO43" s="49"/>
      <c r="AP43" s="294"/>
      <c r="AQ43" s="49"/>
      <c r="AR43" s="614"/>
      <c r="AS43" s="1950"/>
      <c r="AT43" s="1950"/>
      <c r="AU43" s="1950"/>
      <c r="AV43" s="1950"/>
      <c r="AW43" s="1950"/>
      <c r="AX43" s="1950"/>
      <c r="AY43" s="1950"/>
      <c r="AZ43" s="1950"/>
      <c r="BA43" s="1672"/>
      <c r="BB43" s="1672"/>
    </row>
    <row r="44" spans="1:54" s="124" customFormat="1" ht="20.25" customHeight="1" x14ac:dyDescent="0.25">
      <c r="A44" s="2017" t="s">
        <v>0</v>
      </c>
      <c r="B44" s="2020"/>
      <c r="C44" s="2017" t="s">
        <v>184</v>
      </c>
      <c r="D44" s="2163" t="s">
        <v>54</v>
      </c>
      <c r="E44" s="2163" t="s">
        <v>55</v>
      </c>
      <c r="F44" s="2163" t="s">
        <v>56</v>
      </c>
      <c r="G44" s="2163" t="s">
        <v>57</v>
      </c>
      <c r="H44" s="2163" t="s">
        <v>6</v>
      </c>
      <c r="I44" s="2228" t="s">
        <v>282</v>
      </c>
      <c r="J44" s="1821"/>
      <c r="K44" s="1821"/>
      <c r="L44" s="1991" t="s">
        <v>284</v>
      </c>
      <c r="M44" s="1992"/>
      <c r="N44" s="2041" t="s">
        <v>457</v>
      </c>
      <c r="O44" s="2147" t="s">
        <v>926</v>
      </c>
      <c r="P44" s="2179" t="s">
        <v>375</v>
      </c>
      <c r="Q44" s="2179" t="s">
        <v>606</v>
      </c>
      <c r="R44" s="2179" t="s">
        <v>314</v>
      </c>
      <c r="S44" s="2179" t="s">
        <v>860</v>
      </c>
      <c r="T44" s="2041" t="s">
        <v>909</v>
      </c>
      <c r="U44" s="2134" t="s">
        <v>890</v>
      </c>
      <c r="V44" s="2043" t="s">
        <v>895</v>
      </c>
      <c r="W44" s="2043" t="s">
        <v>927</v>
      </c>
      <c r="X44" s="2045" t="s">
        <v>372</v>
      </c>
      <c r="Y44" s="2041" t="s">
        <v>640</v>
      </c>
      <c r="Z44" s="2041" t="s">
        <v>928</v>
      </c>
      <c r="AA44" s="2041" t="s">
        <v>929</v>
      </c>
      <c r="AB44" s="2041" t="s">
        <v>930</v>
      </c>
      <c r="AC44" s="2041" t="s">
        <v>735</v>
      </c>
      <c r="AD44" s="2134" t="s">
        <v>724</v>
      </c>
      <c r="AE44" s="2043" t="s">
        <v>846</v>
      </c>
      <c r="AF44" s="2045" t="s">
        <v>931</v>
      </c>
      <c r="AG44" s="1927"/>
      <c r="AH44" s="1927"/>
      <c r="AI44" s="1927"/>
      <c r="AJ44" s="1927"/>
      <c r="AK44" s="1927"/>
      <c r="AL44" s="1927"/>
      <c r="AM44" s="1927"/>
      <c r="AN44" s="1920"/>
      <c r="AO44" s="1918"/>
      <c r="AP44" s="1928"/>
      <c r="AQ44" s="1929"/>
      <c r="AR44" s="1930"/>
      <c r="AS44" s="403"/>
      <c r="AT44" s="403"/>
      <c r="AU44" s="403"/>
      <c r="AV44" s="403"/>
      <c r="AW44" s="403"/>
      <c r="AX44" s="403"/>
      <c r="AY44" s="403"/>
      <c r="AZ44" s="403"/>
    </row>
    <row r="45" spans="1:54" s="124" customFormat="1" ht="52.5" customHeight="1" x14ac:dyDescent="0.25">
      <c r="A45" s="2017"/>
      <c r="B45" s="2021"/>
      <c r="C45" s="2017"/>
      <c r="D45" s="2163"/>
      <c r="E45" s="2163"/>
      <c r="F45" s="2163"/>
      <c r="G45" s="2163"/>
      <c r="H45" s="2163"/>
      <c r="I45" s="2229"/>
      <c r="J45" s="1822"/>
      <c r="K45" s="1822"/>
      <c r="L45" s="150" t="s">
        <v>15</v>
      </c>
      <c r="M45" s="1671" t="s">
        <v>16</v>
      </c>
      <c r="N45" s="2042"/>
      <c r="O45" s="2147"/>
      <c r="P45" s="2180"/>
      <c r="Q45" s="2180"/>
      <c r="R45" s="2180"/>
      <c r="S45" s="2180"/>
      <c r="T45" s="2042"/>
      <c r="U45" s="2135"/>
      <c r="V45" s="2044"/>
      <c r="W45" s="2044"/>
      <c r="X45" s="2046"/>
      <c r="Y45" s="2042"/>
      <c r="Z45" s="2042"/>
      <c r="AA45" s="2042"/>
      <c r="AB45" s="2042"/>
      <c r="AC45" s="2042"/>
      <c r="AD45" s="2135"/>
      <c r="AE45" s="2044"/>
      <c r="AF45" s="2046"/>
      <c r="AG45" s="1931"/>
      <c r="AH45" s="1932"/>
      <c r="AI45" s="1932"/>
      <c r="AJ45" s="1932"/>
      <c r="AK45" s="1931"/>
      <c r="AL45" s="1931"/>
      <c r="AM45" s="1931"/>
      <c r="AN45" s="1919"/>
      <c r="AO45" s="1919"/>
      <c r="AP45" s="1933"/>
      <c r="AQ45" s="1934"/>
      <c r="AR45" s="1935"/>
      <c r="AS45" s="403"/>
      <c r="AT45" s="403"/>
      <c r="AU45" s="403"/>
      <c r="AV45" s="403"/>
      <c r="AW45" s="403"/>
      <c r="AX45" s="403"/>
      <c r="AY45" s="403"/>
      <c r="AZ45" s="403"/>
    </row>
    <row r="46" spans="1:54" s="124" customFormat="1" x14ac:dyDescent="0.25">
      <c r="A46" s="112">
        <v>1</v>
      </c>
      <c r="B46" s="112"/>
      <c r="C46" s="422" t="s">
        <v>210</v>
      </c>
      <c r="D46" s="671">
        <v>1975</v>
      </c>
      <c r="E46" s="671">
        <v>2</v>
      </c>
      <c r="F46" s="671">
        <v>18</v>
      </c>
      <c r="G46" s="672">
        <v>60</v>
      </c>
      <c r="H46" s="673">
        <v>783.27</v>
      </c>
      <c r="I46" s="674">
        <v>85.12</v>
      </c>
      <c r="J46" s="1823"/>
      <c r="K46" s="1823"/>
      <c r="L46" s="674">
        <v>22337.82</v>
      </c>
      <c r="M46" s="674">
        <v>21416.77</v>
      </c>
      <c r="N46" s="626">
        <f>O46+P46+Q46+R46+S46+T46+U46+V46+W46+X46+Y46+Z46+AA46+AB46</f>
        <v>17993.29</v>
      </c>
      <c r="O46" s="674"/>
      <c r="P46" s="674"/>
      <c r="Q46" s="674"/>
      <c r="R46" s="674">
        <v>8208.26</v>
      </c>
      <c r="S46" s="674"/>
      <c r="T46" s="626">
        <v>9135</v>
      </c>
      <c r="U46" s="626">
        <v>650.03</v>
      </c>
      <c r="V46" s="626"/>
      <c r="W46" s="626"/>
      <c r="X46" s="524"/>
      <c r="Y46" s="622"/>
      <c r="Z46" s="623"/>
      <c r="AA46" s="623"/>
      <c r="AB46" s="623"/>
      <c r="AC46" s="623">
        <f>L46-N46</f>
        <v>4344.5299999999988</v>
      </c>
      <c r="AD46" s="623">
        <f>M46/L46*100</f>
        <v>95.876723870100136</v>
      </c>
      <c r="AE46" s="623">
        <f>L46-M46</f>
        <v>921.04999999999927</v>
      </c>
      <c r="AF46" s="623">
        <v>2.88</v>
      </c>
      <c r="AG46" s="1936"/>
      <c r="AH46" s="1936"/>
      <c r="AI46" s="1936"/>
      <c r="AJ46" s="1936"/>
      <c r="AK46" s="1936"/>
      <c r="AL46" s="1936"/>
      <c r="AM46" s="1936"/>
      <c r="AN46" s="1936"/>
      <c r="AO46" s="1937"/>
      <c r="AP46" s="1938"/>
      <c r="AQ46" s="1937"/>
      <c r="AR46" s="1510"/>
      <c r="AS46" s="403"/>
      <c r="AT46" s="403"/>
      <c r="AU46" s="403"/>
      <c r="AV46" s="403"/>
      <c r="AW46" s="403"/>
      <c r="AX46" s="403"/>
      <c r="AY46" s="403"/>
      <c r="AZ46" s="403"/>
    </row>
    <row r="47" spans="1:54" s="124" customFormat="1" x14ac:dyDescent="0.25">
      <c r="A47" s="13">
        <v>2</v>
      </c>
      <c r="B47" s="13"/>
      <c r="C47" s="422" t="s">
        <v>211</v>
      </c>
      <c r="D47" s="675">
        <v>1975</v>
      </c>
      <c r="E47" s="675">
        <v>2</v>
      </c>
      <c r="F47" s="675">
        <v>18</v>
      </c>
      <c r="G47" s="672">
        <v>52</v>
      </c>
      <c r="H47" s="676">
        <v>784.97</v>
      </c>
      <c r="I47" s="677">
        <v>85.12</v>
      </c>
      <c r="J47" s="1824"/>
      <c r="K47" s="1824"/>
      <c r="L47" s="677">
        <v>22324.62</v>
      </c>
      <c r="M47" s="677">
        <v>21739.27</v>
      </c>
      <c r="N47" s="626">
        <f t="shared" ref="N47:N66" si="35">O47+P47+Q47+R47+S47+T47+U47+V47+W47+X47+Y47+Z47+AA47+AB47</f>
        <v>8568.9500000000007</v>
      </c>
      <c r="O47" s="677"/>
      <c r="P47" s="677"/>
      <c r="Q47" s="677"/>
      <c r="R47" s="677">
        <v>8078.92</v>
      </c>
      <c r="S47" s="677"/>
      <c r="T47" s="626"/>
      <c r="U47" s="626">
        <v>490.03</v>
      </c>
      <c r="V47" s="626"/>
      <c r="W47" s="626"/>
      <c r="X47" s="524"/>
      <c r="Y47" s="622"/>
      <c r="Z47" s="623"/>
      <c r="AA47" s="623"/>
      <c r="AB47" s="623"/>
      <c r="AC47" s="623">
        <f t="shared" ref="AC47:AC66" si="36">L47-N47</f>
        <v>13755.669999999998</v>
      </c>
      <c r="AD47" s="623">
        <f t="shared" ref="AD47:AD67" si="37">M47/L47*100</f>
        <v>97.37800688208803</v>
      </c>
      <c r="AE47" s="623">
        <f t="shared" ref="AE47:AE66" si="38">L47-M47</f>
        <v>585.34999999999854</v>
      </c>
      <c r="AF47" s="623">
        <v>2.87</v>
      </c>
      <c r="AG47" s="1936"/>
      <c r="AH47" s="1936"/>
      <c r="AI47" s="1936"/>
      <c r="AJ47" s="1936"/>
      <c r="AK47" s="1936"/>
      <c r="AL47" s="1936"/>
      <c r="AM47" s="1936"/>
      <c r="AN47" s="1936"/>
      <c r="AO47" s="1937"/>
      <c r="AP47" s="1938"/>
      <c r="AQ47" s="1937"/>
      <c r="AR47" s="1510"/>
      <c r="AS47" s="403"/>
      <c r="AT47" s="403"/>
      <c r="AU47" s="403"/>
      <c r="AV47" s="403"/>
      <c r="AW47" s="403"/>
      <c r="AX47" s="403"/>
      <c r="AY47" s="403"/>
      <c r="AZ47" s="403"/>
    </row>
    <row r="48" spans="1:54" s="124" customFormat="1" x14ac:dyDescent="0.25">
      <c r="A48" s="13">
        <v>3</v>
      </c>
      <c r="B48" s="13"/>
      <c r="C48" s="422" t="s">
        <v>212</v>
      </c>
      <c r="D48" s="675">
        <v>1975</v>
      </c>
      <c r="E48" s="675">
        <v>2</v>
      </c>
      <c r="F48" s="675">
        <v>18</v>
      </c>
      <c r="G48" s="679">
        <v>58</v>
      </c>
      <c r="H48" s="677">
        <v>788.23</v>
      </c>
      <c r="I48" s="677">
        <v>86.42</v>
      </c>
      <c r="J48" s="1824"/>
      <c r="K48" s="1824"/>
      <c r="L48" s="677">
        <v>22417.5</v>
      </c>
      <c r="M48" s="677">
        <v>22041.01</v>
      </c>
      <c r="N48" s="626">
        <f t="shared" si="35"/>
        <v>16708.150000000001</v>
      </c>
      <c r="O48" s="677"/>
      <c r="P48" s="677"/>
      <c r="Q48" s="677"/>
      <c r="R48" s="677">
        <v>4657.3999999999996</v>
      </c>
      <c r="S48" s="677"/>
      <c r="T48" s="626"/>
      <c r="U48" s="626">
        <v>302.60000000000002</v>
      </c>
      <c r="V48" s="626">
        <v>11748.15</v>
      </c>
      <c r="W48" s="626"/>
      <c r="X48" s="524"/>
      <c r="Y48" s="622"/>
      <c r="Z48" s="623"/>
      <c r="AA48" s="623"/>
      <c r="AB48" s="623"/>
      <c r="AC48" s="623">
        <f t="shared" si="36"/>
        <v>5709.3499999999985</v>
      </c>
      <c r="AD48" s="623">
        <f t="shared" si="37"/>
        <v>98.320553139288492</v>
      </c>
      <c r="AE48" s="623">
        <f t="shared" si="38"/>
        <v>376.4900000000016</v>
      </c>
      <c r="AF48" s="623">
        <v>2.87</v>
      </c>
      <c r="AG48" s="1936"/>
      <c r="AH48" s="1936"/>
      <c r="AI48" s="1936"/>
      <c r="AJ48" s="1936"/>
      <c r="AK48" s="1936"/>
      <c r="AL48" s="1936"/>
      <c r="AM48" s="1936"/>
      <c r="AN48" s="1936"/>
      <c r="AO48" s="1937"/>
      <c r="AP48" s="1938"/>
      <c r="AQ48" s="1937"/>
      <c r="AR48" s="1510"/>
      <c r="AS48" s="403"/>
      <c r="AT48" s="403"/>
      <c r="AU48" s="403"/>
      <c r="AV48" s="403"/>
      <c r="AW48" s="403"/>
      <c r="AX48" s="403"/>
      <c r="AY48" s="403"/>
      <c r="AZ48" s="403"/>
    </row>
    <row r="49" spans="1:52" s="124" customFormat="1" x14ac:dyDescent="0.25">
      <c r="A49" s="13">
        <v>4</v>
      </c>
      <c r="B49" s="13"/>
      <c r="C49" s="422" t="s">
        <v>213</v>
      </c>
      <c r="D49" s="675">
        <v>1975</v>
      </c>
      <c r="E49" s="675">
        <v>2</v>
      </c>
      <c r="F49" s="675">
        <v>18</v>
      </c>
      <c r="G49" s="680">
        <v>42</v>
      </c>
      <c r="H49" s="677">
        <v>789.57</v>
      </c>
      <c r="I49" s="677">
        <v>86.42</v>
      </c>
      <c r="J49" s="1824"/>
      <c r="K49" s="1824"/>
      <c r="L49" s="677">
        <v>28898.7</v>
      </c>
      <c r="M49" s="677">
        <v>27670.59</v>
      </c>
      <c r="N49" s="626">
        <f t="shared" si="35"/>
        <v>17045.02</v>
      </c>
      <c r="O49" s="677"/>
      <c r="P49" s="677"/>
      <c r="Q49" s="677"/>
      <c r="R49" s="677">
        <v>12221.17</v>
      </c>
      <c r="S49" s="677"/>
      <c r="T49" s="626"/>
      <c r="U49" s="626">
        <v>4823.8500000000004</v>
      </c>
      <c r="V49" s="626"/>
      <c r="W49" s="626"/>
      <c r="X49" s="524"/>
      <c r="Y49" s="622"/>
      <c r="Z49" s="623"/>
      <c r="AA49" s="623"/>
      <c r="AB49" s="623"/>
      <c r="AC49" s="623">
        <f t="shared" si="36"/>
        <v>11853.68</v>
      </c>
      <c r="AD49" s="623">
        <f t="shared" si="37"/>
        <v>95.75029326578705</v>
      </c>
      <c r="AE49" s="623">
        <f t="shared" si="38"/>
        <v>1228.1100000000006</v>
      </c>
      <c r="AF49" s="623">
        <v>3.55</v>
      </c>
      <c r="AG49" s="1936"/>
      <c r="AH49" s="1936"/>
      <c r="AI49" s="1936"/>
      <c r="AJ49" s="1936"/>
      <c r="AK49" s="1936"/>
      <c r="AL49" s="1936"/>
      <c r="AM49" s="1936"/>
      <c r="AN49" s="1936"/>
      <c r="AO49" s="1937"/>
      <c r="AP49" s="1938"/>
      <c r="AQ49" s="1937"/>
      <c r="AR49" s="1510"/>
      <c r="AS49" s="403"/>
      <c r="AT49" s="403"/>
      <c r="AU49" s="403"/>
      <c r="AV49" s="403"/>
      <c r="AW49" s="403"/>
      <c r="AX49" s="403"/>
      <c r="AY49" s="403"/>
      <c r="AZ49" s="403"/>
    </row>
    <row r="50" spans="1:52" s="124" customFormat="1" ht="17.25" customHeight="1" x14ac:dyDescent="0.25">
      <c r="A50" s="13">
        <v>5</v>
      </c>
      <c r="B50" s="13"/>
      <c r="C50" s="422" t="s">
        <v>214</v>
      </c>
      <c r="D50" s="675">
        <v>1975</v>
      </c>
      <c r="E50" s="675">
        <v>5</v>
      </c>
      <c r="F50" s="675">
        <v>90</v>
      </c>
      <c r="G50" s="679">
        <v>268</v>
      </c>
      <c r="H50" s="677">
        <v>4496.09</v>
      </c>
      <c r="I50" s="677">
        <v>423.6</v>
      </c>
      <c r="J50" s="1824"/>
      <c r="K50" s="1824"/>
      <c r="L50" s="677">
        <v>157512.15</v>
      </c>
      <c r="M50" s="677">
        <v>143308.68</v>
      </c>
      <c r="N50" s="626">
        <f t="shared" si="35"/>
        <v>28141</v>
      </c>
      <c r="O50" s="677"/>
      <c r="P50" s="677"/>
      <c r="Q50" s="677"/>
      <c r="R50" s="677">
        <v>18627.2</v>
      </c>
      <c r="S50" s="677"/>
      <c r="T50" s="626"/>
      <c r="U50" s="626"/>
      <c r="V50" s="626">
        <v>8383.7999999999993</v>
      </c>
      <c r="W50" s="626">
        <v>1130</v>
      </c>
      <c r="X50" s="524"/>
      <c r="Y50" s="622"/>
      <c r="Z50" s="623"/>
      <c r="AA50" s="623"/>
      <c r="AB50" s="623"/>
      <c r="AC50" s="623">
        <f t="shared" si="36"/>
        <v>129371.15</v>
      </c>
      <c r="AD50" s="623">
        <f t="shared" si="37"/>
        <v>90.982619436024464</v>
      </c>
      <c r="AE50" s="623">
        <f t="shared" si="38"/>
        <v>14203.470000000001</v>
      </c>
      <c r="AF50" s="623">
        <v>3.42</v>
      </c>
      <c r="AG50" s="1936"/>
      <c r="AH50" s="1936"/>
      <c r="AI50" s="1936"/>
      <c r="AJ50" s="1936"/>
      <c r="AK50" s="1936"/>
      <c r="AL50" s="1936"/>
      <c r="AM50" s="1936"/>
      <c r="AN50" s="1936"/>
      <c r="AO50" s="1937"/>
      <c r="AP50" s="1938"/>
      <c r="AQ50" s="1937"/>
      <c r="AR50" s="1510"/>
      <c r="AS50" s="403"/>
      <c r="AT50" s="403"/>
      <c r="AU50" s="403"/>
      <c r="AV50" s="403"/>
      <c r="AW50" s="403"/>
      <c r="AX50" s="403"/>
      <c r="AY50" s="403"/>
      <c r="AZ50" s="403"/>
    </row>
    <row r="51" spans="1:52" s="124" customFormat="1" x14ac:dyDescent="0.25">
      <c r="A51" s="13">
        <v>6</v>
      </c>
      <c r="B51" s="13"/>
      <c r="C51" s="422" t="s">
        <v>215</v>
      </c>
      <c r="D51" s="675">
        <v>1963</v>
      </c>
      <c r="E51" s="675">
        <v>2</v>
      </c>
      <c r="F51" s="675">
        <v>12</v>
      </c>
      <c r="G51" s="680">
        <v>39</v>
      </c>
      <c r="H51" s="677">
        <v>515.1</v>
      </c>
      <c r="I51" s="677">
        <v>49.6</v>
      </c>
      <c r="J51" s="1824"/>
      <c r="K51" s="1824"/>
      <c r="L51" s="677">
        <v>14463.84</v>
      </c>
      <c r="M51" s="677">
        <v>10858.88</v>
      </c>
      <c r="N51" s="626">
        <f t="shared" si="35"/>
        <v>897.02</v>
      </c>
      <c r="O51" s="677"/>
      <c r="P51" s="677"/>
      <c r="Q51" s="677"/>
      <c r="R51" s="677"/>
      <c r="S51" s="677"/>
      <c r="T51" s="626"/>
      <c r="U51" s="626"/>
      <c r="V51" s="626">
        <v>516.21</v>
      </c>
      <c r="W51" s="626"/>
      <c r="X51" s="524"/>
      <c r="Y51" s="622"/>
      <c r="Z51" s="623"/>
      <c r="AA51" s="623">
        <v>380.81</v>
      </c>
      <c r="AB51" s="623"/>
      <c r="AC51" s="623">
        <f t="shared" si="36"/>
        <v>13566.82</v>
      </c>
      <c r="AD51" s="623">
        <f t="shared" si="37"/>
        <v>75.076051726235903</v>
      </c>
      <c r="AE51" s="623">
        <f t="shared" si="38"/>
        <v>3604.9600000000009</v>
      </c>
      <c r="AF51" s="623">
        <v>2.84</v>
      </c>
      <c r="AG51" s="1936"/>
      <c r="AH51" s="1936"/>
      <c r="AI51" s="1936"/>
      <c r="AJ51" s="1936"/>
      <c r="AK51" s="1936"/>
      <c r="AL51" s="1936"/>
      <c r="AM51" s="1936"/>
      <c r="AN51" s="1936"/>
      <c r="AO51" s="1937"/>
      <c r="AP51" s="1938"/>
      <c r="AQ51" s="1937"/>
      <c r="AR51" s="1510"/>
      <c r="AS51" s="403"/>
      <c r="AT51" s="403"/>
      <c r="AU51" s="403"/>
      <c r="AV51" s="403"/>
      <c r="AW51" s="403"/>
      <c r="AX51" s="403"/>
      <c r="AY51" s="403"/>
      <c r="AZ51" s="403"/>
    </row>
    <row r="52" spans="1:52" s="124" customFormat="1" x14ac:dyDescent="0.25">
      <c r="A52" s="13">
        <v>7</v>
      </c>
      <c r="B52" s="13"/>
      <c r="C52" s="422" t="s">
        <v>216</v>
      </c>
      <c r="D52" s="675">
        <v>1963</v>
      </c>
      <c r="E52" s="675">
        <v>2</v>
      </c>
      <c r="F52" s="675">
        <v>16</v>
      </c>
      <c r="G52" s="679">
        <v>43</v>
      </c>
      <c r="H52" s="677">
        <v>624.4</v>
      </c>
      <c r="I52" s="677">
        <v>76</v>
      </c>
      <c r="J52" s="1824"/>
      <c r="K52" s="1824"/>
      <c r="L52" s="677">
        <v>17532.48</v>
      </c>
      <c r="M52" s="677">
        <v>17581.59</v>
      </c>
      <c r="N52" s="626">
        <f t="shared" si="35"/>
        <v>0</v>
      </c>
      <c r="O52" s="677"/>
      <c r="P52" s="677"/>
      <c r="Q52" s="677"/>
      <c r="R52" s="677"/>
      <c r="S52" s="677"/>
      <c r="T52" s="626"/>
      <c r="U52" s="626"/>
      <c r="V52" s="626"/>
      <c r="W52" s="626"/>
      <c r="X52" s="524"/>
      <c r="Y52" s="622"/>
      <c r="Z52" s="623"/>
      <c r="AA52" s="623"/>
      <c r="AB52" s="623"/>
      <c r="AC52" s="623">
        <f t="shared" si="36"/>
        <v>17532.48</v>
      </c>
      <c r="AD52" s="623">
        <f t="shared" si="37"/>
        <v>100.2801086897005</v>
      </c>
      <c r="AE52" s="623">
        <f t="shared" si="38"/>
        <v>-49.110000000000582</v>
      </c>
      <c r="AF52" s="623">
        <v>2.85</v>
      </c>
      <c r="AG52" s="1936"/>
      <c r="AH52" s="1936"/>
      <c r="AI52" s="1936"/>
      <c r="AJ52" s="1936"/>
      <c r="AK52" s="1936"/>
      <c r="AL52" s="1936"/>
      <c r="AM52" s="1936"/>
      <c r="AN52" s="1936"/>
      <c r="AO52" s="1937"/>
      <c r="AP52" s="1938"/>
      <c r="AQ52" s="1937"/>
      <c r="AR52" s="1510"/>
      <c r="AS52" s="403"/>
      <c r="AT52" s="403"/>
      <c r="AU52" s="403"/>
      <c r="AV52" s="403"/>
      <c r="AW52" s="403"/>
      <c r="AX52" s="403"/>
      <c r="AY52" s="403"/>
      <c r="AZ52" s="403"/>
    </row>
    <row r="53" spans="1:52" s="124" customFormat="1" x14ac:dyDescent="0.25">
      <c r="A53" s="13">
        <v>8</v>
      </c>
      <c r="B53" s="13"/>
      <c r="C53" s="422" t="s">
        <v>217</v>
      </c>
      <c r="D53" s="675">
        <v>1963</v>
      </c>
      <c r="E53" s="675">
        <v>2</v>
      </c>
      <c r="F53" s="675">
        <v>16</v>
      </c>
      <c r="G53" s="680">
        <v>27</v>
      </c>
      <c r="H53" s="677">
        <v>630.29999999999995</v>
      </c>
      <c r="I53" s="677">
        <v>76</v>
      </c>
      <c r="J53" s="1824"/>
      <c r="K53" s="1824"/>
      <c r="L53" s="677">
        <v>17774.88</v>
      </c>
      <c r="M53" s="677">
        <v>12130.95</v>
      </c>
      <c r="N53" s="626">
        <f t="shared" si="35"/>
        <v>0</v>
      </c>
      <c r="O53" s="677"/>
      <c r="P53" s="677"/>
      <c r="Q53" s="677"/>
      <c r="R53" s="677"/>
      <c r="S53" s="677"/>
      <c r="T53" s="626"/>
      <c r="U53" s="626"/>
      <c r="V53" s="626"/>
      <c r="W53" s="626"/>
      <c r="X53" s="524"/>
      <c r="Y53" s="622"/>
      <c r="Z53" s="623"/>
      <c r="AA53" s="623"/>
      <c r="AB53" s="623"/>
      <c r="AC53" s="623">
        <f t="shared" si="36"/>
        <v>17774.88</v>
      </c>
      <c r="AD53" s="623">
        <f t="shared" si="37"/>
        <v>68.247718128054871</v>
      </c>
      <c r="AE53" s="623">
        <f t="shared" si="38"/>
        <v>5643.93</v>
      </c>
      <c r="AF53" s="623">
        <v>2.85</v>
      </c>
      <c r="AG53" s="1936"/>
      <c r="AH53" s="1936"/>
      <c r="AI53" s="1936"/>
      <c r="AJ53" s="1936"/>
      <c r="AK53" s="1936"/>
      <c r="AL53" s="1936"/>
      <c r="AM53" s="1936"/>
      <c r="AN53" s="1936"/>
      <c r="AO53" s="1937"/>
      <c r="AP53" s="1938"/>
      <c r="AQ53" s="1937"/>
      <c r="AR53" s="1510"/>
      <c r="AS53" s="403"/>
      <c r="AT53" s="403"/>
      <c r="AU53" s="403"/>
      <c r="AV53" s="403"/>
      <c r="AW53" s="403"/>
      <c r="AX53" s="403"/>
      <c r="AY53" s="403"/>
      <c r="AZ53" s="403"/>
    </row>
    <row r="54" spans="1:52" s="124" customFormat="1" ht="14.25" customHeight="1" x14ac:dyDescent="0.25">
      <c r="A54" s="13">
        <v>9</v>
      </c>
      <c r="B54" s="13"/>
      <c r="C54" s="422" t="s">
        <v>218</v>
      </c>
      <c r="D54" s="675">
        <v>1963</v>
      </c>
      <c r="E54" s="675">
        <v>2</v>
      </c>
      <c r="F54" s="675">
        <v>8</v>
      </c>
      <c r="G54" s="679">
        <v>18</v>
      </c>
      <c r="H54" s="677">
        <v>313</v>
      </c>
      <c r="I54" s="677">
        <v>73.5</v>
      </c>
      <c r="J54" s="1824"/>
      <c r="K54" s="1824"/>
      <c r="L54" s="677">
        <v>8939.16</v>
      </c>
      <c r="M54" s="677">
        <v>7407.05</v>
      </c>
      <c r="N54" s="626">
        <f t="shared" si="35"/>
        <v>2512.52</v>
      </c>
      <c r="O54" s="677"/>
      <c r="P54" s="677"/>
      <c r="Q54" s="677"/>
      <c r="R54" s="677"/>
      <c r="S54" s="677"/>
      <c r="T54" s="626"/>
      <c r="U54" s="626"/>
      <c r="V54" s="626">
        <v>2512.52</v>
      </c>
      <c r="W54" s="626"/>
      <c r="X54" s="524"/>
      <c r="Y54" s="622"/>
      <c r="Z54" s="623"/>
      <c r="AA54" s="623"/>
      <c r="AB54" s="623"/>
      <c r="AC54" s="623">
        <f t="shared" si="36"/>
        <v>6426.6399999999994</v>
      </c>
      <c r="AD54" s="623">
        <f t="shared" si="37"/>
        <v>82.860693845954216</v>
      </c>
      <c r="AE54" s="623">
        <f t="shared" si="38"/>
        <v>1532.1099999999997</v>
      </c>
      <c r="AF54" s="623">
        <v>2.88</v>
      </c>
      <c r="AG54" s="1936"/>
      <c r="AH54" s="1936"/>
      <c r="AI54" s="1936"/>
      <c r="AJ54" s="1936"/>
      <c r="AK54" s="1936"/>
      <c r="AL54" s="1936"/>
      <c r="AM54" s="1936"/>
      <c r="AN54" s="1936"/>
      <c r="AO54" s="1937"/>
      <c r="AP54" s="1938"/>
      <c r="AQ54" s="1937"/>
      <c r="AR54" s="1510"/>
      <c r="AS54" s="403"/>
      <c r="AT54" s="403"/>
      <c r="AU54" s="403"/>
      <c r="AV54" s="403"/>
      <c r="AW54" s="403"/>
      <c r="AX54" s="403"/>
      <c r="AY54" s="403"/>
      <c r="AZ54" s="403"/>
    </row>
    <row r="55" spans="1:52" s="124" customFormat="1" ht="14.25" customHeight="1" x14ac:dyDescent="0.25">
      <c r="A55" s="36">
        <v>10</v>
      </c>
      <c r="B55" s="36"/>
      <c r="C55" s="423" t="s">
        <v>219</v>
      </c>
      <c r="D55" s="681">
        <v>1977</v>
      </c>
      <c r="E55" s="681">
        <v>5</v>
      </c>
      <c r="F55" s="681">
        <v>90</v>
      </c>
      <c r="G55" s="682">
        <v>231</v>
      </c>
      <c r="H55" s="677">
        <v>4846.6000000000004</v>
      </c>
      <c r="I55" s="677">
        <v>585</v>
      </c>
      <c r="J55" s="1824"/>
      <c r="K55" s="1824"/>
      <c r="L55" s="677">
        <v>163427.64000000001</v>
      </c>
      <c r="M55" s="677">
        <v>153612.96</v>
      </c>
      <c r="N55" s="626">
        <f t="shared" si="35"/>
        <v>30568.03</v>
      </c>
      <c r="O55" s="677"/>
      <c r="P55" s="677"/>
      <c r="Q55" s="677"/>
      <c r="R55" s="677">
        <v>15822.42</v>
      </c>
      <c r="S55" s="677"/>
      <c r="T55" s="626"/>
      <c r="U55" s="626"/>
      <c r="V55" s="626"/>
      <c r="W55" s="626"/>
      <c r="X55" s="524">
        <v>6234.56</v>
      </c>
      <c r="Y55" s="591"/>
      <c r="Z55" s="623">
        <v>6976.05</v>
      </c>
      <c r="AA55" s="623">
        <v>1535</v>
      </c>
      <c r="AB55" s="623"/>
      <c r="AC55" s="623">
        <f t="shared" si="36"/>
        <v>132859.61000000002</v>
      </c>
      <c r="AD55" s="623">
        <f t="shared" si="37"/>
        <v>93.994479758748255</v>
      </c>
      <c r="AE55" s="623">
        <f t="shared" si="38"/>
        <v>9814.6800000000221</v>
      </c>
      <c r="AF55" s="623">
        <v>3.3130000000000002</v>
      </c>
      <c r="AG55" s="1936"/>
      <c r="AH55" s="1936"/>
      <c r="AI55" s="1936"/>
      <c r="AJ55" s="1936"/>
      <c r="AK55" s="1936"/>
      <c r="AL55" s="1936"/>
      <c r="AM55" s="1936"/>
      <c r="AN55" s="1936"/>
      <c r="AO55" s="1937"/>
      <c r="AP55" s="1938"/>
      <c r="AQ55" s="1937"/>
      <c r="AR55" s="1510"/>
      <c r="AS55" s="403"/>
      <c r="AT55" s="403"/>
      <c r="AU55" s="403"/>
      <c r="AV55" s="403"/>
      <c r="AW55" s="403"/>
      <c r="AX55" s="403"/>
      <c r="AY55" s="403"/>
      <c r="AZ55" s="403"/>
    </row>
    <row r="56" spans="1:52" s="124" customFormat="1" ht="14.25" customHeight="1" x14ac:dyDescent="0.25">
      <c r="A56" s="13">
        <v>11</v>
      </c>
      <c r="B56" s="13"/>
      <c r="C56" s="422" t="s">
        <v>220</v>
      </c>
      <c r="D56" s="675">
        <v>1983</v>
      </c>
      <c r="E56" s="675">
        <v>4</v>
      </c>
      <c r="F56" s="675">
        <v>48</v>
      </c>
      <c r="G56" s="679">
        <v>143</v>
      </c>
      <c r="H56" s="677">
        <v>2619.02</v>
      </c>
      <c r="I56" s="677">
        <v>317.89999999999998</v>
      </c>
      <c r="J56" s="1824"/>
      <c r="K56" s="1824"/>
      <c r="L56" s="677">
        <v>88941.72</v>
      </c>
      <c r="M56" s="677">
        <v>83916.91</v>
      </c>
      <c r="N56" s="626">
        <f t="shared" si="35"/>
        <v>123851.62</v>
      </c>
      <c r="O56" s="677"/>
      <c r="P56" s="677">
        <v>101055.8</v>
      </c>
      <c r="Q56" s="677"/>
      <c r="R56" s="677">
        <v>19774.12</v>
      </c>
      <c r="S56" s="677"/>
      <c r="T56" s="626"/>
      <c r="U56" s="626"/>
      <c r="V56" s="626"/>
      <c r="W56" s="626"/>
      <c r="X56" s="524">
        <v>301.39999999999998</v>
      </c>
      <c r="Y56" s="622"/>
      <c r="Z56" s="623"/>
      <c r="AA56" s="623"/>
      <c r="AB56" s="623">
        <v>2720.3</v>
      </c>
      <c r="AC56" s="623">
        <f t="shared" si="36"/>
        <v>-34909.899999999994</v>
      </c>
      <c r="AD56" s="623">
        <f t="shared" si="37"/>
        <v>94.350446562085835</v>
      </c>
      <c r="AE56" s="623">
        <f t="shared" si="38"/>
        <v>5024.8099999999977</v>
      </c>
      <c r="AF56" s="623">
        <v>3.43</v>
      </c>
      <c r="AG56" s="1936"/>
      <c r="AH56" s="1936"/>
      <c r="AI56" s="1936"/>
      <c r="AJ56" s="1936"/>
      <c r="AK56" s="1936"/>
      <c r="AL56" s="1936"/>
      <c r="AM56" s="1936"/>
      <c r="AN56" s="1936"/>
      <c r="AO56" s="1937"/>
      <c r="AP56" s="1938"/>
      <c r="AQ56" s="1937"/>
      <c r="AR56" s="1510"/>
      <c r="AS56" s="403"/>
      <c r="AT56" s="403"/>
      <c r="AU56" s="403"/>
      <c r="AV56" s="403"/>
      <c r="AW56" s="403"/>
      <c r="AX56" s="403"/>
      <c r="AY56" s="403"/>
      <c r="AZ56" s="403"/>
    </row>
    <row r="57" spans="1:52" s="124" customFormat="1" ht="14.25" customHeight="1" x14ac:dyDescent="0.25">
      <c r="A57" s="13">
        <v>12</v>
      </c>
      <c r="B57" s="13"/>
      <c r="C57" s="422" t="s">
        <v>221</v>
      </c>
      <c r="D57" s="675">
        <v>1983</v>
      </c>
      <c r="E57" s="675">
        <v>4</v>
      </c>
      <c r="F57" s="675">
        <v>48</v>
      </c>
      <c r="G57" s="680">
        <v>137</v>
      </c>
      <c r="H57" s="677">
        <v>2614.1999999999998</v>
      </c>
      <c r="I57" s="677">
        <v>317.89999999999998</v>
      </c>
      <c r="J57" s="1824"/>
      <c r="K57" s="1824"/>
      <c r="L57" s="677">
        <v>91880.16</v>
      </c>
      <c r="M57" s="677">
        <v>89009.16</v>
      </c>
      <c r="N57" s="626">
        <f t="shared" si="35"/>
        <v>28271.960000000003</v>
      </c>
      <c r="O57" s="677"/>
      <c r="P57" s="677"/>
      <c r="Q57" s="677"/>
      <c r="R57" s="677">
        <v>22358.83</v>
      </c>
      <c r="S57" s="677"/>
      <c r="T57" s="626"/>
      <c r="U57" s="626"/>
      <c r="V57" s="626">
        <v>5913.13</v>
      </c>
      <c r="W57" s="626"/>
      <c r="X57" s="524"/>
      <c r="Y57" s="622"/>
      <c r="Z57" s="623"/>
      <c r="AA57" s="623"/>
      <c r="AB57" s="623"/>
      <c r="AC57" s="623">
        <f t="shared" si="36"/>
        <v>63608.2</v>
      </c>
      <c r="AD57" s="623">
        <f t="shared" si="37"/>
        <v>96.875277535433113</v>
      </c>
      <c r="AE57" s="623">
        <f t="shared" si="38"/>
        <v>2871</v>
      </c>
      <c r="AF57" s="623">
        <v>3.43</v>
      </c>
      <c r="AG57" s="1936"/>
      <c r="AH57" s="1936"/>
      <c r="AI57" s="1936"/>
      <c r="AJ57" s="1936"/>
      <c r="AK57" s="1936"/>
      <c r="AL57" s="1936"/>
      <c r="AM57" s="1936"/>
      <c r="AN57" s="1936"/>
      <c r="AO57" s="1937"/>
      <c r="AP57" s="1938"/>
      <c r="AQ57" s="1937"/>
      <c r="AR57" s="1510"/>
      <c r="AS57" s="403"/>
      <c r="AT57" s="403"/>
      <c r="AU57" s="403"/>
      <c r="AV57" s="403"/>
      <c r="AW57" s="403"/>
      <c r="AX57" s="403"/>
      <c r="AY57" s="403"/>
      <c r="AZ57" s="403"/>
    </row>
    <row r="58" spans="1:52" s="124" customFormat="1" ht="15" customHeight="1" x14ac:dyDescent="0.25">
      <c r="A58" s="13">
        <v>13</v>
      </c>
      <c r="B58" s="13"/>
      <c r="C58" s="424" t="s">
        <v>222</v>
      </c>
      <c r="D58" s="675">
        <v>1975</v>
      </c>
      <c r="E58" s="675">
        <v>2</v>
      </c>
      <c r="F58" s="675">
        <v>12</v>
      </c>
      <c r="G58" s="679">
        <v>30</v>
      </c>
      <c r="H58" s="677">
        <v>503.62</v>
      </c>
      <c r="I58" s="677">
        <v>58.2</v>
      </c>
      <c r="J58" s="1824"/>
      <c r="K58" s="1824"/>
      <c r="L58" s="677">
        <v>15048.36</v>
      </c>
      <c r="M58" s="677">
        <v>10996.72</v>
      </c>
      <c r="N58" s="626">
        <f t="shared" si="35"/>
        <v>6819.46</v>
      </c>
      <c r="O58" s="677"/>
      <c r="P58" s="677"/>
      <c r="Q58" s="677"/>
      <c r="R58" s="677">
        <v>5988.31</v>
      </c>
      <c r="S58" s="677"/>
      <c r="T58" s="626"/>
      <c r="U58" s="626"/>
      <c r="V58" s="626"/>
      <c r="W58" s="626"/>
      <c r="X58" s="524"/>
      <c r="Y58" s="622">
        <v>831.15</v>
      </c>
      <c r="Z58" s="623"/>
      <c r="AA58" s="623"/>
      <c r="AB58" s="623"/>
      <c r="AC58" s="623">
        <f t="shared" si="36"/>
        <v>8228.9000000000015</v>
      </c>
      <c r="AD58" s="623">
        <f t="shared" si="37"/>
        <v>73.075870061588105</v>
      </c>
      <c r="AE58" s="623">
        <f t="shared" si="38"/>
        <v>4051.6400000000012</v>
      </c>
      <c r="AF58" s="623">
        <v>2.99</v>
      </c>
      <c r="AG58" s="1936"/>
      <c r="AH58" s="1936"/>
      <c r="AI58" s="1936"/>
      <c r="AJ58" s="1936"/>
      <c r="AK58" s="1936"/>
      <c r="AL58" s="1936"/>
      <c r="AM58" s="1936"/>
      <c r="AN58" s="1936"/>
      <c r="AO58" s="1937"/>
      <c r="AP58" s="1938"/>
      <c r="AQ58" s="1937"/>
      <c r="AR58" s="1510"/>
      <c r="AS58" s="403"/>
      <c r="AT58" s="403"/>
      <c r="AU58" s="403"/>
      <c r="AV58" s="403"/>
      <c r="AW58" s="403"/>
      <c r="AX58" s="403"/>
      <c r="AY58" s="403"/>
      <c r="AZ58" s="403"/>
    </row>
    <row r="59" spans="1:52" s="124" customFormat="1" x14ac:dyDescent="0.25">
      <c r="A59" s="13">
        <v>14</v>
      </c>
      <c r="B59" s="13"/>
      <c r="C59" s="424" t="s">
        <v>122</v>
      </c>
      <c r="D59" s="675">
        <v>1975</v>
      </c>
      <c r="E59" s="675">
        <v>2</v>
      </c>
      <c r="F59" s="675">
        <v>12</v>
      </c>
      <c r="G59" s="680">
        <v>31</v>
      </c>
      <c r="H59" s="677">
        <v>528.76</v>
      </c>
      <c r="I59" s="677">
        <v>52.8</v>
      </c>
      <c r="J59" s="1824"/>
      <c r="K59" s="1824"/>
      <c r="L59" s="677">
        <v>15763.38</v>
      </c>
      <c r="M59" s="677">
        <v>15496.32</v>
      </c>
      <c r="N59" s="626">
        <f t="shared" si="35"/>
        <v>5821.75</v>
      </c>
      <c r="O59" s="677"/>
      <c r="P59" s="677"/>
      <c r="Q59" s="677"/>
      <c r="R59" s="677">
        <v>5821.75</v>
      </c>
      <c r="S59" s="677"/>
      <c r="T59" s="626"/>
      <c r="U59" s="626"/>
      <c r="V59" s="626"/>
      <c r="W59" s="626"/>
      <c r="X59" s="524"/>
      <c r="Y59" s="622"/>
      <c r="Z59" s="623"/>
      <c r="AA59" s="623"/>
      <c r="AB59" s="623"/>
      <c r="AC59" s="623">
        <f t="shared" si="36"/>
        <v>9941.6299999999992</v>
      </c>
      <c r="AD59" s="623">
        <f t="shared" si="37"/>
        <v>98.305820198459983</v>
      </c>
      <c r="AE59" s="623">
        <f t="shared" si="38"/>
        <v>267.05999999999949</v>
      </c>
      <c r="AF59" s="623">
        <v>3.01</v>
      </c>
      <c r="AG59" s="1936"/>
      <c r="AH59" s="1936"/>
      <c r="AI59" s="1936"/>
      <c r="AJ59" s="1936"/>
      <c r="AK59" s="1936"/>
      <c r="AL59" s="1936"/>
      <c r="AM59" s="1936"/>
      <c r="AN59" s="1936"/>
      <c r="AO59" s="1937"/>
      <c r="AP59" s="1938"/>
      <c r="AQ59" s="1937"/>
      <c r="AR59" s="1510"/>
      <c r="AS59" s="403"/>
      <c r="AT59" s="403"/>
      <c r="AU59" s="403"/>
      <c r="AV59" s="403"/>
      <c r="AW59" s="403"/>
      <c r="AX59" s="403"/>
      <c r="AY59" s="403"/>
      <c r="AZ59" s="403"/>
    </row>
    <row r="60" spans="1:52" s="124" customFormat="1" x14ac:dyDescent="0.25">
      <c r="A60" s="13">
        <v>15</v>
      </c>
      <c r="B60" s="13"/>
      <c r="C60" s="424" t="s">
        <v>223</v>
      </c>
      <c r="D60" s="675">
        <v>1975</v>
      </c>
      <c r="E60" s="675">
        <v>2</v>
      </c>
      <c r="F60" s="675">
        <v>12</v>
      </c>
      <c r="G60" s="679">
        <v>23</v>
      </c>
      <c r="H60" s="677">
        <v>528.33000000000004</v>
      </c>
      <c r="I60" s="677">
        <v>52.4</v>
      </c>
      <c r="J60" s="1824"/>
      <c r="K60" s="1824"/>
      <c r="L60" s="677">
        <v>15863.46</v>
      </c>
      <c r="M60" s="677">
        <v>15578.18</v>
      </c>
      <c r="N60" s="626">
        <f t="shared" si="35"/>
        <v>71042.12</v>
      </c>
      <c r="O60" s="677"/>
      <c r="P60" s="677"/>
      <c r="Q60" s="677"/>
      <c r="R60" s="677">
        <v>7105.12</v>
      </c>
      <c r="S60" s="677">
        <v>61330</v>
      </c>
      <c r="T60" s="626"/>
      <c r="U60" s="626"/>
      <c r="V60" s="626"/>
      <c r="W60" s="626"/>
      <c r="X60" s="524">
        <v>2607</v>
      </c>
      <c r="Y60" s="622"/>
      <c r="Z60" s="623"/>
      <c r="AA60" s="623"/>
      <c r="AB60" s="623"/>
      <c r="AC60" s="623">
        <f t="shared" si="36"/>
        <v>-55178.659999999996</v>
      </c>
      <c r="AD60" s="623">
        <f t="shared" si="37"/>
        <v>98.201653359355404</v>
      </c>
      <c r="AE60" s="623">
        <f t="shared" si="38"/>
        <v>285.27999999999884</v>
      </c>
      <c r="AF60" s="623">
        <v>3.01</v>
      </c>
      <c r="AG60" s="1936"/>
      <c r="AH60" s="1936"/>
      <c r="AI60" s="1936"/>
      <c r="AJ60" s="1936"/>
      <c r="AK60" s="1936"/>
      <c r="AL60" s="1936"/>
      <c r="AM60" s="1936"/>
      <c r="AN60" s="1936"/>
      <c r="AO60" s="1937"/>
      <c r="AP60" s="1938"/>
      <c r="AQ60" s="1937"/>
      <c r="AR60" s="1510"/>
      <c r="AS60" s="403"/>
      <c r="AT60" s="403"/>
      <c r="AU60" s="403"/>
      <c r="AV60" s="403"/>
      <c r="AW60" s="403"/>
      <c r="AX60" s="403"/>
      <c r="AY60" s="403"/>
      <c r="AZ60" s="403"/>
    </row>
    <row r="61" spans="1:52" s="124" customFormat="1" x14ac:dyDescent="0.25">
      <c r="A61" s="13">
        <v>16</v>
      </c>
      <c r="B61" s="13"/>
      <c r="C61" s="424" t="s">
        <v>224</v>
      </c>
      <c r="D61" s="675">
        <v>1968</v>
      </c>
      <c r="E61" s="675">
        <v>2</v>
      </c>
      <c r="F61" s="675">
        <v>16</v>
      </c>
      <c r="G61" s="680">
        <v>35</v>
      </c>
      <c r="H61" s="677">
        <v>715.87</v>
      </c>
      <c r="I61" s="677">
        <v>76</v>
      </c>
      <c r="J61" s="1824"/>
      <c r="K61" s="1824"/>
      <c r="L61" s="677">
        <v>21733.74</v>
      </c>
      <c r="M61" s="677">
        <v>19375.41</v>
      </c>
      <c r="N61" s="626">
        <f t="shared" si="35"/>
        <v>0</v>
      </c>
      <c r="O61" s="677"/>
      <c r="P61" s="677"/>
      <c r="Q61" s="677"/>
      <c r="R61" s="677"/>
      <c r="S61" s="677"/>
      <c r="T61" s="626"/>
      <c r="U61" s="626"/>
      <c r="V61" s="626"/>
      <c r="W61" s="626"/>
      <c r="X61" s="524"/>
      <c r="Y61" s="622"/>
      <c r="Z61" s="623"/>
      <c r="AA61" s="623"/>
      <c r="AB61" s="623"/>
      <c r="AC61" s="623">
        <f t="shared" si="36"/>
        <v>21733.74</v>
      </c>
      <c r="AD61" s="623">
        <f t="shared" si="37"/>
        <v>89.148991383903535</v>
      </c>
      <c r="AE61" s="623">
        <f t="shared" si="38"/>
        <v>2358.3300000000017</v>
      </c>
      <c r="AF61" s="623">
        <v>3.03</v>
      </c>
      <c r="AG61" s="1936"/>
      <c r="AH61" s="1936"/>
      <c r="AI61" s="1936"/>
      <c r="AJ61" s="1936"/>
      <c r="AK61" s="1936"/>
      <c r="AL61" s="1936"/>
      <c r="AM61" s="1936"/>
      <c r="AN61" s="1936"/>
      <c r="AO61" s="1937"/>
      <c r="AP61" s="1938"/>
      <c r="AQ61" s="1937"/>
      <c r="AR61" s="1510"/>
      <c r="AS61" s="403"/>
      <c r="AT61" s="403"/>
      <c r="AU61" s="403"/>
      <c r="AV61" s="403"/>
      <c r="AW61" s="403"/>
      <c r="AX61" s="403"/>
      <c r="AY61" s="403"/>
      <c r="AZ61" s="403"/>
    </row>
    <row r="62" spans="1:52" ht="16.5" customHeight="1" x14ac:dyDescent="0.25">
      <c r="A62" s="13">
        <v>17</v>
      </c>
      <c r="B62" s="13"/>
      <c r="C62" s="425" t="s">
        <v>227</v>
      </c>
      <c r="D62" s="681">
        <v>2010</v>
      </c>
      <c r="E62" s="681">
        <v>2</v>
      </c>
      <c r="F62" s="681">
        <v>10</v>
      </c>
      <c r="G62" s="681">
        <v>30</v>
      </c>
      <c r="H62" s="676">
        <v>637.20000000000005</v>
      </c>
      <c r="I62" s="676"/>
      <c r="J62" s="1634"/>
      <c r="K62" s="1634"/>
      <c r="L62" s="676">
        <v>6193.92</v>
      </c>
      <c r="M62" s="676">
        <v>5688.11</v>
      </c>
      <c r="N62" s="626">
        <f t="shared" si="35"/>
        <v>0</v>
      </c>
      <c r="O62" s="676"/>
      <c r="P62" s="676"/>
      <c r="Q62" s="676"/>
      <c r="R62" s="676"/>
      <c r="S62" s="676"/>
      <c r="T62" s="626"/>
      <c r="U62" s="626"/>
      <c r="V62" s="1497"/>
      <c r="W62" s="626"/>
      <c r="X62" s="524"/>
      <c r="Y62" s="591"/>
      <c r="Z62" s="623"/>
      <c r="AA62" s="623"/>
      <c r="AB62" s="623"/>
      <c r="AC62" s="623">
        <f t="shared" si="36"/>
        <v>6193.92</v>
      </c>
      <c r="AD62" s="623">
        <f t="shared" si="37"/>
        <v>91.83376601570572</v>
      </c>
      <c r="AE62" s="623">
        <f t="shared" si="38"/>
        <v>505.8100000000004</v>
      </c>
      <c r="AF62" s="623">
        <v>1.31</v>
      </c>
      <c r="AG62" s="1936"/>
      <c r="AH62" s="1937"/>
      <c r="AI62" s="1937"/>
      <c r="AJ62" s="1937"/>
      <c r="AK62" s="1937"/>
      <c r="AL62" s="1936"/>
      <c r="AM62" s="1936"/>
      <c r="AN62" s="1936"/>
      <c r="AO62" s="1937"/>
      <c r="AP62" s="1938"/>
      <c r="AQ62" s="1937"/>
      <c r="AR62" s="1510"/>
      <c r="AS62" s="403"/>
      <c r="AT62" s="403"/>
      <c r="AU62" s="403"/>
      <c r="AV62" s="403"/>
      <c r="AW62" s="403"/>
      <c r="AX62" s="403"/>
      <c r="AY62" s="403"/>
      <c r="AZ62" s="403"/>
    </row>
    <row r="63" spans="1:52" ht="14.25" customHeight="1" x14ac:dyDescent="0.25">
      <c r="A63" s="13">
        <v>18</v>
      </c>
      <c r="B63" s="13"/>
      <c r="C63" s="425" t="s">
        <v>329</v>
      </c>
      <c r="D63" s="681">
        <v>2013</v>
      </c>
      <c r="E63" s="681">
        <v>2</v>
      </c>
      <c r="F63" s="681"/>
      <c r="G63" s="681"/>
      <c r="H63" s="676">
        <v>1179.9000000000001</v>
      </c>
      <c r="I63" s="676"/>
      <c r="J63" s="1634"/>
      <c r="K63" s="1634"/>
      <c r="L63" s="676">
        <v>27609.66</v>
      </c>
      <c r="M63" s="676">
        <v>21433.14</v>
      </c>
      <c r="N63" s="626">
        <f t="shared" si="35"/>
        <v>0</v>
      </c>
      <c r="O63" s="676"/>
      <c r="P63" s="676"/>
      <c r="Q63" s="676"/>
      <c r="R63" s="676"/>
      <c r="S63" s="676"/>
      <c r="T63" s="626"/>
      <c r="U63" s="626"/>
      <c r="V63" s="1497"/>
      <c r="W63" s="626"/>
      <c r="X63" s="524"/>
      <c r="Y63" s="591"/>
      <c r="Z63" s="623"/>
      <c r="AA63" s="623"/>
      <c r="AB63" s="623"/>
      <c r="AC63" s="623">
        <f t="shared" si="36"/>
        <v>27609.66</v>
      </c>
      <c r="AD63" s="623">
        <f t="shared" si="37"/>
        <v>77.629134150873284</v>
      </c>
      <c r="AE63" s="623">
        <f t="shared" si="38"/>
        <v>6176.52</v>
      </c>
      <c r="AF63" s="623">
        <v>2</v>
      </c>
      <c r="AG63" s="1936"/>
      <c r="AH63" s="1937"/>
      <c r="AI63" s="1937"/>
      <c r="AJ63" s="1937"/>
      <c r="AK63" s="1937"/>
      <c r="AL63" s="1936"/>
      <c r="AM63" s="1936"/>
      <c r="AN63" s="1936"/>
      <c r="AO63" s="1937"/>
      <c r="AP63" s="1938"/>
      <c r="AQ63" s="1937"/>
      <c r="AR63" s="1510"/>
      <c r="AS63" s="403"/>
      <c r="AT63" s="403"/>
      <c r="AU63" s="403"/>
      <c r="AV63" s="403"/>
      <c r="AW63" s="403"/>
      <c r="AX63" s="403"/>
      <c r="AY63" s="403"/>
      <c r="AZ63" s="403"/>
    </row>
    <row r="64" spans="1:52" ht="15.75" customHeight="1" x14ac:dyDescent="0.25">
      <c r="A64" s="13">
        <v>19</v>
      </c>
      <c r="B64" s="187"/>
      <c r="C64" s="426" t="s">
        <v>330</v>
      </c>
      <c r="D64" s="688">
        <v>2013</v>
      </c>
      <c r="E64" s="688">
        <v>3</v>
      </c>
      <c r="F64" s="688">
        <v>28</v>
      </c>
      <c r="G64" s="688"/>
      <c r="H64" s="689">
        <v>1588.6</v>
      </c>
      <c r="I64" s="689"/>
      <c r="J64" s="1825"/>
      <c r="K64" s="1825"/>
      <c r="L64" s="689">
        <v>36150.33</v>
      </c>
      <c r="M64" s="689">
        <v>34862.01</v>
      </c>
      <c r="N64" s="626">
        <f t="shared" si="35"/>
        <v>9000</v>
      </c>
      <c r="O64" s="689"/>
      <c r="P64" s="689"/>
      <c r="Q64" s="689">
        <v>9000</v>
      </c>
      <c r="R64" s="689"/>
      <c r="S64" s="689"/>
      <c r="T64" s="626"/>
      <c r="U64" s="626"/>
      <c r="V64" s="1683"/>
      <c r="W64" s="626"/>
      <c r="X64" s="524"/>
      <c r="Y64" s="632"/>
      <c r="Z64" s="623"/>
      <c r="AA64" s="633"/>
      <c r="AB64" s="633"/>
      <c r="AC64" s="623">
        <f t="shared" si="36"/>
        <v>27150.33</v>
      </c>
      <c r="AD64" s="623">
        <f t="shared" si="37"/>
        <v>96.436215105090326</v>
      </c>
      <c r="AE64" s="623">
        <f t="shared" si="38"/>
        <v>1288.3199999999997</v>
      </c>
      <c r="AF64" s="633">
        <v>2</v>
      </c>
      <c r="AG64" s="1939"/>
      <c r="AH64" s="1940"/>
      <c r="AI64" s="1940"/>
      <c r="AJ64" s="1940"/>
      <c r="AK64" s="1940"/>
      <c r="AL64" s="1936"/>
      <c r="AM64" s="1936"/>
      <c r="AN64" s="1936"/>
      <c r="AO64" s="1937"/>
      <c r="AP64" s="1938"/>
      <c r="AQ64" s="1940"/>
      <c r="AR64" s="1510"/>
      <c r="AS64" s="403"/>
      <c r="AT64" s="403"/>
      <c r="AU64" s="403"/>
      <c r="AV64" s="403"/>
      <c r="AW64" s="403"/>
      <c r="AX64" s="403"/>
      <c r="AY64" s="403"/>
      <c r="AZ64" s="403"/>
    </row>
    <row r="65" spans="1:52" s="124" customFormat="1" x14ac:dyDescent="0.25">
      <c r="A65" s="13">
        <v>20</v>
      </c>
      <c r="B65" s="187"/>
      <c r="C65" s="426" t="s">
        <v>474</v>
      </c>
      <c r="D65" s="681"/>
      <c r="E65" s="681"/>
      <c r="F65" s="681"/>
      <c r="G65" s="681"/>
      <c r="H65" s="696">
        <v>586.1</v>
      </c>
      <c r="I65" s="676"/>
      <c r="J65" s="1634"/>
      <c r="K65" s="1634"/>
      <c r="L65" s="676">
        <v>13586.4</v>
      </c>
      <c r="M65" s="676">
        <v>14766.49</v>
      </c>
      <c r="N65" s="626">
        <f t="shared" si="35"/>
        <v>0</v>
      </c>
      <c r="O65" s="676"/>
      <c r="P65" s="676"/>
      <c r="Q65" s="676"/>
      <c r="R65" s="676"/>
      <c r="S65" s="676"/>
      <c r="T65" s="626"/>
      <c r="U65" s="626"/>
      <c r="V65" s="1497"/>
      <c r="W65" s="626"/>
      <c r="X65" s="524"/>
      <c r="Y65" s="591"/>
      <c r="Z65" s="623"/>
      <c r="AA65" s="623"/>
      <c r="AB65" s="623"/>
      <c r="AC65" s="623">
        <f t="shared" si="36"/>
        <v>13586.4</v>
      </c>
      <c r="AD65" s="623">
        <f t="shared" si="37"/>
        <v>108.68581817111229</v>
      </c>
      <c r="AE65" s="623">
        <f t="shared" si="38"/>
        <v>-1180.0900000000001</v>
      </c>
      <c r="AF65" s="623">
        <v>2</v>
      </c>
      <c r="AG65" s="1936"/>
      <c r="AH65" s="1937"/>
      <c r="AI65" s="1937"/>
      <c r="AJ65" s="1937"/>
      <c r="AK65" s="1937"/>
      <c r="AL65" s="1936"/>
      <c r="AM65" s="1936"/>
      <c r="AN65" s="1936"/>
      <c r="AO65" s="1937"/>
      <c r="AP65" s="1938"/>
      <c r="AQ65" s="1937"/>
      <c r="AR65" s="1510"/>
      <c r="AS65" s="403"/>
      <c r="AT65" s="403"/>
      <c r="AU65" s="403"/>
      <c r="AV65" s="403"/>
      <c r="AW65" s="403"/>
      <c r="AX65" s="403"/>
      <c r="AY65" s="403"/>
      <c r="AZ65" s="403"/>
    </row>
    <row r="66" spans="1:52" s="124" customFormat="1" ht="15.75" customHeight="1" x14ac:dyDescent="0.25">
      <c r="A66" s="13">
        <v>21</v>
      </c>
      <c r="B66" s="580">
        <v>42648</v>
      </c>
      <c r="C66" s="426" t="s">
        <v>473</v>
      </c>
      <c r="D66" s="688"/>
      <c r="E66" s="688"/>
      <c r="F66" s="688"/>
      <c r="G66" s="688"/>
      <c r="H66" s="697">
        <v>1372.13</v>
      </c>
      <c r="I66" s="689"/>
      <c r="J66" s="1825"/>
      <c r="K66" s="1825"/>
      <c r="L66" s="689">
        <v>40633.78</v>
      </c>
      <c r="M66" s="689">
        <v>25759.14</v>
      </c>
      <c r="N66" s="626">
        <f t="shared" si="35"/>
        <v>12543.01</v>
      </c>
      <c r="O66" s="689">
        <v>6543.01</v>
      </c>
      <c r="P66" s="689"/>
      <c r="Q66" s="689">
        <v>6000</v>
      </c>
      <c r="R66" s="689"/>
      <c r="S66" s="689"/>
      <c r="T66" s="626"/>
      <c r="U66" s="626"/>
      <c r="V66" s="1683"/>
      <c r="W66" s="626"/>
      <c r="X66" s="524"/>
      <c r="Y66" s="632"/>
      <c r="Z66" s="623"/>
      <c r="AA66" s="633"/>
      <c r="AB66" s="633"/>
      <c r="AC66" s="623">
        <f t="shared" si="36"/>
        <v>28090.769999999997</v>
      </c>
      <c r="AD66" s="623">
        <f t="shared" si="37"/>
        <v>63.393413066665225</v>
      </c>
      <c r="AE66" s="623">
        <f t="shared" si="38"/>
        <v>14874.64</v>
      </c>
      <c r="AF66" s="633">
        <v>2.5</v>
      </c>
      <c r="AG66" s="1939"/>
      <c r="AH66" s="1940"/>
      <c r="AI66" s="1940"/>
      <c r="AJ66" s="1940"/>
      <c r="AK66" s="1940"/>
      <c r="AL66" s="1939"/>
      <c r="AM66" s="1939"/>
      <c r="AN66" s="1939"/>
      <c r="AO66" s="1937"/>
      <c r="AP66" s="1938"/>
      <c r="AQ66" s="1940"/>
      <c r="AR66" s="1510"/>
      <c r="AS66" s="403"/>
      <c r="AT66" s="403"/>
      <c r="AU66" s="403"/>
      <c r="AV66" s="403"/>
      <c r="AW66" s="403"/>
      <c r="AX66" s="403"/>
      <c r="AY66" s="403"/>
      <c r="AZ66" s="403"/>
    </row>
    <row r="67" spans="1:52" s="124" customFormat="1" ht="15" customHeight="1" x14ac:dyDescent="0.25">
      <c r="A67" s="13"/>
      <c r="B67" s="13"/>
      <c r="C67" s="507" t="s">
        <v>296</v>
      </c>
      <c r="D67" s="690"/>
      <c r="E67" s="690"/>
      <c r="F67" s="1144">
        <f>SUM(F46:F62)</f>
        <v>462</v>
      </c>
      <c r="G67" s="1144">
        <f>SUM(G46:G62)</f>
        <v>1267</v>
      </c>
      <c r="H67" s="1652">
        <f>SUM(H46:H66)</f>
        <v>27445.26</v>
      </c>
      <c r="I67" s="1652">
        <f>SUM(I46:I62)</f>
        <v>2501.9800000000005</v>
      </c>
      <c r="J67" s="1826"/>
      <c r="K67" s="1826"/>
      <c r="L67" s="1681">
        <f>SUM(L46:L66)</f>
        <v>849033.70000000007</v>
      </c>
      <c r="M67" s="1681">
        <f>SUM(M46:M66)</f>
        <v>774649.34000000008</v>
      </c>
      <c r="N67" s="1681">
        <f t="shared" ref="N67:AK67" si="39">SUM(N46:N66)</f>
        <v>379783.9</v>
      </c>
      <c r="O67" s="1681">
        <f t="shared" si="39"/>
        <v>6543.01</v>
      </c>
      <c r="P67" s="1681">
        <f t="shared" si="39"/>
        <v>101055.8</v>
      </c>
      <c r="Q67" s="1681">
        <f t="shared" si="39"/>
        <v>15000</v>
      </c>
      <c r="R67" s="1681">
        <f t="shared" si="39"/>
        <v>128663.49999999999</v>
      </c>
      <c r="S67" s="1681">
        <f t="shared" si="39"/>
        <v>61330</v>
      </c>
      <c r="T67" s="1681">
        <f t="shared" si="39"/>
        <v>9135</v>
      </c>
      <c r="U67" s="1681">
        <f t="shared" si="39"/>
        <v>6266.51</v>
      </c>
      <c r="V67" s="1681">
        <f t="shared" si="39"/>
        <v>29073.809999999998</v>
      </c>
      <c r="W67" s="1681">
        <f t="shared" si="39"/>
        <v>1130</v>
      </c>
      <c r="X67" s="1681">
        <f t="shared" si="39"/>
        <v>9142.9599999999991</v>
      </c>
      <c r="Y67" s="1681">
        <f t="shared" si="39"/>
        <v>831.15</v>
      </c>
      <c r="Z67" s="1681">
        <f t="shared" si="39"/>
        <v>6976.05</v>
      </c>
      <c r="AA67" s="1681">
        <f t="shared" si="39"/>
        <v>1915.81</v>
      </c>
      <c r="AB67" s="1681">
        <f t="shared" si="39"/>
        <v>2720.3</v>
      </c>
      <c r="AC67" s="1681">
        <f t="shared" si="39"/>
        <v>469249.8000000001</v>
      </c>
      <c r="AD67" s="1951">
        <f t="shared" si="37"/>
        <v>91.238939043291211</v>
      </c>
      <c r="AE67" s="1681">
        <f t="shared" si="39"/>
        <v>74384.360000000015</v>
      </c>
      <c r="AF67" s="1681"/>
      <c r="AG67" s="1941">
        <f>SUM(AG46:AG66)</f>
        <v>0</v>
      </c>
      <c r="AH67" s="1941">
        <f t="shared" si="39"/>
        <v>0</v>
      </c>
      <c r="AI67" s="1941">
        <f t="shared" si="39"/>
        <v>0</v>
      </c>
      <c r="AJ67" s="1941">
        <f t="shared" si="39"/>
        <v>0</v>
      </c>
      <c r="AK67" s="1941">
        <f t="shared" si="39"/>
        <v>0</v>
      </c>
      <c r="AL67" s="1942"/>
      <c r="AM67" s="1942"/>
      <c r="AN67" s="1942"/>
      <c r="AO67" s="802"/>
      <c r="AP67" s="1943"/>
      <c r="AQ67" s="1944"/>
      <c r="AR67" s="1945"/>
      <c r="AS67" s="403"/>
      <c r="AT67" s="403"/>
      <c r="AU67" s="403"/>
      <c r="AV67" s="403"/>
      <c r="AW67" s="403"/>
      <c r="AX67" s="403"/>
      <c r="AY67" s="403"/>
      <c r="AZ67" s="403"/>
    </row>
    <row r="68" spans="1:52" s="124" customFormat="1" ht="15" customHeight="1" x14ac:dyDescent="0.25">
      <c r="A68" s="13"/>
      <c r="B68" s="13"/>
      <c r="C68" s="417" t="s">
        <v>491</v>
      </c>
      <c r="D68" s="690"/>
      <c r="E68" s="690"/>
      <c r="F68" s="691"/>
      <c r="G68" s="691"/>
      <c r="H68" s="692"/>
      <c r="I68" s="692"/>
      <c r="J68" s="692"/>
      <c r="K68" s="692"/>
      <c r="L68" s="692"/>
      <c r="M68" s="692"/>
      <c r="N68" s="692"/>
      <c r="O68" s="692"/>
      <c r="P68" s="692"/>
      <c r="Q68" s="692"/>
      <c r="R68" s="692"/>
      <c r="S68" s="692"/>
      <c r="T68" s="692"/>
      <c r="U68" s="692"/>
      <c r="V68" s="163"/>
      <c r="W68" s="163"/>
      <c r="X68" s="418"/>
      <c r="Y68" s="419"/>
      <c r="Z68" s="420"/>
      <c r="AA68" s="420"/>
      <c r="AB68" s="420"/>
      <c r="AC68" s="420"/>
      <c r="AD68" s="420"/>
      <c r="AE68" s="421"/>
      <c r="AF68" s="421"/>
      <c r="AG68" s="1946"/>
      <c r="AH68" s="1947"/>
      <c r="AI68" s="1947"/>
      <c r="AJ68" s="1947"/>
      <c r="AK68" s="1947"/>
      <c r="AL68" s="1946"/>
      <c r="AM68" s="1946"/>
      <c r="AN68" s="1946"/>
      <c r="AO68" s="275"/>
      <c r="AP68" s="1948"/>
      <c r="AQ68" s="275"/>
      <c r="AR68" s="1715"/>
      <c r="AS68" s="403"/>
      <c r="AT68" s="403"/>
      <c r="AU68" s="403"/>
      <c r="AV68" s="403"/>
      <c r="AW68" s="403"/>
      <c r="AX68" s="403"/>
      <c r="AY68" s="403"/>
      <c r="AZ68" s="403"/>
    </row>
    <row r="69" spans="1:52" s="124" customFormat="1" ht="14.25" customHeight="1" x14ac:dyDescent="0.25">
      <c r="A69" s="13"/>
      <c r="B69" s="13"/>
      <c r="C69" s="417"/>
      <c r="D69" s="690"/>
      <c r="E69" s="690"/>
      <c r="F69" s="691"/>
      <c r="G69" s="691"/>
      <c r="H69" s="692"/>
      <c r="I69" s="692"/>
      <c r="J69" s="692"/>
      <c r="K69" s="692"/>
      <c r="L69" s="692"/>
      <c r="M69" s="692"/>
      <c r="N69" s="692"/>
      <c r="O69" s="692"/>
      <c r="P69" s="692"/>
      <c r="Q69" s="692"/>
      <c r="R69" s="692"/>
      <c r="S69" s="692"/>
      <c r="T69" s="692"/>
      <c r="U69" s="692"/>
      <c r="V69" s="163"/>
      <c r="W69" s="163"/>
      <c r="X69" s="418"/>
      <c r="Y69" s="419"/>
      <c r="Z69" s="420"/>
      <c r="AA69" s="420"/>
      <c r="AB69" s="420"/>
      <c r="AC69" s="420"/>
      <c r="AD69" s="420"/>
      <c r="AE69" s="421"/>
      <c r="AF69" s="1949"/>
      <c r="AG69" s="1949"/>
      <c r="AH69" s="1949"/>
      <c r="AI69" s="1949"/>
      <c r="AJ69" s="1949"/>
      <c r="AK69" s="1949"/>
      <c r="AL69" s="1949"/>
      <c r="AM69" s="1949"/>
      <c r="AN69" s="1949"/>
      <c r="AO69" s="1949"/>
      <c r="AP69" s="1949"/>
      <c r="AQ69" s="1949"/>
      <c r="AR69" s="1949"/>
      <c r="AS69" s="403"/>
      <c r="AT69" s="403"/>
      <c r="AU69" s="403"/>
      <c r="AV69" s="403"/>
      <c r="AW69" s="403"/>
      <c r="AX69" s="403"/>
      <c r="AY69" s="403"/>
      <c r="AZ69" s="403"/>
    </row>
    <row r="70" spans="1:52" s="124" customFormat="1" ht="15.75" customHeight="1" x14ac:dyDescent="0.25">
      <c r="A70" s="296"/>
      <c r="B70" s="296"/>
      <c r="C70" s="296"/>
      <c r="D70" s="699"/>
      <c r="E70" s="699"/>
      <c r="F70" s="699"/>
      <c r="G70" s="699"/>
      <c r="H70" s="699"/>
      <c r="I70" s="699"/>
      <c r="J70" s="699"/>
      <c r="K70" s="699"/>
      <c r="L70" s="699"/>
      <c r="M70" s="699"/>
      <c r="N70" s="699"/>
      <c r="O70" s="1952" t="s">
        <v>571</v>
      </c>
      <c r="P70" s="699"/>
      <c r="Q70" s="699"/>
      <c r="R70" s="699"/>
      <c r="S70" s="699"/>
      <c r="T70" s="699"/>
      <c r="U70" s="699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1949"/>
      <c r="AG70" s="1949"/>
      <c r="AH70" s="1949"/>
      <c r="AI70" s="1949"/>
      <c r="AJ70" s="1949"/>
      <c r="AK70" s="1949"/>
      <c r="AL70" s="1949"/>
      <c r="AM70" s="1949"/>
      <c r="AN70" s="1949"/>
      <c r="AO70" s="1949"/>
      <c r="AP70" s="1949"/>
      <c r="AQ70" s="1949"/>
      <c r="AR70" s="1949"/>
      <c r="AS70" s="403"/>
      <c r="AT70" s="403"/>
      <c r="AU70" s="403"/>
      <c r="AV70" s="403"/>
      <c r="AW70" s="403"/>
      <c r="AX70" s="403"/>
      <c r="AY70" s="403"/>
      <c r="AZ70" s="403"/>
    </row>
    <row r="71" spans="1:52" ht="15" customHeight="1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1578"/>
      <c r="W71" s="1578"/>
      <c r="X71" s="1578"/>
      <c r="Y71" s="1578"/>
      <c r="Z71" s="1578"/>
      <c r="AA71" s="1578"/>
      <c r="AB71" s="1578"/>
      <c r="AC71" s="1578"/>
      <c r="AD71" s="1578"/>
      <c r="AE71" s="1578"/>
      <c r="AF71" s="1949"/>
      <c r="AG71" s="1949"/>
      <c r="AH71" s="1949"/>
      <c r="AI71" s="1949"/>
      <c r="AJ71" s="1949"/>
      <c r="AK71" s="1949"/>
      <c r="AL71" s="1949"/>
      <c r="AM71" s="1949"/>
      <c r="AN71" s="1949"/>
      <c r="AO71" s="1949"/>
      <c r="AP71" s="1949"/>
      <c r="AQ71" s="1949"/>
      <c r="AR71" s="1949"/>
      <c r="AS71" s="1949"/>
      <c r="AT71" s="1949"/>
      <c r="AU71" s="1949"/>
      <c r="AV71" s="1949"/>
      <c r="AW71" s="1949"/>
    </row>
    <row r="72" spans="1:52" ht="15.75" customHeight="1" x14ac:dyDescent="0.25">
      <c r="A72" s="296"/>
      <c r="B72" s="296"/>
      <c r="C72" s="296"/>
      <c r="D72" s="296"/>
      <c r="E72" s="296"/>
      <c r="F72" s="296"/>
      <c r="G72" s="296"/>
      <c r="H72" s="296"/>
      <c r="I72" s="296"/>
      <c r="J72" s="296"/>
      <c r="K72" s="296"/>
      <c r="L72" s="296"/>
      <c r="M72" s="296"/>
      <c r="N72" s="296"/>
      <c r="O72" s="296"/>
      <c r="P72" s="296"/>
      <c r="Q72" s="296"/>
      <c r="R72" s="296"/>
      <c r="S72" s="296"/>
      <c r="T72" s="296"/>
      <c r="U72" s="296"/>
      <c r="V72" s="296"/>
      <c r="W72" s="247"/>
      <c r="X72" s="247"/>
      <c r="Y72" s="247"/>
      <c r="Z72" s="247"/>
      <c r="AA72" s="247"/>
      <c r="AB72" s="247"/>
      <c r="AC72" s="247"/>
      <c r="AD72" s="247"/>
      <c r="AE72" s="247"/>
      <c r="AF72" s="1949"/>
      <c r="AG72" s="1949"/>
      <c r="AH72" s="1949"/>
      <c r="AI72" s="1949"/>
      <c r="AJ72" s="1949"/>
      <c r="AK72" s="1949"/>
      <c r="AL72" s="1949"/>
      <c r="AM72" s="1949"/>
      <c r="AN72" s="1949"/>
      <c r="AO72" s="1949"/>
      <c r="AP72" s="1949"/>
      <c r="AQ72" s="1949"/>
      <c r="AR72" s="1949"/>
      <c r="AS72" s="1949"/>
      <c r="AT72" s="1949"/>
      <c r="AU72" s="1949"/>
      <c r="AV72" s="1949"/>
      <c r="AW72" s="1949"/>
    </row>
    <row r="73" spans="1:52" ht="18" customHeight="1" x14ac:dyDescent="0.25">
      <c r="A73" s="296"/>
      <c r="B73" s="296"/>
      <c r="C73" s="296"/>
      <c r="D73" s="296"/>
      <c r="E73" s="296"/>
      <c r="F73" s="296"/>
      <c r="G73" s="296"/>
      <c r="H73" s="296"/>
      <c r="I73" s="296"/>
      <c r="J73" s="296"/>
      <c r="K73" s="296"/>
      <c r="L73" s="296"/>
      <c r="M73" s="296"/>
      <c r="N73" s="296"/>
      <c r="O73" s="296"/>
      <c r="P73" s="296"/>
      <c r="Q73" s="296"/>
      <c r="R73" s="296"/>
      <c r="S73" s="296"/>
      <c r="T73" s="296"/>
      <c r="U73" s="296"/>
      <c r="V73" s="296"/>
      <c r="W73" s="247"/>
      <c r="X73" s="247"/>
      <c r="Y73" s="247"/>
      <c r="Z73" s="247"/>
      <c r="AA73" s="247"/>
      <c r="AB73" s="247"/>
      <c r="AC73" s="247"/>
      <c r="AD73" s="247"/>
      <c r="AE73" s="247"/>
      <c r="AF73" s="1949"/>
      <c r="AG73" s="1949"/>
      <c r="AH73" s="1949"/>
      <c r="AI73" s="1949"/>
      <c r="AJ73" s="1949"/>
      <c r="AK73" s="1949"/>
      <c r="AL73" s="1949"/>
      <c r="AM73" s="1949"/>
      <c r="AN73" s="1949"/>
      <c r="AO73" s="1949"/>
      <c r="AP73" s="1949"/>
      <c r="AQ73" s="1949"/>
      <c r="AR73" s="1949"/>
      <c r="AS73" s="1949"/>
      <c r="AT73" s="1949"/>
      <c r="AU73" s="1949"/>
      <c r="AV73" s="1949"/>
      <c r="AW73" s="1949"/>
    </row>
    <row r="74" spans="1:52" ht="27" customHeight="1" x14ac:dyDescent="0.25">
      <c r="A74" s="296"/>
      <c r="B74" s="296"/>
      <c r="C74" s="296"/>
      <c r="D74" s="296"/>
      <c r="E74" s="296"/>
      <c r="F74" s="296"/>
      <c r="G74" s="296"/>
      <c r="H74" s="296"/>
      <c r="I74" s="296"/>
      <c r="J74" s="296"/>
      <c r="K74" s="296"/>
      <c r="L74" s="296"/>
      <c r="M74" s="296"/>
      <c r="N74" s="296"/>
      <c r="O74" s="296"/>
      <c r="P74" s="296"/>
      <c r="Q74" s="296"/>
      <c r="R74" s="296"/>
      <c r="S74" s="296"/>
      <c r="T74" s="296"/>
      <c r="U74" s="296"/>
      <c r="V74" s="296"/>
      <c r="W74" s="247"/>
      <c r="X74" s="247"/>
      <c r="Y74" s="247"/>
      <c r="Z74" s="247"/>
      <c r="AA74" s="247"/>
      <c r="AB74" s="247"/>
      <c r="AC74" s="247"/>
      <c r="AD74" s="247"/>
      <c r="AE74" s="247"/>
      <c r="AF74" s="1949"/>
      <c r="AG74" s="1949"/>
      <c r="AH74" s="1949"/>
      <c r="AI74" s="1949"/>
      <c r="AJ74" s="1949"/>
      <c r="AK74" s="1949"/>
      <c r="AL74" s="1949"/>
      <c r="AM74" s="1949"/>
      <c r="AN74" s="1949"/>
      <c r="AO74" s="1949"/>
      <c r="AP74" s="1949"/>
      <c r="AQ74" s="1949"/>
      <c r="AR74" s="1949"/>
      <c r="AS74" s="1949"/>
      <c r="AT74" s="1949"/>
      <c r="AU74" s="1949"/>
      <c r="AV74" s="1949"/>
      <c r="AW74" s="1949"/>
    </row>
    <row r="75" spans="1:52" ht="15" customHeight="1" x14ac:dyDescent="0.25">
      <c r="A75" s="296"/>
      <c r="B75" s="296"/>
      <c r="C75" s="296"/>
      <c r="D75" s="296"/>
      <c r="E75" s="296"/>
      <c r="F75" s="296"/>
      <c r="G75" s="296"/>
      <c r="H75" s="296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  <c r="U75" s="296"/>
      <c r="V75" s="296"/>
      <c r="W75" s="247"/>
      <c r="X75" s="247"/>
      <c r="Y75" s="247"/>
      <c r="Z75" s="247"/>
      <c r="AA75" s="247"/>
      <c r="AB75" s="247"/>
      <c r="AC75" s="247"/>
      <c r="AD75" s="247"/>
      <c r="AE75" s="247"/>
      <c r="AF75" s="1949"/>
      <c r="AG75" s="1949"/>
      <c r="AH75" s="1949"/>
      <c r="AI75" s="1949"/>
      <c r="AJ75" s="1949"/>
      <c r="AK75" s="1949"/>
      <c r="AL75" s="1949"/>
      <c r="AM75" s="1949"/>
      <c r="AN75" s="1949"/>
      <c r="AO75" s="1949"/>
      <c r="AP75" s="1949"/>
      <c r="AQ75" s="1949"/>
      <c r="AR75" s="1949"/>
      <c r="AS75" s="1949"/>
      <c r="AT75" s="1949"/>
      <c r="AU75" s="1949"/>
      <c r="AV75" s="1949"/>
      <c r="AW75" s="1949"/>
    </row>
    <row r="76" spans="1:52" ht="15" customHeight="1" x14ac:dyDescent="0.25">
      <c r="A76" s="296"/>
      <c r="B76" s="296"/>
      <c r="C76" s="296"/>
      <c r="D76" s="296"/>
      <c r="E76" s="296"/>
      <c r="F76" s="296"/>
      <c r="G76" s="296"/>
      <c r="H76" s="296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47"/>
      <c r="X76" s="247"/>
      <c r="Y76" s="247"/>
      <c r="Z76" s="247"/>
      <c r="AA76" s="247"/>
      <c r="AB76" s="247"/>
      <c r="AC76" s="247"/>
      <c r="AD76" s="247"/>
      <c r="AE76" s="247"/>
      <c r="AF76" s="1949"/>
      <c r="AG76" s="1949"/>
      <c r="AH76" s="1949"/>
      <c r="AI76" s="1949"/>
      <c r="AJ76" s="1949"/>
      <c r="AK76" s="1949"/>
      <c r="AL76" s="1949"/>
      <c r="AM76" s="1949"/>
      <c r="AN76" s="1949"/>
      <c r="AO76" s="1949"/>
      <c r="AP76" s="1949"/>
      <c r="AQ76" s="1949"/>
      <c r="AR76" s="1949"/>
      <c r="AS76" s="1949"/>
      <c r="AT76" s="1949"/>
      <c r="AU76" s="1949"/>
      <c r="AV76" s="1949"/>
      <c r="AW76" s="1949"/>
    </row>
    <row r="77" spans="1:52" ht="15" customHeight="1" x14ac:dyDescent="0.25">
      <c r="A77" s="296"/>
      <c r="B77" s="296"/>
      <c r="C77" s="296"/>
      <c r="D77" s="296"/>
      <c r="E77" s="296"/>
      <c r="F77" s="296"/>
      <c r="G77" s="296"/>
      <c r="H77" s="296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47"/>
      <c r="X77" s="247"/>
      <c r="Y77" s="247"/>
      <c r="Z77" s="247"/>
      <c r="AA77" s="247"/>
      <c r="AB77" s="247"/>
      <c r="AC77" s="247"/>
      <c r="AD77" s="247"/>
      <c r="AE77" s="247"/>
      <c r="AF77" s="1949"/>
      <c r="AG77" s="1949"/>
      <c r="AH77" s="1949"/>
      <c r="AI77" s="1949"/>
      <c r="AJ77" s="1949"/>
      <c r="AK77" s="1949"/>
      <c r="AL77" s="1949"/>
      <c r="AM77" s="1949"/>
      <c r="AN77" s="1949"/>
      <c r="AO77" s="1949"/>
      <c r="AP77" s="1949"/>
      <c r="AQ77" s="1949"/>
      <c r="AR77" s="1949"/>
      <c r="AS77" s="1949"/>
      <c r="AT77" s="1949"/>
      <c r="AU77" s="1949"/>
      <c r="AV77" s="1949"/>
      <c r="AW77" s="1949"/>
    </row>
    <row r="78" spans="1:52" ht="15" customHeight="1" x14ac:dyDescent="0.25">
      <c r="A78" s="296"/>
      <c r="B78" s="296"/>
      <c r="C78" s="296"/>
      <c r="D78" s="296"/>
      <c r="E78" s="296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47"/>
      <c r="X78" s="247"/>
      <c r="Y78" s="247"/>
      <c r="Z78" s="247"/>
      <c r="AA78" s="247"/>
      <c r="AB78" s="247"/>
      <c r="AC78" s="247"/>
      <c r="AD78" s="247"/>
      <c r="AE78" s="247"/>
      <c r="AF78" s="1949"/>
      <c r="AG78" s="1949"/>
      <c r="AH78" s="1949"/>
      <c r="AI78" s="1949"/>
      <c r="AJ78" s="1949"/>
      <c r="AK78" s="1949"/>
      <c r="AL78" s="1949"/>
      <c r="AM78" s="1949"/>
      <c r="AN78" s="1949"/>
      <c r="AO78" s="1949"/>
      <c r="AP78" s="1949"/>
      <c r="AQ78" s="1949"/>
      <c r="AR78" s="1949"/>
      <c r="AS78" s="1949"/>
      <c r="AT78" s="1949"/>
      <c r="AU78" s="1949"/>
      <c r="AV78" s="1949"/>
      <c r="AW78" s="1949"/>
    </row>
    <row r="79" spans="1:52" ht="15" customHeight="1" x14ac:dyDescent="0.25">
      <c r="A79" s="296"/>
      <c r="B79" s="296"/>
      <c r="C79" s="296"/>
      <c r="D79" s="296"/>
      <c r="E79" s="296"/>
      <c r="F79" s="296"/>
      <c r="G79" s="296"/>
      <c r="H79" s="296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47"/>
      <c r="X79" s="247"/>
      <c r="Y79" s="247"/>
      <c r="Z79" s="247"/>
      <c r="AA79" s="247"/>
      <c r="AB79" s="247"/>
      <c r="AC79" s="247"/>
      <c r="AD79" s="247"/>
      <c r="AE79" s="247"/>
      <c r="AF79" s="1949"/>
      <c r="AG79" s="1949"/>
      <c r="AH79" s="1949"/>
      <c r="AI79" s="1949"/>
      <c r="AJ79" s="1949"/>
      <c r="AK79" s="1949"/>
      <c r="AL79" s="1949"/>
      <c r="AM79" s="1949"/>
      <c r="AN79" s="1949"/>
      <c r="AO79" s="1949"/>
      <c r="AP79" s="1949"/>
      <c r="AQ79" s="1949"/>
      <c r="AR79" s="1949"/>
      <c r="AS79" s="1949"/>
      <c r="AT79" s="1949"/>
      <c r="AU79" s="1949"/>
      <c r="AV79" s="1949"/>
      <c r="AW79" s="1949"/>
    </row>
    <row r="80" spans="1:52" ht="15" customHeight="1" x14ac:dyDescent="0.25">
      <c r="A80" s="296"/>
      <c r="B80" s="296"/>
      <c r="C80" s="296"/>
      <c r="D80" s="296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47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  <c r="AH80" s="247"/>
      <c r="AI80" s="247"/>
      <c r="AJ80" s="247"/>
      <c r="AK80" s="247"/>
      <c r="AL80" s="247"/>
      <c r="AM80" s="247"/>
      <c r="AN80" s="247"/>
      <c r="AO80" s="250"/>
      <c r="AP80" s="250"/>
      <c r="AQ80" s="250"/>
      <c r="AR80" s="250"/>
      <c r="AS80" s="250"/>
      <c r="AT80" s="250"/>
    </row>
    <row r="81" spans="1:46" ht="15" customHeight="1" x14ac:dyDescent="0.25">
      <c r="A81" s="296"/>
      <c r="B81" s="296"/>
      <c r="C81" s="296"/>
      <c r="D81" s="296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  <c r="AI81" s="247"/>
      <c r="AJ81" s="247"/>
      <c r="AK81" s="247"/>
      <c r="AL81" s="247"/>
      <c r="AM81" s="247"/>
      <c r="AN81" s="247"/>
      <c r="AO81" s="250"/>
      <c r="AP81" s="250"/>
      <c r="AQ81" s="250"/>
      <c r="AR81" s="250"/>
      <c r="AS81" s="250"/>
      <c r="AT81" s="250"/>
    </row>
    <row r="82" spans="1:46" ht="15" customHeight="1" x14ac:dyDescent="0.25">
      <c r="A82" s="296"/>
      <c r="B82" s="296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  <c r="AH82" s="247"/>
      <c r="AI82" s="247"/>
      <c r="AJ82" s="247"/>
      <c r="AK82" s="247"/>
      <c r="AL82" s="247"/>
      <c r="AM82" s="247"/>
      <c r="AN82" s="247"/>
      <c r="AO82" s="250"/>
      <c r="AP82" s="250"/>
      <c r="AQ82" s="250"/>
      <c r="AR82" s="250"/>
      <c r="AS82" s="250"/>
      <c r="AT82" s="250"/>
    </row>
    <row r="83" spans="1:46" ht="15" customHeight="1" x14ac:dyDescent="0.25">
      <c r="A83" s="296"/>
      <c r="B83" s="296"/>
      <c r="C83" s="296"/>
      <c r="D83" s="296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  <c r="AI83" s="247"/>
      <c r="AJ83" s="247"/>
      <c r="AK83" s="247"/>
      <c r="AL83" s="247"/>
      <c r="AM83" s="247"/>
      <c r="AN83" s="247"/>
      <c r="AO83" s="250"/>
      <c r="AP83" s="250"/>
      <c r="AQ83" s="250"/>
      <c r="AR83" s="250"/>
      <c r="AS83" s="250"/>
      <c r="AT83" s="250"/>
    </row>
    <row r="84" spans="1:46" ht="15" customHeight="1" x14ac:dyDescent="0.25">
      <c r="A84" s="296"/>
      <c r="B84" s="296"/>
      <c r="C84" s="296"/>
      <c r="D84" s="296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  <c r="AI84" s="247"/>
      <c r="AJ84" s="247"/>
      <c r="AK84" s="247"/>
      <c r="AL84" s="247"/>
      <c r="AM84" s="247"/>
      <c r="AN84" s="247"/>
      <c r="AO84" s="250"/>
      <c r="AP84" s="250"/>
      <c r="AQ84" s="250"/>
      <c r="AR84" s="250"/>
      <c r="AS84" s="250"/>
      <c r="AT84" s="250"/>
    </row>
    <row r="85" spans="1:46" ht="15" customHeight="1" x14ac:dyDescent="0.25">
      <c r="A85" s="296"/>
      <c r="B85" s="296"/>
      <c r="C85" s="296"/>
      <c r="D85" s="296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  <c r="AJ85" s="247"/>
      <c r="AK85" s="247"/>
      <c r="AL85" s="247"/>
      <c r="AM85" s="247"/>
      <c r="AN85" s="247"/>
      <c r="AO85" s="250"/>
      <c r="AP85" s="250"/>
      <c r="AQ85" s="250"/>
      <c r="AR85" s="250"/>
      <c r="AS85" s="250"/>
      <c r="AT85" s="250"/>
    </row>
    <row r="86" spans="1:46" ht="15" customHeight="1" x14ac:dyDescent="0.25">
      <c r="A86" s="296"/>
      <c r="B86" s="296"/>
      <c r="C86" s="296"/>
      <c r="D86" s="296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  <c r="AI86" s="247"/>
      <c r="AJ86" s="247"/>
      <c r="AK86" s="247"/>
      <c r="AL86" s="247"/>
      <c r="AM86" s="247"/>
      <c r="AN86" s="247"/>
      <c r="AO86" s="250"/>
      <c r="AP86" s="250"/>
      <c r="AQ86" s="250"/>
      <c r="AR86" s="250"/>
      <c r="AS86" s="250"/>
      <c r="AT86" s="250"/>
    </row>
    <row r="87" spans="1:46" ht="15" customHeight="1" x14ac:dyDescent="0.25">
      <c r="A87" s="296"/>
      <c r="B87" s="296"/>
      <c r="C87" s="296"/>
      <c r="D87" s="296"/>
      <c r="E87" s="296"/>
      <c r="F87" s="296"/>
      <c r="G87" s="296"/>
      <c r="H87" s="296"/>
      <c r="I87" s="296"/>
      <c r="J87" s="296"/>
      <c r="K87" s="296"/>
      <c r="L87" s="296"/>
      <c r="M87" s="296"/>
      <c r="N87" s="296"/>
      <c r="O87" s="296"/>
      <c r="P87" s="296"/>
      <c r="Q87" s="296"/>
      <c r="R87" s="296"/>
      <c r="S87" s="296"/>
      <c r="T87" s="296"/>
      <c r="U87" s="296"/>
      <c r="V87" s="296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I87" s="247"/>
      <c r="AJ87" s="247"/>
      <c r="AK87" s="247"/>
      <c r="AL87" s="247"/>
      <c r="AM87" s="247"/>
      <c r="AN87" s="247"/>
      <c r="AO87" s="250"/>
      <c r="AP87" s="250"/>
      <c r="AQ87" s="250"/>
      <c r="AR87" s="250"/>
      <c r="AS87" s="250"/>
      <c r="AT87" s="250"/>
    </row>
    <row r="88" spans="1:46" ht="15" customHeight="1" x14ac:dyDescent="0.25">
      <c r="A88" s="296"/>
      <c r="B88" s="296"/>
      <c r="C88" s="296"/>
      <c r="D88" s="296"/>
      <c r="E88" s="296"/>
      <c r="F88" s="296"/>
      <c r="G88" s="296"/>
      <c r="H88" s="296"/>
      <c r="I88" s="296"/>
      <c r="J88" s="296"/>
      <c r="K88" s="296"/>
      <c r="L88" s="296"/>
      <c r="M88" s="296"/>
      <c r="N88" s="296"/>
      <c r="O88" s="296"/>
      <c r="P88" s="296"/>
      <c r="Q88" s="296"/>
      <c r="R88" s="296"/>
      <c r="S88" s="296"/>
      <c r="T88" s="296"/>
      <c r="U88" s="296"/>
      <c r="V88" s="296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  <c r="AI88" s="247"/>
      <c r="AJ88" s="247"/>
      <c r="AK88" s="247"/>
      <c r="AL88" s="247"/>
      <c r="AM88" s="247"/>
      <c r="AN88" s="247"/>
      <c r="AO88" s="250"/>
      <c r="AP88" s="250"/>
      <c r="AQ88" s="250"/>
      <c r="AR88" s="250"/>
      <c r="AS88" s="250"/>
      <c r="AT88" s="250"/>
    </row>
    <row r="89" spans="1:46" ht="15" customHeight="1" x14ac:dyDescent="0.25">
      <c r="A89" s="296"/>
      <c r="B89" s="296"/>
      <c r="C89" s="296"/>
      <c r="D89" s="296"/>
      <c r="E89" s="296"/>
      <c r="F89" s="296"/>
      <c r="G89" s="296"/>
      <c r="H89" s="296"/>
      <c r="I89" s="296"/>
      <c r="J89" s="296"/>
      <c r="K89" s="296"/>
      <c r="L89" s="296"/>
      <c r="M89" s="296"/>
      <c r="N89" s="296"/>
      <c r="O89" s="296"/>
      <c r="P89" s="296"/>
      <c r="Q89" s="296"/>
      <c r="R89" s="296"/>
      <c r="S89" s="296"/>
      <c r="T89" s="296"/>
      <c r="U89" s="296"/>
      <c r="V89" s="296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  <c r="AI89" s="247"/>
      <c r="AJ89" s="247"/>
      <c r="AK89" s="247"/>
      <c r="AL89" s="247"/>
      <c r="AM89" s="247"/>
      <c r="AN89" s="247"/>
      <c r="AO89" s="247"/>
      <c r="AP89" s="247"/>
      <c r="AQ89" s="247"/>
    </row>
    <row r="90" spans="1:46" ht="15" customHeight="1" x14ac:dyDescent="0.25">
      <c r="A90" s="296"/>
      <c r="B90" s="296"/>
      <c r="C90" s="296"/>
      <c r="D90" s="296"/>
      <c r="E90" s="296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96"/>
      <c r="Q90" s="296"/>
      <c r="R90" s="296"/>
      <c r="S90" s="296"/>
      <c r="T90" s="296"/>
      <c r="U90" s="296"/>
      <c r="V90" s="296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  <c r="AI90" s="247"/>
      <c r="AJ90" s="247"/>
      <c r="AK90" s="247"/>
      <c r="AL90" s="247"/>
      <c r="AM90" s="247"/>
      <c r="AN90" s="247"/>
      <c r="AO90" s="247"/>
      <c r="AP90" s="247"/>
      <c r="AQ90" s="247"/>
    </row>
    <row r="91" spans="1:46" ht="15" customHeight="1" x14ac:dyDescent="0.25">
      <c r="A91" s="296"/>
      <c r="B91" s="296"/>
      <c r="C91" s="296"/>
      <c r="D91" s="296"/>
      <c r="E91" s="296"/>
      <c r="F91" s="296"/>
      <c r="G91" s="296"/>
      <c r="H91" s="296"/>
      <c r="I91" s="296"/>
      <c r="J91" s="296"/>
      <c r="K91" s="296"/>
      <c r="L91" s="296"/>
      <c r="M91" s="296"/>
      <c r="N91" s="296"/>
      <c r="O91" s="296"/>
      <c r="P91" s="296"/>
      <c r="Q91" s="296"/>
      <c r="R91" s="296"/>
      <c r="S91" s="296"/>
      <c r="T91" s="296"/>
      <c r="U91" s="296"/>
      <c r="V91" s="296"/>
    </row>
    <row r="92" spans="1:46" ht="15" customHeight="1" x14ac:dyDescent="0.25">
      <c r="A92" s="296"/>
      <c r="B92" s="296"/>
      <c r="C92" s="296"/>
      <c r="D92" s="296"/>
      <c r="E92" s="296"/>
      <c r="F92" s="296"/>
      <c r="G92" s="296"/>
      <c r="H92" s="296"/>
      <c r="I92" s="296"/>
      <c r="J92" s="296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</row>
    <row r="93" spans="1:46" ht="15" customHeight="1" x14ac:dyDescent="0.25">
      <c r="A93" s="296"/>
      <c r="B93" s="296"/>
      <c r="C93" s="296"/>
      <c r="D93" s="296"/>
      <c r="E93" s="296"/>
      <c r="F93" s="296"/>
      <c r="G93" s="296"/>
      <c r="H93" s="296"/>
      <c r="I93" s="296"/>
      <c r="J93" s="296"/>
      <c r="K93" s="296"/>
      <c r="L93" s="296"/>
      <c r="M93" s="296"/>
      <c r="N93" s="296"/>
      <c r="O93" s="296"/>
      <c r="P93" s="296"/>
      <c r="Q93" s="296"/>
      <c r="R93" s="296"/>
      <c r="S93" s="296"/>
      <c r="T93" s="296"/>
      <c r="U93" s="296"/>
      <c r="V93" s="296"/>
    </row>
    <row r="94" spans="1:46" ht="15" customHeight="1" x14ac:dyDescent="0.25">
      <c r="A94" s="296"/>
      <c r="B94" s="296"/>
      <c r="C94" s="296"/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296"/>
      <c r="V94" s="296"/>
    </row>
    <row r="95" spans="1:46" ht="15" customHeight="1" x14ac:dyDescent="0.25">
      <c r="A95" s="296"/>
      <c r="B95" s="296"/>
      <c r="C95" s="296"/>
      <c r="D95" s="296"/>
      <c r="E95" s="296"/>
      <c r="F95" s="296"/>
      <c r="G95" s="296"/>
      <c r="H95" s="296"/>
      <c r="I95" s="296"/>
      <c r="J95" s="296"/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</row>
    <row r="96" spans="1:46" ht="15" customHeight="1" x14ac:dyDescent="0.25">
      <c r="A96" s="296"/>
      <c r="B96" s="296"/>
      <c r="C96" s="296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</row>
  </sheetData>
  <mergeCells count="76">
    <mergeCell ref="N7:O7"/>
    <mergeCell ref="N44:N45"/>
    <mergeCell ref="Y7:Y8"/>
    <mergeCell ref="Z7:Z8"/>
    <mergeCell ref="AC7:AC8"/>
    <mergeCell ref="O44:O45"/>
    <mergeCell ref="P44:P45"/>
    <mergeCell ref="Q44:Q45"/>
    <mergeCell ref="R44:R45"/>
    <mergeCell ref="S44:S45"/>
    <mergeCell ref="T44:T45"/>
    <mergeCell ref="U44:U45"/>
    <mergeCell ref="V44:V45"/>
    <mergeCell ref="W44:W45"/>
    <mergeCell ref="X44:X45"/>
    <mergeCell ref="Y44:Y45"/>
    <mergeCell ref="J7:K7"/>
    <mergeCell ref="G7:G8"/>
    <mergeCell ref="H7:H8"/>
    <mergeCell ref="I7:I8"/>
    <mergeCell ref="L7:M7"/>
    <mergeCell ref="AM7:AM8"/>
    <mergeCell ref="AN7:AN8"/>
    <mergeCell ref="A44:A45"/>
    <mergeCell ref="B44:B45"/>
    <mergeCell ref="C44:C45"/>
    <mergeCell ref="D44:D45"/>
    <mergeCell ref="E44:E45"/>
    <mergeCell ref="L44:M44"/>
    <mergeCell ref="G44:G45"/>
    <mergeCell ref="H44:H45"/>
    <mergeCell ref="I44:I45"/>
    <mergeCell ref="X7:X8"/>
    <mergeCell ref="R7:S7"/>
    <mergeCell ref="T7:U7"/>
    <mergeCell ref="V7:W7"/>
    <mergeCell ref="P7:Q7"/>
    <mergeCell ref="AO7:AO8"/>
    <mergeCell ref="AP7:AP8"/>
    <mergeCell ref="AL7:AL8"/>
    <mergeCell ref="F44:F45"/>
    <mergeCell ref="BB7:BB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Q7:AQ8"/>
    <mergeCell ref="AK7:AK8"/>
    <mergeCell ref="AA7:AA8"/>
    <mergeCell ref="AB7:AB8"/>
    <mergeCell ref="AG7:AG8"/>
    <mergeCell ref="AI7:AI8"/>
    <mergeCell ref="AJ7:AJ8"/>
    <mergeCell ref="AF7:AF8"/>
    <mergeCell ref="AH7:AH8"/>
    <mergeCell ref="AD7:AD8"/>
    <mergeCell ref="AE7:AE8"/>
    <mergeCell ref="F7:F8"/>
    <mergeCell ref="A7:A8"/>
    <mergeCell ref="B7:B8"/>
    <mergeCell ref="C7:C8"/>
    <mergeCell ref="D7:D8"/>
    <mergeCell ref="E7:E8"/>
    <mergeCell ref="AE44:AE45"/>
    <mergeCell ref="AF44:AF45"/>
    <mergeCell ref="Z44:Z45"/>
    <mergeCell ref="AA44:AA45"/>
    <mergeCell ref="AB44:AB45"/>
    <mergeCell ref="AC44:AC45"/>
    <mergeCell ref="AD44:AD45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0" r:id="rId1"/>
  <ignoredErrors>
    <ignoredError sqref="H67 AD67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4"/>
  <sheetViews>
    <sheetView topLeftCell="M1" workbookViewId="0">
      <selection activeCell="S2" sqref="S2"/>
    </sheetView>
  </sheetViews>
  <sheetFormatPr defaultRowHeight="15" x14ac:dyDescent="0.25"/>
  <cols>
    <col min="1" max="1" width="3.85546875" customWidth="1"/>
    <col min="2" max="2" width="18" customWidth="1"/>
    <col min="3" max="3" width="6.85546875" customWidth="1"/>
    <col min="4" max="4" width="7.28515625" customWidth="1"/>
    <col min="5" max="5" width="8.140625" customWidth="1"/>
    <col min="6" max="6" width="8.28515625" customWidth="1"/>
    <col min="7" max="7" width="9.85546875" customWidth="1"/>
    <col min="8" max="8" width="9.5703125" customWidth="1"/>
    <col min="9" max="9" width="11" customWidth="1"/>
    <col min="10" max="10" width="11.5703125" customWidth="1"/>
    <col min="11" max="11" width="12" customWidth="1"/>
    <col min="12" max="14" width="11.5703125" customWidth="1"/>
    <col min="15" max="15" width="12" customWidth="1"/>
    <col min="16" max="16" width="10" customWidth="1"/>
    <col min="17" max="17" width="9.7109375" customWidth="1"/>
    <col min="18" max="18" width="11.140625" customWidth="1"/>
    <col min="19" max="20" width="10.5703125" customWidth="1"/>
    <col min="21" max="21" width="10.28515625" customWidth="1"/>
    <col min="22" max="22" width="9.42578125" customWidth="1"/>
    <col min="23" max="23" width="10.5703125" customWidth="1"/>
    <col min="24" max="25" width="11.42578125" customWidth="1"/>
    <col min="26" max="27" width="11.140625" customWidth="1"/>
    <col min="28" max="28" width="11.5703125" customWidth="1"/>
    <col min="29" max="29" width="11.7109375" customWidth="1"/>
    <col min="30" max="32" width="9.140625" customWidth="1"/>
    <col min="33" max="33" width="10.28515625" customWidth="1"/>
    <col min="34" max="34" width="11.28515625" customWidth="1"/>
    <col min="35" max="35" width="10.28515625" customWidth="1"/>
  </cols>
  <sheetData>
    <row r="1" spans="1:37" ht="18.75" x14ac:dyDescent="0.3">
      <c r="B1" s="74" t="s">
        <v>649</v>
      </c>
      <c r="C1" s="74"/>
      <c r="D1" s="74"/>
      <c r="E1" s="74"/>
      <c r="F1" s="74"/>
      <c r="G1" s="74"/>
      <c r="H1" s="74"/>
      <c r="I1" s="74"/>
      <c r="J1" s="74"/>
      <c r="K1" s="1"/>
      <c r="L1" s="1"/>
      <c r="M1" s="1"/>
      <c r="N1" s="1"/>
      <c r="O1" s="1"/>
      <c r="P1" s="1"/>
      <c r="Q1" s="1"/>
      <c r="AD1" s="34"/>
      <c r="AE1" s="34"/>
      <c r="AF1" s="34"/>
    </row>
    <row r="2" spans="1:37" ht="18.75" x14ac:dyDescent="0.3">
      <c r="A2" s="17"/>
      <c r="B2" s="74"/>
      <c r="C2" s="149"/>
      <c r="D2" s="74"/>
      <c r="E2" s="74"/>
      <c r="F2" s="74"/>
      <c r="G2" s="613" t="s">
        <v>608</v>
      </c>
      <c r="H2" s="74"/>
      <c r="I2" s="74"/>
      <c r="J2" s="74"/>
      <c r="K2" s="1"/>
      <c r="L2" s="1"/>
      <c r="M2" s="1"/>
      <c r="N2" s="1"/>
      <c r="O2" s="1"/>
      <c r="P2" s="1"/>
      <c r="Q2" s="1"/>
      <c r="AD2" s="34"/>
      <c r="AE2" s="34"/>
      <c r="AF2" s="34"/>
    </row>
    <row r="3" spans="1:37" ht="18" x14ac:dyDescent="0.25">
      <c r="A3" s="1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AD3" s="34"/>
      <c r="AE3" s="34"/>
      <c r="AF3" s="34"/>
      <c r="AH3" s="250"/>
      <c r="AI3" s="250"/>
      <c r="AJ3" s="250"/>
      <c r="AK3" s="250"/>
    </row>
    <row r="4" spans="1:37" ht="18" x14ac:dyDescent="0.25">
      <c r="A4" s="17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AD4" s="34"/>
      <c r="AE4" s="34"/>
      <c r="AF4" s="34"/>
      <c r="AH4" s="250"/>
      <c r="AI4" s="250"/>
      <c r="AJ4" s="250"/>
      <c r="AK4" s="250"/>
    </row>
    <row r="5" spans="1:37" ht="51" customHeight="1" x14ac:dyDescent="0.25">
      <c r="A5" s="2017" t="s">
        <v>0</v>
      </c>
      <c r="B5" s="2017" t="s">
        <v>184</v>
      </c>
      <c r="C5" s="2017" t="s">
        <v>54</v>
      </c>
      <c r="D5" s="2017" t="s">
        <v>55</v>
      </c>
      <c r="E5" s="2017" t="s">
        <v>56</v>
      </c>
      <c r="F5" s="2017" t="s">
        <v>57</v>
      </c>
      <c r="G5" s="2017" t="s">
        <v>6</v>
      </c>
      <c r="H5" s="2264" t="s">
        <v>281</v>
      </c>
      <c r="I5" s="2097" t="s">
        <v>593</v>
      </c>
      <c r="J5" s="2060"/>
      <c r="K5" s="1989" t="s">
        <v>310</v>
      </c>
      <c r="L5" s="1990"/>
      <c r="M5" s="2017" t="s">
        <v>598</v>
      </c>
      <c r="N5" s="2017"/>
      <c r="O5" s="2108" t="s">
        <v>495</v>
      </c>
      <c r="P5" s="2009" t="s">
        <v>496</v>
      </c>
      <c r="Q5" s="2102" t="s">
        <v>377</v>
      </c>
      <c r="R5" s="2003" t="s">
        <v>497</v>
      </c>
      <c r="S5" s="2003" t="s">
        <v>10</v>
      </c>
      <c r="T5" s="2003" t="s">
        <v>609</v>
      </c>
      <c r="U5" s="2003" t="s">
        <v>578</v>
      </c>
      <c r="V5" s="2003" t="s">
        <v>502</v>
      </c>
      <c r="W5" s="2108" t="s">
        <v>498</v>
      </c>
      <c r="X5" s="2194" t="s">
        <v>458</v>
      </c>
      <c r="Y5" s="2003"/>
      <c r="Z5" s="262" t="s">
        <v>13</v>
      </c>
      <c r="AA5" s="2108" t="s">
        <v>569</v>
      </c>
      <c r="AB5" s="2108" t="s">
        <v>499</v>
      </c>
      <c r="AC5" s="1987" t="s">
        <v>175</v>
      </c>
      <c r="AD5" s="2005" t="s">
        <v>610</v>
      </c>
      <c r="AE5" s="2005" t="s">
        <v>611</v>
      </c>
      <c r="AF5" s="2266" t="s">
        <v>265</v>
      </c>
      <c r="AG5" s="2001" t="s">
        <v>549</v>
      </c>
      <c r="AH5" s="2257" t="s">
        <v>566</v>
      </c>
      <c r="AI5" s="250"/>
      <c r="AJ5" s="250"/>
      <c r="AK5" s="250"/>
    </row>
    <row r="6" spans="1:37" ht="39" customHeight="1" x14ac:dyDescent="0.25">
      <c r="A6" s="2017"/>
      <c r="B6" s="2017"/>
      <c r="C6" s="2017"/>
      <c r="D6" s="2017"/>
      <c r="E6" s="2017"/>
      <c r="F6" s="2017"/>
      <c r="G6" s="2017"/>
      <c r="H6" s="2265"/>
      <c r="I6" s="150" t="s">
        <v>15</v>
      </c>
      <c r="J6" s="1276" t="s">
        <v>16</v>
      </c>
      <c r="K6" s="150" t="s">
        <v>15</v>
      </c>
      <c r="L6" s="1276" t="s">
        <v>16</v>
      </c>
      <c r="M6" s="150" t="s">
        <v>15</v>
      </c>
      <c r="N6" s="1276" t="s">
        <v>16</v>
      </c>
      <c r="O6" s="2108"/>
      <c r="P6" s="2009"/>
      <c r="Q6" s="2102"/>
      <c r="R6" s="2004"/>
      <c r="S6" s="2004"/>
      <c r="T6" s="2004"/>
      <c r="U6" s="2004"/>
      <c r="V6" s="2004"/>
      <c r="W6" s="2108"/>
      <c r="X6" s="2195"/>
      <c r="Y6" s="2004"/>
      <c r="Z6" s="262" t="s">
        <v>266</v>
      </c>
      <c r="AA6" s="2108"/>
      <c r="AB6" s="2108"/>
      <c r="AC6" s="1988"/>
      <c r="AD6" s="2006"/>
      <c r="AE6" s="2006"/>
      <c r="AF6" s="2267"/>
      <c r="AG6" s="2002"/>
      <c r="AH6" s="2258"/>
      <c r="AI6" s="250"/>
      <c r="AJ6" s="250"/>
      <c r="AK6" s="250"/>
    </row>
    <row r="7" spans="1:37" x14ac:dyDescent="0.25">
      <c r="A7" s="331">
        <v>1</v>
      </c>
      <c r="B7" s="332" t="s">
        <v>267</v>
      </c>
      <c r="C7" s="990">
        <v>1964</v>
      </c>
      <c r="D7" s="990">
        <v>2</v>
      </c>
      <c r="E7" s="990">
        <v>16</v>
      </c>
      <c r="F7" s="991">
        <v>27</v>
      </c>
      <c r="G7" s="990">
        <v>635.25</v>
      </c>
      <c r="H7" s="990"/>
      <c r="I7" s="993">
        <v>1454.75</v>
      </c>
      <c r="J7" s="993">
        <v>1149.69</v>
      </c>
      <c r="K7" s="992">
        <v>31940.400000000001</v>
      </c>
      <c r="L7" s="992">
        <v>31296.63</v>
      </c>
      <c r="M7" s="992">
        <f>I7+K7</f>
        <v>33395.15</v>
      </c>
      <c r="N7" s="992">
        <f>J7+L7</f>
        <v>32446.32</v>
      </c>
      <c r="O7" s="993">
        <f>P7+Q7+R7+S7+T7+U7+V7+W7+X7+Z7+AA7+AB7</f>
        <v>25698.146653650474</v>
      </c>
      <c r="P7" s="993">
        <v>201.1</v>
      </c>
      <c r="Q7" s="994"/>
      <c r="R7" s="995">
        <v>2082.36</v>
      </c>
      <c r="S7" s="995"/>
      <c r="T7" s="995">
        <f>1000/19301.57*G7</f>
        <v>32.911830488400689</v>
      </c>
      <c r="U7" s="995">
        <f>9839.37/19301.57*G7</f>
        <v>323.83167755265504</v>
      </c>
      <c r="V7" s="995"/>
      <c r="W7" s="995">
        <f>35715.53/19301.57*G7</f>
        <v>1175.4634691633892</v>
      </c>
      <c r="X7" s="995">
        <f>299950.06/908496.72*K7</f>
        <v>10545.469989615372</v>
      </c>
      <c r="Y7" s="995"/>
      <c r="Z7" s="995">
        <f>168213.88/19301.57*G7</f>
        <v>5536.2267043561742</v>
      </c>
      <c r="AA7" s="995">
        <f>Z7*0.202</f>
        <v>1118.3177942799473</v>
      </c>
      <c r="AB7" s="995">
        <f>142273.01/19301.57*G7</f>
        <v>4682.4651881945356</v>
      </c>
      <c r="AC7" s="996">
        <f>M7-O7</f>
        <v>7697.0033463495274</v>
      </c>
      <c r="AD7" s="916">
        <f>L7/K7*100</f>
        <v>97.984464815719278</v>
      </c>
      <c r="AE7" s="916">
        <f>J7/I7*100</f>
        <v>79.030073895858393</v>
      </c>
      <c r="AF7" s="916">
        <f>O7/G7/6</f>
        <v>6.7422659461236982</v>
      </c>
      <c r="AG7" s="996">
        <v>8.3800000000000008</v>
      </c>
      <c r="AH7" s="467">
        <f>M7-N7</f>
        <v>948.83000000000175</v>
      </c>
      <c r="AI7" s="250"/>
      <c r="AJ7" s="250"/>
      <c r="AK7" s="250"/>
    </row>
    <row r="8" spans="1:37" x14ac:dyDescent="0.25">
      <c r="A8" s="331">
        <v>2</v>
      </c>
      <c r="B8" s="332" t="s">
        <v>268</v>
      </c>
      <c r="C8" s="997">
        <v>1965</v>
      </c>
      <c r="D8" s="997">
        <v>2</v>
      </c>
      <c r="E8" s="997">
        <v>16</v>
      </c>
      <c r="F8" s="998">
        <v>36</v>
      </c>
      <c r="G8" s="999">
        <v>632.16999999999996</v>
      </c>
      <c r="H8" s="999"/>
      <c r="I8" s="1017">
        <v>1454.88</v>
      </c>
      <c r="J8" s="1017">
        <v>1131.03</v>
      </c>
      <c r="K8" s="992">
        <v>31717.74</v>
      </c>
      <c r="L8" s="992">
        <v>31739.83</v>
      </c>
      <c r="M8" s="992">
        <f t="shared" ref="M8:N20" si="0">I8+K8</f>
        <v>33172.620000000003</v>
      </c>
      <c r="N8" s="992">
        <f t="shared" si="0"/>
        <v>32870.86</v>
      </c>
      <c r="O8" s="993">
        <f t="shared" ref="O8:O20" si="1">P8+Q8+R8+S8+T8+U8+V8+W8+X8+Z8+AA8+AB8</f>
        <v>25460.936834158976</v>
      </c>
      <c r="P8" s="993">
        <v>99.8</v>
      </c>
      <c r="Q8" s="994"/>
      <c r="R8" s="995">
        <v>2082.36</v>
      </c>
      <c r="S8" s="995"/>
      <c r="T8" s="995">
        <f t="shared" ref="T8:T20" si="2">1000/19301.57*G8</f>
        <v>32.75225797694177</v>
      </c>
      <c r="U8" s="995">
        <f t="shared" ref="U8:U20" si="3">9839.37/19301.57*G8</f>
        <v>322.26158457058153</v>
      </c>
      <c r="V8" s="995"/>
      <c r="W8" s="995">
        <f t="shared" ref="W8:W20" si="4">35715.53/19301.57*G8</f>
        <v>1169.764252343203</v>
      </c>
      <c r="X8" s="995">
        <f t="shared" ref="X8:X20" si="5">299950.06/908496.72*K8</f>
        <v>10471.956372131317</v>
      </c>
      <c r="Y8" s="995"/>
      <c r="Z8" s="995">
        <f t="shared" ref="Z8:Z20" si="6">168213.88/19301.57*G8</f>
        <v>5509.3843930623261</v>
      </c>
      <c r="AA8" s="995">
        <f t="shared" ref="AA8:AA20" si="7">Z8*0.202</f>
        <v>1112.89564739859</v>
      </c>
      <c r="AB8" s="995">
        <f t="shared" ref="AB8:AB20" si="8">142273.01/19301.57*G8</f>
        <v>4659.7623266760165</v>
      </c>
      <c r="AC8" s="996">
        <f t="shared" ref="AC8:AC20" si="9">M8-O8</f>
        <v>7711.6831658410265</v>
      </c>
      <c r="AD8" s="916">
        <f t="shared" ref="AD8:AD21" si="10">L8/K8*100</f>
        <v>100.06964556743326</v>
      </c>
      <c r="AE8" s="916">
        <f t="shared" ref="AE8:AE21" si="11">J8/I8*100</f>
        <v>77.740432200593858</v>
      </c>
      <c r="AF8" s="916">
        <f t="shared" ref="AF8:AF21" si="12">O8/G8/6</f>
        <v>6.7125764784153468</v>
      </c>
      <c r="AG8" s="996">
        <v>8.3800000000000008</v>
      </c>
      <c r="AH8" s="467">
        <f t="shared" ref="AH8:AH21" si="13">M8-N8</f>
        <v>301.76000000000204</v>
      </c>
      <c r="AI8" s="250"/>
      <c r="AJ8" s="250"/>
      <c r="AK8" s="250"/>
    </row>
    <row r="9" spans="1:37" x14ac:dyDescent="0.25">
      <c r="A9" s="331">
        <v>3</v>
      </c>
      <c r="B9" s="332" t="s">
        <v>269</v>
      </c>
      <c r="C9" s="997">
        <v>1967</v>
      </c>
      <c r="D9" s="997">
        <v>2</v>
      </c>
      <c r="E9" s="997">
        <v>16</v>
      </c>
      <c r="F9" s="991">
        <v>36</v>
      </c>
      <c r="G9" s="999">
        <v>731.33</v>
      </c>
      <c r="H9" s="999"/>
      <c r="I9" s="1017">
        <v>1454.7</v>
      </c>
      <c r="J9" s="1017">
        <v>1148.1099999999999</v>
      </c>
      <c r="K9" s="992">
        <v>36726.42</v>
      </c>
      <c r="L9" s="992">
        <v>37552.22</v>
      </c>
      <c r="M9" s="992">
        <f t="shared" si="0"/>
        <v>38181.119999999995</v>
      </c>
      <c r="N9" s="992">
        <f t="shared" si="0"/>
        <v>38700.33</v>
      </c>
      <c r="O9" s="993">
        <f t="shared" si="1"/>
        <v>29023.640507867301</v>
      </c>
      <c r="P9" s="993"/>
      <c r="Q9" s="994"/>
      <c r="R9" s="995">
        <v>2082.36</v>
      </c>
      <c r="S9" s="995"/>
      <c r="T9" s="995">
        <f t="shared" si="2"/>
        <v>37.889663897807282</v>
      </c>
      <c r="U9" s="995">
        <f t="shared" si="3"/>
        <v>372.81042226616802</v>
      </c>
      <c r="V9" s="995"/>
      <c r="W9" s="995">
        <f t="shared" si="4"/>
        <v>1353.2494276320529</v>
      </c>
      <c r="X9" s="995">
        <f t="shared" si="5"/>
        <v>12125.626477314303</v>
      </c>
      <c r="Y9" s="995"/>
      <c r="Z9" s="995">
        <f t="shared" si="6"/>
        <v>6373.5673761460866</v>
      </c>
      <c r="AA9" s="995">
        <f t="shared" si="7"/>
        <v>1287.4606099815096</v>
      </c>
      <c r="AB9" s="995">
        <f t="shared" si="8"/>
        <v>5390.6765306293746</v>
      </c>
      <c r="AC9" s="996">
        <f t="shared" si="9"/>
        <v>9157.4794921326938</v>
      </c>
      <c r="AD9" s="916">
        <f t="shared" si="10"/>
        <v>102.24851755221447</v>
      </c>
      <c r="AE9" s="916">
        <f t="shared" si="11"/>
        <v>78.924176806214334</v>
      </c>
      <c r="AF9" s="916">
        <f t="shared" si="12"/>
        <v>6.6143511383067599</v>
      </c>
      <c r="AG9" s="996">
        <v>8.3699999999999992</v>
      </c>
      <c r="AH9" s="467">
        <f t="shared" si="13"/>
        <v>-519.2100000000064</v>
      </c>
      <c r="AI9" s="250"/>
      <c r="AJ9" s="250"/>
      <c r="AK9" s="250"/>
    </row>
    <row r="10" spans="1:37" x14ac:dyDescent="0.25">
      <c r="A10" s="331">
        <v>4</v>
      </c>
      <c r="B10" s="332" t="s">
        <v>270</v>
      </c>
      <c r="C10" s="997">
        <v>1974</v>
      </c>
      <c r="D10" s="997">
        <v>2</v>
      </c>
      <c r="E10" s="997">
        <v>18</v>
      </c>
      <c r="F10" s="998">
        <v>43</v>
      </c>
      <c r="G10" s="999">
        <v>866.6</v>
      </c>
      <c r="H10" s="999"/>
      <c r="I10" s="1017">
        <v>1835.61</v>
      </c>
      <c r="J10" s="1017">
        <v>1657.73</v>
      </c>
      <c r="K10" s="992">
        <v>43468.68</v>
      </c>
      <c r="L10" s="992">
        <v>44480.24</v>
      </c>
      <c r="M10" s="992">
        <f t="shared" si="0"/>
        <v>45304.29</v>
      </c>
      <c r="N10" s="992">
        <f t="shared" si="0"/>
        <v>46137.97</v>
      </c>
      <c r="O10" s="993">
        <f t="shared" si="1"/>
        <v>36160.549141356983</v>
      </c>
      <c r="P10" s="993">
        <v>101.1</v>
      </c>
      <c r="Q10" s="994"/>
      <c r="R10" s="995">
        <v>4151.7700000000004</v>
      </c>
      <c r="S10" s="995"/>
      <c r="T10" s="995">
        <f t="shared" si="2"/>
        <v>44.897902087757629</v>
      </c>
      <c r="U10" s="995">
        <f t="shared" si="3"/>
        <v>441.76707086521981</v>
      </c>
      <c r="V10" s="995"/>
      <c r="W10" s="995">
        <f t="shared" si="4"/>
        <v>1603.5523689523702</v>
      </c>
      <c r="X10" s="995">
        <f t="shared" si="5"/>
        <v>14351.656849262812</v>
      </c>
      <c r="Y10" s="995"/>
      <c r="Z10" s="995">
        <f t="shared" si="6"/>
        <v>7552.4503140418119</v>
      </c>
      <c r="AA10" s="995">
        <f t="shared" si="7"/>
        <v>1525.5949634364461</v>
      </c>
      <c r="AB10" s="995">
        <f t="shared" si="8"/>
        <v>6387.759672710562</v>
      </c>
      <c r="AC10" s="996">
        <f t="shared" si="9"/>
        <v>9143.7408586430174</v>
      </c>
      <c r="AD10" s="916">
        <f t="shared" si="10"/>
        <v>102.32710079993225</v>
      </c>
      <c r="AE10" s="916">
        <f t="shared" si="11"/>
        <v>90.309488398951856</v>
      </c>
      <c r="AF10" s="916">
        <f t="shared" si="12"/>
        <v>6.9544867184700712</v>
      </c>
      <c r="AG10" s="996">
        <v>8.36</v>
      </c>
      <c r="AH10" s="467">
        <f t="shared" si="13"/>
        <v>-833.68000000000029</v>
      </c>
      <c r="AI10" s="250"/>
      <c r="AJ10" s="250"/>
      <c r="AK10" s="250"/>
    </row>
    <row r="11" spans="1:37" x14ac:dyDescent="0.25">
      <c r="A11" s="331">
        <v>5</v>
      </c>
      <c r="B11" s="332" t="s">
        <v>271</v>
      </c>
      <c r="C11" s="997">
        <v>1976</v>
      </c>
      <c r="D11" s="997">
        <v>2</v>
      </c>
      <c r="E11" s="997">
        <v>18</v>
      </c>
      <c r="F11" s="991">
        <v>44</v>
      </c>
      <c r="G11" s="999">
        <v>865.3</v>
      </c>
      <c r="H11" s="999"/>
      <c r="I11" s="1017">
        <v>1844.39</v>
      </c>
      <c r="J11" s="1017">
        <v>1707.87</v>
      </c>
      <c r="K11" s="992">
        <v>43403.46</v>
      </c>
      <c r="L11" s="992">
        <v>42389.46</v>
      </c>
      <c r="M11" s="992">
        <f t="shared" si="0"/>
        <v>45247.85</v>
      </c>
      <c r="N11" s="992">
        <f t="shared" si="0"/>
        <v>44097.33</v>
      </c>
      <c r="O11" s="993">
        <f t="shared" si="1"/>
        <v>36497.059990662798</v>
      </c>
      <c r="P11" s="993">
        <v>928.37</v>
      </c>
      <c r="Q11" s="994"/>
      <c r="R11" s="995">
        <v>3708.88</v>
      </c>
      <c r="S11" s="995"/>
      <c r="T11" s="995">
        <f t="shared" si="2"/>
        <v>44.830550053700293</v>
      </c>
      <c r="U11" s="995">
        <f t="shared" si="3"/>
        <v>441.10436928187704</v>
      </c>
      <c r="V11" s="995"/>
      <c r="W11" s="995">
        <f t="shared" si="4"/>
        <v>1601.1468553594343</v>
      </c>
      <c r="X11" s="995">
        <f t="shared" si="5"/>
        <v>14330.123757857486</v>
      </c>
      <c r="Y11" s="995"/>
      <c r="Z11" s="995">
        <f t="shared" si="6"/>
        <v>7541.1207670671347</v>
      </c>
      <c r="AA11" s="995">
        <f t="shared" si="7"/>
        <v>1523.3063949475613</v>
      </c>
      <c r="AB11" s="995">
        <f t="shared" si="8"/>
        <v>6378.1772960956023</v>
      </c>
      <c r="AC11" s="996">
        <f t="shared" si="9"/>
        <v>8750.7900093372009</v>
      </c>
      <c r="AD11" s="916">
        <f t="shared" si="10"/>
        <v>97.663780721629095</v>
      </c>
      <c r="AE11" s="916">
        <f t="shared" si="11"/>
        <v>92.598094763038176</v>
      </c>
      <c r="AF11" s="916">
        <f t="shared" si="12"/>
        <v>7.0297507590166797</v>
      </c>
      <c r="AG11" s="996">
        <v>8.36</v>
      </c>
      <c r="AH11" s="467">
        <f t="shared" si="13"/>
        <v>1150.5199999999968</v>
      </c>
      <c r="AI11" s="250"/>
      <c r="AJ11" s="250"/>
      <c r="AK11" s="250"/>
    </row>
    <row r="12" spans="1:37" x14ac:dyDescent="0.25">
      <c r="A12" s="331">
        <v>6</v>
      </c>
      <c r="B12" s="332" t="s">
        <v>272</v>
      </c>
      <c r="C12" s="997">
        <v>1970</v>
      </c>
      <c r="D12" s="997">
        <v>2</v>
      </c>
      <c r="E12" s="997">
        <v>16</v>
      </c>
      <c r="F12" s="998">
        <v>44</v>
      </c>
      <c r="G12" s="999">
        <v>710.36</v>
      </c>
      <c r="H12" s="999"/>
      <c r="I12" s="1017">
        <v>1454.72</v>
      </c>
      <c r="J12" s="1017">
        <v>1180.1099999999999</v>
      </c>
      <c r="K12" s="992">
        <v>35681.879999999997</v>
      </c>
      <c r="L12" s="992">
        <v>31472.73</v>
      </c>
      <c r="M12" s="992">
        <f t="shared" si="0"/>
        <v>37136.6</v>
      </c>
      <c r="N12" s="992">
        <f t="shared" si="0"/>
        <v>32652.84</v>
      </c>
      <c r="O12" s="993">
        <f t="shared" si="1"/>
        <v>28353.753386466658</v>
      </c>
      <c r="P12" s="993">
        <v>99.8</v>
      </c>
      <c r="Q12" s="994"/>
      <c r="R12" s="995">
        <v>2082.36</v>
      </c>
      <c r="S12" s="995"/>
      <c r="T12" s="995">
        <f t="shared" si="2"/>
        <v>36.803223779205524</v>
      </c>
      <c r="U12" s="995">
        <f t="shared" si="3"/>
        <v>362.12053595640151</v>
      </c>
      <c r="V12" s="995"/>
      <c r="W12" s="995">
        <f t="shared" si="4"/>
        <v>1314.4466429829283</v>
      </c>
      <c r="X12" s="995">
        <f t="shared" si="5"/>
        <v>11780.760250750051</v>
      </c>
      <c r="Y12" s="995"/>
      <c r="Z12" s="995">
        <f t="shared" si="6"/>
        <v>6190.8130684084254</v>
      </c>
      <c r="AA12" s="995">
        <f t="shared" si="7"/>
        <v>1250.5442398185021</v>
      </c>
      <c r="AB12" s="995">
        <f t="shared" si="8"/>
        <v>5236.1054247711463</v>
      </c>
      <c r="AC12" s="996">
        <f t="shared" si="9"/>
        <v>8782.8466135333401</v>
      </c>
      <c r="AD12" s="916">
        <f t="shared" si="10"/>
        <v>88.203676487898065</v>
      </c>
      <c r="AE12" s="916">
        <f t="shared" si="11"/>
        <v>81.122827760668713</v>
      </c>
      <c r="AF12" s="916">
        <f t="shared" si="12"/>
        <v>6.6524375871545551</v>
      </c>
      <c r="AG12" s="996">
        <v>8.3699999999999992</v>
      </c>
      <c r="AH12" s="467">
        <f t="shared" si="13"/>
        <v>4483.7599999999984</v>
      </c>
      <c r="AI12" s="250"/>
      <c r="AJ12" s="250"/>
      <c r="AK12" s="250"/>
    </row>
    <row r="13" spans="1:37" x14ac:dyDescent="0.25">
      <c r="A13" s="331">
        <v>7</v>
      </c>
      <c r="B13" s="332" t="s">
        <v>273</v>
      </c>
      <c r="C13" s="997">
        <v>1973</v>
      </c>
      <c r="D13" s="997">
        <v>2</v>
      </c>
      <c r="E13" s="997">
        <v>18</v>
      </c>
      <c r="F13" s="991">
        <v>40</v>
      </c>
      <c r="G13" s="999">
        <v>773.51</v>
      </c>
      <c r="H13" s="999"/>
      <c r="I13" s="1017">
        <v>3000.81</v>
      </c>
      <c r="J13" s="1017">
        <v>2006.24</v>
      </c>
      <c r="K13" s="992">
        <v>36582.54</v>
      </c>
      <c r="L13" s="992">
        <v>28394.799999999999</v>
      </c>
      <c r="M13" s="992">
        <f t="shared" si="0"/>
        <v>39583.35</v>
      </c>
      <c r="N13" s="992">
        <f t="shared" si="0"/>
        <v>30401.040000000001</v>
      </c>
      <c r="O13" s="993">
        <f t="shared" si="1"/>
        <v>29389.130794461958</v>
      </c>
      <c r="P13" s="993">
        <v>99.8</v>
      </c>
      <c r="Q13" s="994"/>
      <c r="R13" s="995">
        <v>1541.05</v>
      </c>
      <c r="S13" s="995"/>
      <c r="T13" s="995">
        <f t="shared" si="2"/>
        <v>40.074978356682905</v>
      </c>
      <c r="U13" s="995">
        <f t="shared" si="3"/>
        <v>394.31253979339505</v>
      </c>
      <c r="V13" s="995"/>
      <c r="W13" s="995">
        <f t="shared" si="4"/>
        <v>1431.2990917474588</v>
      </c>
      <c r="X13" s="995">
        <f t="shared" si="5"/>
        <v>12078.122932521319</v>
      </c>
      <c r="Y13" s="995"/>
      <c r="Z13" s="995">
        <f t="shared" si="6"/>
        <v>6741.1676002936556</v>
      </c>
      <c r="AA13" s="995">
        <f t="shared" si="7"/>
        <v>1361.7158552593185</v>
      </c>
      <c r="AB13" s="995">
        <f t="shared" si="8"/>
        <v>5701.5877964901301</v>
      </c>
      <c r="AC13" s="996">
        <f t="shared" si="9"/>
        <v>10194.21920553804</v>
      </c>
      <c r="AD13" s="916">
        <f t="shared" si="10"/>
        <v>77.618448582301824</v>
      </c>
      <c r="AE13" s="916">
        <f t="shared" si="11"/>
        <v>66.856615380513929</v>
      </c>
      <c r="AF13" s="916">
        <f t="shared" si="12"/>
        <v>6.3324177654376284</v>
      </c>
      <c r="AG13" s="996">
        <v>7.88</v>
      </c>
      <c r="AH13" s="467">
        <f t="shared" si="13"/>
        <v>9182.3099999999977</v>
      </c>
      <c r="AI13" s="250"/>
      <c r="AJ13" s="250"/>
      <c r="AK13" s="250"/>
    </row>
    <row r="14" spans="1:37" x14ac:dyDescent="0.25">
      <c r="A14" s="331">
        <v>8</v>
      </c>
      <c r="B14" s="332" t="s">
        <v>274</v>
      </c>
      <c r="C14" s="997">
        <v>1974</v>
      </c>
      <c r="D14" s="997">
        <v>2</v>
      </c>
      <c r="E14" s="997">
        <v>18</v>
      </c>
      <c r="F14" s="998">
        <v>49</v>
      </c>
      <c r="G14" s="999">
        <v>779.68</v>
      </c>
      <c r="H14" s="999"/>
      <c r="I14" s="1017">
        <v>3021.57</v>
      </c>
      <c r="J14" s="1017">
        <v>1925.39</v>
      </c>
      <c r="K14" s="992">
        <v>36946.980000000003</v>
      </c>
      <c r="L14" s="992">
        <v>28453.57</v>
      </c>
      <c r="M14" s="992">
        <f t="shared" si="0"/>
        <v>39968.550000000003</v>
      </c>
      <c r="N14" s="992">
        <f t="shared" si="0"/>
        <v>30378.959999999999</v>
      </c>
      <c r="O14" s="993">
        <f t="shared" si="1"/>
        <v>29279.619608015601</v>
      </c>
      <c r="P14" s="993">
        <v>99.8</v>
      </c>
      <c r="Q14" s="994"/>
      <c r="R14" s="995">
        <v>1186.22</v>
      </c>
      <c r="S14" s="995"/>
      <c r="T14" s="995">
        <f t="shared" si="2"/>
        <v>40.394641472170399</v>
      </c>
      <c r="U14" s="995">
        <f t="shared" si="3"/>
        <v>397.45782346202924</v>
      </c>
      <c r="V14" s="995"/>
      <c r="W14" s="995">
        <f t="shared" si="4"/>
        <v>1442.7160293385459</v>
      </c>
      <c r="X14" s="995">
        <f t="shared" si="5"/>
        <v>12198.446756988622</v>
      </c>
      <c r="Y14" s="995"/>
      <c r="Z14" s="995">
        <f t="shared" si="6"/>
        <v>6794.9393732426952</v>
      </c>
      <c r="AA14" s="995">
        <f t="shared" si="7"/>
        <v>1372.5777533950245</v>
      </c>
      <c r="AB14" s="995">
        <f t="shared" si="8"/>
        <v>5747.0672301165141</v>
      </c>
      <c r="AC14" s="996">
        <f t="shared" si="9"/>
        <v>10688.930391984402</v>
      </c>
      <c r="AD14" s="916">
        <f t="shared" si="10"/>
        <v>77.011896506832215</v>
      </c>
      <c r="AE14" s="916">
        <f t="shared" si="11"/>
        <v>63.721509016835618</v>
      </c>
      <c r="AF14" s="916">
        <f t="shared" si="12"/>
        <v>6.2588967285757411</v>
      </c>
      <c r="AG14" s="996">
        <v>7.9</v>
      </c>
      <c r="AH14" s="467">
        <f t="shared" si="13"/>
        <v>9589.5900000000038</v>
      </c>
      <c r="AI14" s="250"/>
      <c r="AJ14" s="250"/>
      <c r="AK14" s="250"/>
    </row>
    <row r="15" spans="1:37" x14ac:dyDescent="0.25">
      <c r="A15" s="331">
        <v>9</v>
      </c>
      <c r="B15" s="332" t="s">
        <v>275</v>
      </c>
      <c r="C15" s="997">
        <v>1973</v>
      </c>
      <c r="D15" s="997">
        <v>2</v>
      </c>
      <c r="E15" s="997">
        <v>18</v>
      </c>
      <c r="F15" s="1000">
        <v>50</v>
      </c>
      <c r="G15" s="999">
        <v>776.87</v>
      </c>
      <c r="H15" s="999"/>
      <c r="I15" s="1017">
        <v>3070.67</v>
      </c>
      <c r="J15" s="1017">
        <v>2414.11</v>
      </c>
      <c r="K15" s="992">
        <v>36814.74</v>
      </c>
      <c r="L15" s="992">
        <v>29303.279999999999</v>
      </c>
      <c r="M15" s="992">
        <f t="shared" si="0"/>
        <v>39885.409999999996</v>
      </c>
      <c r="N15" s="992">
        <f t="shared" si="0"/>
        <v>31717.39</v>
      </c>
      <c r="O15" s="993">
        <f t="shared" si="1"/>
        <v>30129.652730575523</v>
      </c>
      <c r="P15" s="993">
        <v>200.9</v>
      </c>
      <c r="Q15" s="994"/>
      <c r="R15" s="995">
        <v>2035.74</v>
      </c>
      <c r="S15" s="995"/>
      <c r="T15" s="995">
        <f t="shared" si="2"/>
        <v>40.249057460092629</v>
      </c>
      <c r="U15" s="995">
        <f t="shared" si="3"/>
        <v>396.02536850111159</v>
      </c>
      <c r="V15" s="995"/>
      <c r="W15" s="995">
        <f t="shared" si="4"/>
        <v>1437.516419187662</v>
      </c>
      <c r="X15" s="995">
        <f t="shared" si="5"/>
        <v>12154.786284626762</v>
      </c>
      <c r="Y15" s="995"/>
      <c r="Z15" s="995">
        <f t="shared" si="6"/>
        <v>6770.4501217051256</v>
      </c>
      <c r="AA15" s="995">
        <f t="shared" si="7"/>
        <v>1367.6309245844354</v>
      </c>
      <c r="AB15" s="995">
        <f t="shared" si="8"/>
        <v>5726.3545545103325</v>
      </c>
      <c r="AC15" s="996">
        <f t="shared" si="9"/>
        <v>9755.7572694244736</v>
      </c>
      <c r="AD15" s="916">
        <f t="shared" si="10"/>
        <v>79.596596363304485</v>
      </c>
      <c r="AE15" s="916">
        <f t="shared" si="11"/>
        <v>78.61834713596707</v>
      </c>
      <c r="AF15" s="916">
        <f t="shared" si="12"/>
        <v>6.4638984494564768</v>
      </c>
      <c r="AG15" s="996">
        <v>7.9</v>
      </c>
      <c r="AH15" s="467">
        <f t="shared" si="13"/>
        <v>8168.0199999999968</v>
      </c>
      <c r="AI15" s="250"/>
      <c r="AJ15" s="250"/>
      <c r="AK15" s="250"/>
    </row>
    <row r="16" spans="1:37" x14ac:dyDescent="0.25">
      <c r="A16" s="331">
        <v>10</v>
      </c>
      <c r="B16" s="332" t="s">
        <v>276</v>
      </c>
      <c r="C16" s="997">
        <v>1988</v>
      </c>
      <c r="D16" s="997">
        <v>5</v>
      </c>
      <c r="E16" s="997">
        <v>60</v>
      </c>
      <c r="F16" s="998">
        <v>161</v>
      </c>
      <c r="G16" s="999">
        <v>3167</v>
      </c>
      <c r="H16" s="999">
        <v>210</v>
      </c>
      <c r="I16" s="1017">
        <v>7910.22</v>
      </c>
      <c r="J16" s="1017">
        <v>6630.96</v>
      </c>
      <c r="K16" s="992">
        <v>141184.92000000001</v>
      </c>
      <c r="L16" s="992">
        <v>126333.71</v>
      </c>
      <c r="M16" s="992">
        <f t="shared" si="0"/>
        <v>149095.14000000001</v>
      </c>
      <c r="N16" s="992">
        <f t="shared" si="0"/>
        <v>132964.67000000001</v>
      </c>
      <c r="O16" s="993">
        <f t="shared" si="1"/>
        <v>125033.54698669926</v>
      </c>
      <c r="P16" s="993">
        <v>681.75</v>
      </c>
      <c r="Q16" s="994"/>
      <c r="R16" s="995">
        <v>13579.37</v>
      </c>
      <c r="S16" s="995"/>
      <c r="T16" s="995">
        <f t="shared" si="2"/>
        <v>164.07991681505703</v>
      </c>
      <c r="U16" s="995">
        <f t="shared" si="3"/>
        <v>1614.4430111125675</v>
      </c>
      <c r="V16" s="995"/>
      <c r="W16" s="995">
        <f t="shared" si="4"/>
        <v>5860.2011914056729</v>
      </c>
      <c r="X16" s="995">
        <f t="shared" si="5"/>
        <v>46613.734857617543</v>
      </c>
      <c r="Y16" s="995"/>
      <c r="Z16" s="995">
        <f t="shared" si="6"/>
        <v>27600.519437537983</v>
      </c>
      <c r="AA16" s="995">
        <f t="shared" si="7"/>
        <v>5575.3049263826733</v>
      </c>
      <c r="AB16" s="995">
        <f t="shared" si="8"/>
        <v>23344.143645827775</v>
      </c>
      <c r="AC16" s="996">
        <f t="shared" si="9"/>
        <v>24061.59301330075</v>
      </c>
      <c r="AD16" s="916">
        <f t="shared" si="10"/>
        <v>89.481022477471384</v>
      </c>
      <c r="AE16" s="916">
        <f t="shared" si="11"/>
        <v>83.827757002965782</v>
      </c>
      <c r="AF16" s="916">
        <f t="shared" si="12"/>
        <v>6.5800203655772691</v>
      </c>
      <c r="AG16" s="996">
        <v>7.43</v>
      </c>
      <c r="AH16" s="467">
        <f t="shared" si="13"/>
        <v>16130.470000000001</v>
      </c>
      <c r="AI16" s="250"/>
      <c r="AJ16" s="250"/>
      <c r="AK16" s="250"/>
    </row>
    <row r="17" spans="1:37" x14ac:dyDescent="0.25">
      <c r="A17" s="331">
        <v>11</v>
      </c>
      <c r="B17" s="332" t="s">
        <v>277</v>
      </c>
      <c r="C17" s="997">
        <v>1979</v>
      </c>
      <c r="D17" s="997">
        <v>5</v>
      </c>
      <c r="E17" s="997">
        <v>60</v>
      </c>
      <c r="F17" s="991">
        <v>166</v>
      </c>
      <c r="G17" s="999">
        <v>3217.9</v>
      </c>
      <c r="H17" s="999">
        <v>210</v>
      </c>
      <c r="I17" s="1017">
        <v>7034.31</v>
      </c>
      <c r="J17" s="1017">
        <v>5925.83</v>
      </c>
      <c r="K17" s="992">
        <v>149439.29999999999</v>
      </c>
      <c r="L17" s="992">
        <v>142783.35999999999</v>
      </c>
      <c r="M17" s="992">
        <f t="shared" si="0"/>
        <v>156473.60999999999</v>
      </c>
      <c r="N17" s="992">
        <f t="shared" si="0"/>
        <v>148709.18999999997</v>
      </c>
      <c r="O17" s="993">
        <f t="shared" si="1"/>
        <v>117745.58821465779</v>
      </c>
      <c r="P17" s="993">
        <v>352.19</v>
      </c>
      <c r="Q17" s="994"/>
      <c r="R17" s="995">
        <v>2864.54</v>
      </c>
      <c r="S17" s="995"/>
      <c r="T17" s="995">
        <f t="shared" si="2"/>
        <v>166.71700799468644</v>
      </c>
      <c r="U17" s="995">
        <f t="shared" si="3"/>
        <v>1640.3903269526782</v>
      </c>
      <c r="V17" s="995"/>
      <c r="W17" s="995">
        <f t="shared" si="4"/>
        <v>5954.3863005444637</v>
      </c>
      <c r="X17" s="995">
        <f t="shared" si="5"/>
        <v>49339.008071881639</v>
      </c>
      <c r="Y17" s="995"/>
      <c r="Z17" s="995">
        <f t="shared" si="6"/>
        <v>28044.114776777227</v>
      </c>
      <c r="AA17" s="995">
        <f t="shared" si="7"/>
        <v>5664.9111849090004</v>
      </c>
      <c r="AB17" s="995">
        <f t="shared" si="8"/>
        <v>23719.330545598106</v>
      </c>
      <c r="AC17" s="996">
        <f t="shared" si="9"/>
        <v>38728.021785342193</v>
      </c>
      <c r="AD17" s="916">
        <f t="shared" si="10"/>
        <v>95.546057830838336</v>
      </c>
      <c r="AE17" s="916">
        <f t="shared" si="11"/>
        <v>84.241809075801328</v>
      </c>
      <c r="AF17" s="916">
        <f t="shared" si="12"/>
        <v>6.0984694062720921</v>
      </c>
      <c r="AG17" s="996">
        <v>7.74</v>
      </c>
      <c r="AH17" s="467">
        <f t="shared" si="13"/>
        <v>7764.4200000000128</v>
      </c>
      <c r="AI17" s="250"/>
      <c r="AJ17" s="250"/>
      <c r="AK17" s="250"/>
    </row>
    <row r="18" spans="1:37" x14ac:dyDescent="0.25">
      <c r="A18" s="331">
        <v>12</v>
      </c>
      <c r="B18" s="332" t="s">
        <v>278</v>
      </c>
      <c r="C18" s="997">
        <v>1980</v>
      </c>
      <c r="D18" s="997">
        <v>5</v>
      </c>
      <c r="E18" s="997">
        <v>60</v>
      </c>
      <c r="F18" s="998">
        <v>153</v>
      </c>
      <c r="G18" s="999">
        <v>3257.1</v>
      </c>
      <c r="H18" s="999">
        <v>210</v>
      </c>
      <c r="I18" s="1017">
        <v>6754.58</v>
      </c>
      <c r="J18" s="1017">
        <v>4826.45</v>
      </c>
      <c r="K18" s="992">
        <v>144029.1</v>
      </c>
      <c r="L18" s="992">
        <v>110520.07</v>
      </c>
      <c r="M18" s="992">
        <f t="shared" si="0"/>
        <v>150783.67999999999</v>
      </c>
      <c r="N18" s="992">
        <f t="shared" si="0"/>
        <v>115346.52</v>
      </c>
      <c r="O18" s="993">
        <f t="shared" si="1"/>
        <v>119250.26540034743</v>
      </c>
      <c r="P18" s="993">
        <v>730.35</v>
      </c>
      <c r="Q18" s="994"/>
      <c r="R18" s="995">
        <v>4983.16</v>
      </c>
      <c r="S18" s="995"/>
      <c r="T18" s="995">
        <f t="shared" si="2"/>
        <v>168.74793086779988</v>
      </c>
      <c r="U18" s="995">
        <f t="shared" si="3"/>
        <v>1660.373328542704</v>
      </c>
      <c r="V18" s="995"/>
      <c r="W18" s="995">
        <f t="shared" si="4"/>
        <v>6026.9217873468324</v>
      </c>
      <c r="X18" s="995">
        <f t="shared" si="5"/>
        <v>47552.771777476533</v>
      </c>
      <c r="Y18" s="995"/>
      <c r="Z18" s="995">
        <f t="shared" si="6"/>
        <v>28385.744193244383</v>
      </c>
      <c r="AA18" s="995">
        <f t="shared" si="7"/>
        <v>5733.9203270353655</v>
      </c>
      <c r="AB18" s="995">
        <f t="shared" si="8"/>
        <v>24008.276055833801</v>
      </c>
      <c r="AC18" s="996">
        <f t="shared" si="9"/>
        <v>31533.414599652562</v>
      </c>
      <c r="AD18" s="916">
        <f t="shared" si="10"/>
        <v>76.734541839114456</v>
      </c>
      <c r="AE18" s="916">
        <f t="shared" si="11"/>
        <v>71.454479775204376</v>
      </c>
      <c r="AF18" s="916">
        <f t="shared" si="12"/>
        <v>6.1020675550002261</v>
      </c>
      <c r="AG18" s="996">
        <v>7.37</v>
      </c>
      <c r="AH18" s="467">
        <f t="shared" si="13"/>
        <v>35437.159999999989</v>
      </c>
      <c r="AI18" s="250"/>
      <c r="AJ18" s="250"/>
      <c r="AK18" s="250"/>
    </row>
    <row r="19" spans="1:37" x14ac:dyDescent="0.25">
      <c r="A19" s="331">
        <v>13</v>
      </c>
      <c r="B19" s="332" t="s">
        <v>279</v>
      </c>
      <c r="C19" s="997">
        <v>1978</v>
      </c>
      <c r="D19" s="997">
        <v>3</v>
      </c>
      <c r="E19" s="997">
        <v>24</v>
      </c>
      <c r="F19" s="991">
        <v>71</v>
      </c>
      <c r="G19" s="999">
        <v>1444.2</v>
      </c>
      <c r="H19" s="999">
        <v>176.8</v>
      </c>
      <c r="I19" s="1017">
        <v>3288.27</v>
      </c>
      <c r="J19" s="1017">
        <v>2708.57</v>
      </c>
      <c r="K19" s="992">
        <v>70101.72</v>
      </c>
      <c r="L19" s="992">
        <v>58534</v>
      </c>
      <c r="M19" s="992">
        <f t="shared" si="0"/>
        <v>73389.990000000005</v>
      </c>
      <c r="N19" s="992">
        <f t="shared" si="0"/>
        <v>61242.57</v>
      </c>
      <c r="O19" s="993">
        <f t="shared" si="1"/>
        <v>52606.880306702828</v>
      </c>
      <c r="P19" s="993">
        <v>101.1</v>
      </c>
      <c r="Q19" s="994"/>
      <c r="R19" s="995">
        <v>103.6</v>
      </c>
      <c r="S19" s="995"/>
      <c r="T19" s="995">
        <f t="shared" si="2"/>
        <v>74.822928912000421</v>
      </c>
      <c r="U19" s="995">
        <f t="shared" si="3"/>
        <v>736.21048204886961</v>
      </c>
      <c r="V19" s="995"/>
      <c r="W19" s="995">
        <f t="shared" si="4"/>
        <v>2672.3405622444184</v>
      </c>
      <c r="X19" s="995">
        <f t="shared" si="5"/>
        <v>23144.844287498585</v>
      </c>
      <c r="Y19" s="995"/>
      <c r="Z19" s="995">
        <f t="shared" si="6"/>
        <v>12586.255185251772</v>
      </c>
      <c r="AA19" s="995">
        <f t="shared" si="7"/>
        <v>2542.4235474208581</v>
      </c>
      <c r="AB19" s="995">
        <f t="shared" si="8"/>
        <v>10645.283313326327</v>
      </c>
      <c r="AC19" s="996">
        <f t="shared" si="9"/>
        <v>20783.109693297178</v>
      </c>
      <c r="AD19" s="916">
        <f t="shared" si="10"/>
        <v>83.498664512083295</v>
      </c>
      <c r="AE19" s="916">
        <f t="shared" si="11"/>
        <v>82.370669075228008</v>
      </c>
      <c r="AF19" s="916">
        <f t="shared" si="12"/>
        <v>6.0710520595834865</v>
      </c>
      <c r="AG19" s="996">
        <v>8.09</v>
      </c>
      <c r="AH19" s="467">
        <f t="shared" si="13"/>
        <v>12147.420000000006</v>
      </c>
      <c r="AI19" s="250"/>
      <c r="AJ19" s="250"/>
      <c r="AK19" s="250"/>
    </row>
    <row r="20" spans="1:37" x14ac:dyDescent="0.25">
      <c r="A20" s="331">
        <v>14</v>
      </c>
      <c r="B20" s="332" t="s">
        <v>280</v>
      </c>
      <c r="C20" s="997">
        <v>1980</v>
      </c>
      <c r="D20" s="997">
        <v>3</v>
      </c>
      <c r="E20" s="997">
        <v>24</v>
      </c>
      <c r="F20" s="998">
        <v>71</v>
      </c>
      <c r="G20" s="999">
        <v>1444.3</v>
      </c>
      <c r="H20" s="999">
        <v>176.8</v>
      </c>
      <c r="I20" s="1017">
        <v>3415.17</v>
      </c>
      <c r="J20" s="1017">
        <v>2992.16</v>
      </c>
      <c r="K20" s="992">
        <v>70458.84</v>
      </c>
      <c r="L20" s="992">
        <v>66026.880000000005</v>
      </c>
      <c r="M20" s="992">
        <f t="shared" si="0"/>
        <v>73874.009999999995</v>
      </c>
      <c r="N20" s="992">
        <f t="shared" si="0"/>
        <v>69019.040000000008</v>
      </c>
      <c r="O20" s="993">
        <f t="shared" si="1"/>
        <v>53050.56320437642</v>
      </c>
      <c r="P20" s="993">
        <v>101.1</v>
      </c>
      <c r="Q20" s="994"/>
      <c r="R20" s="995">
        <v>427.35</v>
      </c>
      <c r="S20" s="995"/>
      <c r="T20" s="995">
        <f t="shared" si="2"/>
        <v>74.828109837697141</v>
      </c>
      <c r="U20" s="995">
        <f t="shared" si="3"/>
        <v>736.26145909374213</v>
      </c>
      <c r="V20" s="995"/>
      <c r="W20" s="995">
        <f t="shared" si="4"/>
        <v>2672.5256017515671</v>
      </c>
      <c r="X20" s="995">
        <f t="shared" si="5"/>
        <v>23262.751334457651</v>
      </c>
      <c r="Y20" s="995"/>
      <c r="Z20" s="995">
        <f t="shared" si="6"/>
        <v>12587.126688865206</v>
      </c>
      <c r="AA20" s="995">
        <f t="shared" si="7"/>
        <v>2542.5995911507716</v>
      </c>
      <c r="AB20" s="995">
        <f t="shared" si="8"/>
        <v>10646.020419219783</v>
      </c>
      <c r="AC20" s="996">
        <f t="shared" si="9"/>
        <v>20823.446795623575</v>
      </c>
      <c r="AD20" s="916">
        <f t="shared" si="10"/>
        <v>93.709859543529248</v>
      </c>
      <c r="AE20" s="916">
        <f t="shared" si="11"/>
        <v>87.613793749652274</v>
      </c>
      <c r="AF20" s="916">
        <f t="shared" si="12"/>
        <v>6.1218310143756405</v>
      </c>
      <c r="AG20" s="996">
        <v>8.1199999999999992</v>
      </c>
      <c r="AH20" s="467">
        <f t="shared" si="13"/>
        <v>4854.9699999999866</v>
      </c>
      <c r="AI20" s="250"/>
      <c r="AJ20" s="250"/>
      <c r="AK20" s="250"/>
    </row>
    <row r="21" spans="1:37" x14ac:dyDescent="0.25">
      <c r="A21" s="331"/>
      <c r="B21" s="464" t="s">
        <v>125</v>
      </c>
      <c r="C21" s="846"/>
      <c r="D21" s="846"/>
      <c r="E21" s="846">
        <f>SUM(E6:E20)</f>
        <v>382</v>
      </c>
      <c r="F21" s="846">
        <f>SUM(F7:F20)</f>
        <v>991</v>
      </c>
      <c r="G21" s="639">
        <f>SUM(G7:G20)</f>
        <v>19301.57</v>
      </c>
      <c r="H21" s="639">
        <f t="shared" ref="H21:AC21" si="14">SUM(H7:H20)</f>
        <v>983.59999999999991</v>
      </c>
      <c r="I21" s="639">
        <f>SUM(I7:I20)</f>
        <v>46994.649999999994</v>
      </c>
      <c r="J21" s="639">
        <f>SUM(J7:J20)</f>
        <v>37404.25</v>
      </c>
      <c r="K21" s="1001">
        <f t="shared" si="14"/>
        <v>908496.72</v>
      </c>
      <c r="L21" s="1001">
        <f t="shared" si="14"/>
        <v>809280.78000000014</v>
      </c>
      <c r="M21" s="1001">
        <f t="shared" si="14"/>
        <v>955491.36999999988</v>
      </c>
      <c r="N21" s="1001">
        <f t="shared" si="14"/>
        <v>846685.03</v>
      </c>
      <c r="O21" s="757">
        <f t="shared" si="14"/>
        <v>737679.33375999995</v>
      </c>
      <c r="P21" s="639">
        <f t="shared" si="14"/>
        <v>3797.16</v>
      </c>
      <c r="Q21" s="639">
        <f t="shared" si="14"/>
        <v>0</v>
      </c>
      <c r="R21" s="639">
        <f t="shared" si="14"/>
        <v>42911.119999999995</v>
      </c>
      <c r="S21" s="639">
        <f t="shared" si="14"/>
        <v>0</v>
      </c>
      <c r="T21" s="639">
        <f t="shared" si="14"/>
        <v>1000</v>
      </c>
      <c r="U21" s="639">
        <f t="shared" si="14"/>
        <v>9839.3700000000008</v>
      </c>
      <c r="V21" s="639">
        <f t="shared" si="14"/>
        <v>0</v>
      </c>
      <c r="W21" s="639">
        <f t="shared" si="14"/>
        <v>35715.53</v>
      </c>
      <c r="X21" s="639">
        <f t="shared" si="14"/>
        <v>299950.06</v>
      </c>
      <c r="Y21" s="639">
        <f>SUM(Y7:Y20)</f>
        <v>0</v>
      </c>
      <c r="Z21" s="639">
        <f t="shared" si="14"/>
        <v>168213.88</v>
      </c>
      <c r="AA21" s="639">
        <f t="shared" si="14"/>
        <v>33979.203760000004</v>
      </c>
      <c r="AB21" s="639">
        <f t="shared" si="14"/>
        <v>142273.01</v>
      </c>
      <c r="AC21" s="639">
        <f t="shared" si="14"/>
        <v>217812.03623999999</v>
      </c>
      <c r="AD21" s="921">
        <f t="shared" si="10"/>
        <v>89.079108618025629</v>
      </c>
      <c r="AE21" s="921">
        <f t="shared" si="11"/>
        <v>79.592570643679664</v>
      </c>
      <c r="AF21" s="921">
        <f t="shared" si="12"/>
        <v>6.369769693691584</v>
      </c>
      <c r="AG21" s="762"/>
      <c r="AH21" s="1027">
        <f t="shared" si="13"/>
        <v>108806.33999999985</v>
      </c>
      <c r="AI21" s="250"/>
      <c r="AJ21" s="250"/>
      <c r="AK21" s="250"/>
    </row>
    <row r="22" spans="1:37" x14ac:dyDescent="0.25">
      <c r="C22" s="375"/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5"/>
      <c r="O22" s="375"/>
      <c r="P22" s="1002" t="s">
        <v>180</v>
      </c>
      <c r="Q22" s="375"/>
      <c r="R22" s="375" t="s">
        <v>180</v>
      </c>
      <c r="S22" s="375"/>
      <c r="T22" s="375" t="s">
        <v>180</v>
      </c>
      <c r="U22" s="375" t="s">
        <v>180</v>
      </c>
      <c r="V22" s="375"/>
      <c r="W22" s="375" t="s">
        <v>180</v>
      </c>
      <c r="X22" s="375" t="s">
        <v>180</v>
      </c>
      <c r="Y22" s="375"/>
      <c r="Z22" s="763">
        <f>Z21+AA21</f>
        <v>202193.08376000001</v>
      </c>
      <c r="AA22" s="375"/>
      <c r="AB22" s="375"/>
      <c r="AC22" s="375"/>
      <c r="AD22" s="375"/>
      <c r="AE22" s="375"/>
      <c r="AF22" s="375"/>
      <c r="AG22" s="375"/>
      <c r="AH22" s="250"/>
      <c r="AI22" s="250"/>
      <c r="AJ22" s="250"/>
      <c r="AK22" s="250"/>
    </row>
    <row r="23" spans="1:37" ht="17.25" customHeight="1" x14ac:dyDescent="0.25">
      <c r="C23" s="375"/>
      <c r="D23" s="375"/>
      <c r="E23" s="375"/>
      <c r="F23" s="375"/>
      <c r="G23" s="375"/>
      <c r="H23" s="375"/>
      <c r="I23" s="375"/>
      <c r="J23" s="375"/>
      <c r="K23" s="375"/>
      <c r="L23" s="375"/>
      <c r="M23" s="764">
        <f>M21-O21</f>
        <v>217812.03623999993</v>
      </c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5"/>
      <c r="AB23" s="375"/>
      <c r="AC23" s="375"/>
      <c r="AD23" s="375"/>
      <c r="AE23" s="375"/>
      <c r="AF23" s="375"/>
      <c r="AG23" s="375"/>
      <c r="AH23" s="250"/>
      <c r="AI23" s="250"/>
      <c r="AJ23" s="250"/>
      <c r="AK23" s="250"/>
    </row>
    <row r="24" spans="1:37" x14ac:dyDescent="0.25">
      <c r="C24" s="375"/>
      <c r="D24" s="375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/>
      <c r="P24" s="375"/>
      <c r="Q24" s="375"/>
      <c r="R24" s="375"/>
      <c r="S24" s="375"/>
      <c r="T24" s="375"/>
      <c r="U24" s="375"/>
      <c r="V24" s="375"/>
      <c r="W24" s="375"/>
      <c r="X24" s="375"/>
      <c r="Y24" s="375"/>
      <c r="Z24" s="375"/>
      <c r="AA24" s="375"/>
      <c r="AB24" s="375"/>
      <c r="AC24" s="375"/>
      <c r="AD24" s="375"/>
      <c r="AE24" s="375"/>
      <c r="AF24" s="375"/>
      <c r="AG24" s="375"/>
    </row>
    <row r="25" spans="1:37" ht="18.75" x14ac:dyDescent="0.3">
      <c r="B25" s="74" t="s">
        <v>650</v>
      </c>
      <c r="C25" s="765"/>
      <c r="D25" s="765"/>
      <c r="E25" s="765"/>
      <c r="F25" s="765"/>
      <c r="G25" s="765"/>
      <c r="H25" s="765"/>
      <c r="I25" s="765"/>
      <c r="J25" s="765"/>
      <c r="K25" s="766"/>
      <c r="L25" s="766"/>
      <c r="M25" s="766"/>
      <c r="N25" s="766"/>
      <c r="O25" s="766"/>
      <c r="P25" s="766"/>
      <c r="Q25" s="766"/>
      <c r="R25" s="375"/>
      <c r="S25" s="375"/>
      <c r="T25" s="375"/>
      <c r="U25" s="375"/>
      <c r="V25" s="375"/>
      <c r="W25" s="375"/>
      <c r="X25" s="375"/>
      <c r="Y25" s="375"/>
      <c r="Z25" s="375"/>
      <c r="AA25" s="375"/>
      <c r="AB25" s="375"/>
      <c r="AC25" s="375"/>
      <c r="AD25" s="851"/>
      <c r="AE25" s="851"/>
      <c r="AF25" s="851"/>
      <c r="AG25" s="375"/>
    </row>
    <row r="26" spans="1:37" ht="16.5" customHeight="1" x14ac:dyDescent="0.3">
      <c r="A26" s="17"/>
      <c r="B26" s="74"/>
      <c r="C26" s="765"/>
      <c r="D26" s="765"/>
      <c r="E26" s="765"/>
      <c r="F26" s="765"/>
      <c r="G26" s="765"/>
      <c r="H26" s="765"/>
      <c r="I26" s="765"/>
      <c r="J26" s="765"/>
      <c r="K26" s="766"/>
      <c r="L26" s="766"/>
      <c r="M26" s="766"/>
      <c r="N26" s="766"/>
      <c r="O26" s="766"/>
      <c r="P26" s="766"/>
      <c r="Q26" s="766"/>
      <c r="R26" s="375"/>
      <c r="S26" s="375"/>
      <c r="T26" s="375"/>
      <c r="U26" s="375"/>
      <c r="V26" s="375"/>
      <c r="W26" s="375"/>
      <c r="X26" s="375"/>
      <c r="Y26" s="375"/>
      <c r="Z26" s="375"/>
      <c r="AA26" s="375"/>
      <c r="AB26" s="375"/>
      <c r="AC26" s="375"/>
      <c r="AD26" s="851"/>
      <c r="AE26" s="851"/>
      <c r="AF26" s="851"/>
      <c r="AG26" s="375"/>
    </row>
    <row r="27" spans="1:37" ht="18" x14ac:dyDescent="0.25">
      <c r="A27" s="17"/>
      <c r="B27" s="1"/>
      <c r="C27" s="766"/>
      <c r="D27" s="766"/>
      <c r="E27" s="766"/>
      <c r="F27" s="766"/>
      <c r="G27" s="766"/>
      <c r="H27" s="766"/>
      <c r="I27" s="766"/>
      <c r="J27" s="766"/>
      <c r="K27" s="766"/>
      <c r="L27" s="766"/>
      <c r="M27" s="766"/>
      <c r="N27" s="766"/>
      <c r="O27" s="766"/>
      <c r="P27" s="766"/>
      <c r="Q27" s="766"/>
      <c r="R27" s="375"/>
      <c r="S27" s="375"/>
      <c r="T27" s="375"/>
      <c r="U27" s="375"/>
      <c r="V27" s="375"/>
      <c r="W27" s="375"/>
      <c r="X27" s="375"/>
      <c r="Y27" s="375"/>
      <c r="Z27" s="375"/>
      <c r="AA27" s="375"/>
      <c r="AB27" s="375"/>
      <c r="AC27" s="375"/>
      <c r="AD27" s="851"/>
      <c r="AE27" s="851"/>
      <c r="AF27" s="851"/>
      <c r="AG27" s="375"/>
    </row>
    <row r="28" spans="1:37" ht="18" x14ac:dyDescent="0.25">
      <c r="A28" s="17"/>
      <c r="B28" s="1"/>
      <c r="C28" s="766"/>
      <c r="D28" s="766"/>
      <c r="E28" s="766"/>
      <c r="F28" s="766"/>
      <c r="G28" s="766"/>
      <c r="H28" s="766"/>
      <c r="I28" s="766"/>
      <c r="J28" s="766"/>
      <c r="K28" s="766"/>
      <c r="L28" s="766"/>
      <c r="M28" s="766"/>
      <c r="N28" s="766"/>
      <c r="O28" s="766"/>
      <c r="P28" s="766"/>
      <c r="Q28" s="766"/>
      <c r="R28" s="375"/>
      <c r="S28" s="375"/>
      <c r="T28" s="375"/>
      <c r="U28" s="375"/>
      <c r="V28" s="375"/>
      <c r="W28" s="375"/>
      <c r="X28" s="375"/>
      <c r="Y28" s="375"/>
      <c r="Z28" s="375"/>
      <c r="AA28" s="375"/>
      <c r="AB28" s="375"/>
      <c r="AC28" s="375"/>
      <c r="AD28" s="375"/>
      <c r="AE28" s="375"/>
      <c r="AF28" s="375"/>
      <c r="AG28" s="375"/>
      <c r="AH28" s="250"/>
      <c r="AI28" s="250"/>
      <c r="AJ28" s="250"/>
    </row>
    <row r="29" spans="1:37" ht="27" customHeight="1" x14ac:dyDescent="0.25">
      <c r="A29" s="2017" t="s">
        <v>0</v>
      </c>
      <c r="B29" s="2017" t="s">
        <v>184</v>
      </c>
      <c r="C29" s="2163" t="s">
        <v>54</v>
      </c>
      <c r="D29" s="2163" t="s">
        <v>55</v>
      </c>
      <c r="E29" s="2163" t="s">
        <v>56</v>
      </c>
      <c r="F29" s="2163" t="s">
        <v>57</v>
      </c>
      <c r="G29" s="2163" t="s">
        <v>6</v>
      </c>
      <c r="H29" s="2270" t="s">
        <v>281</v>
      </c>
      <c r="I29" s="1009"/>
      <c r="J29" s="1009"/>
      <c r="K29" s="2136" t="s">
        <v>284</v>
      </c>
      <c r="L29" s="2137"/>
      <c r="M29" s="1013"/>
      <c r="N29" s="1013"/>
      <c r="O29" s="2272" t="s">
        <v>500</v>
      </c>
      <c r="P29" s="2093" t="s">
        <v>501</v>
      </c>
      <c r="Q29" s="2273" t="s">
        <v>333</v>
      </c>
      <c r="R29" s="2268" t="s">
        <v>314</v>
      </c>
      <c r="S29" s="2230" t="s">
        <v>375</v>
      </c>
      <c r="T29" s="2074" t="s">
        <v>175</v>
      </c>
      <c r="U29" s="2268" t="s">
        <v>176</v>
      </c>
      <c r="V29" s="2268" t="s">
        <v>265</v>
      </c>
      <c r="W29" s="2076" t="s">
        <v>549</v>
      </c>
      <c r="X29" s="2257" t="s">
        <v>566</v>
      </c>
      <c r="Y29" s="375"/>
      <c r="Z29" s="375"/>
      <c r="AA29" s="375"/>
      <c r="AB29" s="375"/>
      <c r="AC29" s="375"/>
      <c r="AD29" s="375"/>
      <c r="AE29" s="375"/>
      <c r="AF29" s="375"/>
      <c r="AG29" s="375"/>
      <c r="AH29" s="250"/>
      <c r="AI29" s="250"/>
      <c r="AJ29" s="250"/>
    </row>
    <row r="30" spans="1:37" ht="24" customHeight="1" x14ac:dyDescent="0.25">
      <c r="A30" s="2017"/>
      <c r="B30" s="2017"/>
      <c r="C30" s="2163"/>
      <c r="D30" s="2163"/>
      <c r="E30" s="2163"/>
      <c r="F30" s="2163"/>
      <c r="G30" s="2163"/>
      <c r="H30" s="2271"/>
      <c r="I30" s="1010"/>
      <c r="J30" s="1010"/>
      <c r="K30" s="1003" t="s">
        <v>15</v>
      </c>
      <c r="L30" s="888" t="s">
        <v>16</v>
      </c>
      <c r="M30" s="1014"/>
      <c r="N30" s="1014"/>
      <c r="O30" s="2272"/>
      <c r="P30" s="2093"/>
      <c r="Q30" s="2273"/>
      <c r="R30" s="2269"/>
      <c r="S30" s="2231"/>
      <c r="T30" s="2075"/>
      <c r="U30" s="2269"/>
      <c r="V30" s="2269"/>
      <c r="W30" s="2077"/>
      <c r="X30" s="2258"/>
      <c r="Y30" s="375"/>
      <c r="Z30" s="375"/>
      <c r="AA30" s="375"/>
      <c r="AB30" s="375"/>
      <c r="AC30" s="375"/>
      <c r="AD30" s="375"/>
      <c r="AE30" s="375"/>
      <c r="AF30" s="375"/>
      <c r="AG30" s="375"/>
      <c r="AH30" s="250"/>
      <c r="AI30" s="250"/>
      <c r="AJ30" s="250"/>
    </row>
    <row r="31" spans="1:37" x14ac:dyDescent="0.25">
      <c r="A31" s="331">
        <v>1</v>
      </c>
      <c r="B31" s="332" t="s">
        <v>267</v>
      </c>
      <c r="C31" s="990">
        <v>1964</v>
      </c>
      <c r="D31" s="990">
        <v>2</v>
      </c>
      <c r="E31" s="990">
        <v>16</v>
      </c>
      <c r="F31" s="991">
        <v>27</v>
      </c>
      <c r="G31" s="990">
        <v>635.25</v>
      </c>
      <c r="H31" s="990"/>
      <c r="I31" s="1011"/>
      <c r="J31" s="1011"/>
      <c r="K31" s="1004">
        <v>15246</v>
      </c>
      <c r="L31" s="1004">
        <v>14667.3</v>
      </c>
      <c r="M31" s="1015"/>
      <c r="N31" s="1015"/>
      <c r="O31" s="993">
        <f>P31+Q31+R31+S31</f>
        <v>9.5115190111477972</v>
      </c>
      <c r="P31" s="993"/>
      <c r="Q31" s="994">
        <f>289/19301.57*G31</f>
        <v>9.5115190111477972</v>
      </c>
      <c r="R31" s="994"/>
      <c r="S31" s="995"/>
      <c r="T31" s="995">
        <f>K31-O31</f>
        <v>15236.488480988852</v>
      </c>
      <c r="U31" s="995">
        <f>L31/K31*100</f>
        <v>96.204250295159383</v>
      </c>
      <c r="V31" s="995">
        <f>O31/G31/6</f>
        <v>2.4954792105858054E-3</v>
      </c>
      <c r="W31" s="995">
        <v>4</v>
      </c>
      <c r="X31" s="736">
        <f>K31-L31</f>
        <v>578.70000000000073</v>
      </c>
      <c r="Y31" s="375"/>
      <c r="Z31" s="375"/>
      <c r="AA31" s="375"/>
      <c r="AB31" s="375"/>
      <c r="AC31" s="375"/>
      <c r="AD31" s="375"/>
      <c r="AE31" s="375"/>
      <c r="AF31" s="375"/>
      <c r="AG31" s="375"/>
      <c r="AH31" s="250"/>
      <c r="AI31" s="250"/>
      <c r="AJ31" s="250"/>
    </row>
    <row r="32" spans="1:37" x14ac:dyDescent="0.25">
      <c r="A32" s="331">
        <v>2</v>
      </c>
      <c r="B32" s="332" t="s">
        <v>268</v>
      </c>
      <c r="C32" s="997">
        <v>1965</v>
      </c>
      <c r="D32" s="997">
        <v>2</v>
      </c>
      <c r="E32" s="997">
        <v>16</v>
      </c>
      <c r="F32" s="998">
        <v>36</v>
      </c>
      <c r="G32" s="999">
        <v>632.16999999999996</v>
      </c>
      <c r="H32" s="999"/>
      <c r="I32" s="1012"/>
      <c r="J32" s="1012"/>
      <c r="K32" s="1004">
        <v>15139.68</v>
      </c>
      <c r="L32" s="1004">
        <v>14951.97</v>
      </c>
      <c r="M32" s="1015"/>
      <c r="N32" s="1015"/>
      <c r="O32" s="993">
        <f t="shared" ref="O32:O44" si="15">P32+Q32+R32+S32</f>
        <v>9.4654025553361709</v>
      </c>
      <c r="P32" s="993"/>
      <c r="Q32" s="994">
        <f t="shared" ref="Q32:Q44" si="16">289/19301.57*G32</f>
        <v>9.4654025553361709</v>
      </c>
      <c r="R32" s="994"/>
      <c r="S32" s="995"/>
      <c r="T32" s="995">
        <f t="shared" ref="T32:T44" si="17">K32-O32</f>
        <v>15130.214597444665</v>
      </c>
      <c r="U32" s="995">
        <f t="shared" ref="U32:U44" si="18">L32/K32*100</f>
        <v>98.760145524872371</v>
      </c>
      <c r="V32" s="995">
        <f t="shared" ref="V32:V45" si="19">O32/G32/6</f>
        <v>2.4954792105858054E-3</v>
      </c>
      <c r="W32" s="995">
        <v>4</v>
      </c>
      <c r="X32" s="736">
        <f t="shared" ref="X32:X45" si="20">K32-L32</f>
        <v>187.71000000000095</v>
      </c>
      <c r="Y32" s="375"/>
      <c r="Z32" s="375"/>
      <c r="AA32" s="375"/>
      <c r="AB32" s="375"/>
      <c r="AC32" s="375"/>
      <c r="AD32" s="375"/>
      <c r="AE32" s="375"/>
      <c r="AF32" s="375"/>
      <c r="AG32" s="375"/>
      <c r="AH32" s="250"/>
      <c r="AI32" s="250"/>
      <c r="AJ32" s="250"/>
    </row>
    <row r="33" spans="1:36" x14ac:dyDescent="0.25">
      <c r="A33" s="331">
        <v>3</v>
      </c>
      <c r="B33" s="332" t="s">
        <v>269</v>
      </c>
      <c r="C33" s="997">
        <v>1967</v>
      </c>
      <c r="D33" s="997">
        <v>2</v>
      </c>
      <c r="E33" s="997">
        <v>16</v>
      </c>
      <c r="F33" s="991">
        <v>36</v>
      </c>
      <c r="G33" s="999">
        <v>731.33</v>
      </c>
      <c r="H33" s="999"/>
      <c r="I33" s="1012"/>
      <c r="J33" s="1012"/>
      <c r="K33" s="1004">
        <v>8907.42</v>
      </c>
      <c r="L33" s="1004">
        <v>9107.66</v>
      </c>
      <c r="M33" s="1015"/>
      <c r="N33" s="1015"/>
      <c r="O33" s="993">
        <f t="shared" si="15"/>
        <v>10.950112866466304</v>
      </c>
      <c r="P33" s="993"/>
      <c r="Q33" s="994">
        <f t="shared" si="16"/>
        <v>10.950112866466304</v>
      </c>
      <c r="R33" s="994"/>
      <c r="S33" s="995"/>
      <c r="T33" s="995">
        <f t="shared" si="17"/>
        <v>8896.4698871335331</v>
      </c>
      <c r="U33" s="995">
        <f t="shared" si="18"/>
        <v>102.24801345395187</v>
      </c>
      <c r="V33" s="995">
        <f t="shared" si="19"/>
        <v>2.4954792105858054E-3</v>
      </c>
      <c r="W33" s="995">
        <v>2.0299999999999998</v>
      </c>
      <c r="X33" s="736">
        <f t="shared" si="20"/>
        <v>-200.23999999999978</v>
      </c>
      <c r="Y33" s="375"/>
      <c r="Z33" s="375"/>
      <c r="AA33" s="375"/>
      <c r="AB33" s="375"/>
      <c r="AC33" s="375"/>
      <c r="AD33" s="375"/>
      <c r="AE33" s="375"/>
      <c r="AF33" s="375"/>
      <c r="AG33" s="375"/>
      <c r="AH33" s="250"/>
      <c r="AI33" s="250"/>
      <c r="AJ33" s="250"/>
    </row>
    <row r="34" spans="1:36" x14ac:dyDescent="0.25">
      <c r="A34" s="331">
        <v>4</v>
      </c>
      <c r="B34" s="332" t="s">
        <v>270</v>
      </c>
      <c r="C34" s="997">
        <v>1974</v>
      </c>
      <c r="D34" s="997">
        <v>2</v>
      </c>
      <c r="E34" s="997">
        <v>18</v>
      </c>
      <c r="F34" s="998">
        <v>43</v>
      </c>
      <c r="G34" s="999">
        <v>866.6</v>
      </c>
      <c r="H34" s="999"/>
      <c r="I34" s="1012"/>
      <c r="J34" s="1012"/>
      <c r="K34" s="1004">
        <v>21006.36</v>
      </c>
      <c r="L34" s="1004">
        <v>21424.67</v>
      </c>
      <c r="M34" s="1015"/>
      <c r="N34" s="1015"/>
      <c r="O34" s="993">
        <f t="shared" si="15"/>
        <v>68626.155493703365</v>
      </c>
      <c r="P34" s="993">
        <v>8770.18</v>
      </c>
      <c r="Q34" s="994">
        <f t="shared" si="16"/>
        <v>12.975493703361956</v>
      </c>
      <c r="R34" s="994"/>
      <c r="S34" s="995">
        <v>59843</v>
      </c>
      <c r="T34" s="995">
        <f t="shared" si="17"/>
        <v>-47619.795493703365</v>
      </c>
      <c r="U34" s="995">
        <f t="shared" si="18"/>
        <v>101.99134928659701</v>
      </c>
      <c r="V34" s="995">
        <f t="shared" si="19"/>
        <v>13.198352852854713</v>
      </c>
      <c r="W34" s="995">
        <v>4.04</v>
      </c>
      <c r="X34" s="736">
        <f t="shared" si="20"/>
        <v>-418.30999999999767</v>
      </c>
      <c r="Y34" s="375"/>
      <c r="Z34" s="375"/>
      <c r="AA34" s="375"/>
      <c r="AB34" s="375"/>
      <c r="AC34" s="375"/>
      <c r="AD34" s="375"/>
      <c r="AE34" s="375"/>
      <c r="AF34" s="375"/>
      <c r="AG34" s="375"/>
      <c r="AH34" s="250"/>
      <c r="AI34" s="250"/>
      <c r="AJ34" s="250"/>
    </row>
    <row r="35" spans="1:36" x14ac:dyDescent="0.25">
      <c r="A35" s="331">
        <v>5</v>
      </c>
      <c r="B35" s="332" t="s">
        <v>271</v>
      </c>
      <c r="C35" s="997">
        <v>1976</v>
      </c>
      <c r="D35" s="997">
        <v>2</v>
      </c>
      <c r="E35" s="997">
        <v>18</v>
      </c>
      <c r="F35" s="991">
        <v>44</v>
      </c>
      <c r="G35" s="999">
        <v>865.3</v>
      </c>
      <c r="H35" s="999"/>
      <c r="I35" s="1012"/>
      <c r="J35" s="1012"/>
      <c r="K35" s="1004">
        <v>20974.86</v>
      </c>
      <c r="L35" s="1004">
        <v>20502.96</v>
      </c>
      <c r="M35" s="1015"/>
      <c r="N35" s="1015"/>
      <c r="O35" s="993">
        <f t="shared" si="15"/>
        <v>2882.9560289655192</v>
      </c>
      <c r="P35" s="993">
        <v>2870</v>
      </c>
      <c r="Q35" s="994">
        <f t="shared" si="16"/>
        <v>12.956028965519385</v>
      </c>
      <c r="R35" s="994"/>
      <c r="S35" s="995"/>
      <c r="T35" s="995">
        <f t="shared" si="17"/>
        <v>18091.90397103448</v>
      </c>
      <c r="U35" s="995">
        <f t="shared" si="18"/>
        <v>97.750163767481638</v>
      </c>
      <c r="V35" s="995">
        <f t="shared" si="19"/>
        <v>0.55529027099763462</v>
      </c>
      <c r="W35" s="995">
        <v>4.04</v>
      </c>
      <c r="X35" s="736">
        <f t="shared" si="20"/>
        <v>471.90000000000146</v>
      </c>
      <c r="Y35" s="375"/>
      <c r="Z35" s="375"/>
      <c r="AA35" s="375"/>
      <c r="AB35" s="375"/>
      <c r="AC35" s="375"/>
      <c r="AD35" s="375"/>
      <c r="AE35" s="375"/>
      <c r="AF35" s="375"/>
      <c r="AG35" s="375"/>
      <c r="AH35" s="250"/>
      <c r="AI35" s="250"/>
      <c r="AJ35" s="250"/>
    </row>
    <row r="36" spans="1:36" x14ac:dyDescent="0.25">
      <c r="A36" s="331">
        <v>6</v>
      </c>
      <c r="B36" s="332" t="s">
        <v>272</v>
      </c>
      <c r="C36" s="997">
        <v>1970</v>
      </c>
      <c r="D36" s="997">
        <v>2</v>
      </c>
      <c r="E36" s="997">
        <v>16</v>
      </c>
      <c r="F36" s="998">
        <v>44</v>
      </c>
      <c r="G36" s="999">
        <v>710.36</v>
      </c>
      <c r="H36" s="999"/>
      <c r="I36" s="1012"/>
      <c r="J36" s="1012"/>
      <c r="K36" s="1004">
        <v>17180.16</v>
      </c>
      <c r="L36" s="1004">
        <v>15117.12</v>
      </c>
      <c r="M36" s="1015"/>
      <c r="N36" s="1015"/>
      <c r="O36" s="993">
        <f t="shared" si="15"/>
        <v>10.636131672190396</v>
      </c>
      <c r="P36" s="993"/>
      <c r="Q36" s="994">
        <f t="shared" si="16"/>
        <v>10.636131672190396</v>
      </c>
      <c r="R36" s="994"/>
      <c r="S36" s="995"/>
      <c r="T36" s="995">
        <f t="shared" si="17"/>
        <v>17169.523868327811</v>
      </c>
      <c r="U36" s="995">
        <f t="shared" si="18"/>
        <v>87.991729995529738</v>
      </c>
      <c r="V36" s="995">
        <f t="shared" si="19"/>
        <v>2.4954792105858054E-3</v>
      </c>
      <c r="W36" s="995">
        <v>4.03</v>
      </c>
      <c r="X36" s="736">
        <f t="shared" si="20"/>
        <v>2063.0399999999991</v>
      </c>
      <c r="Y36" s="375"/>
      <c r="Z36" s="375"/>
      <c r="AA36" s="375"/>
      <c r="AB36" s="375"/>
      <c r="AC36" s="375"/>
      <c r="AD36" s="375"/>
      <c r="AE36" s="375"/>
      <c r="AF36" s="375"/>
      <c r="AG36" s="375"/>
      <c r="AH36" s="250"/>
      <c r="AI36" s="250"/>
      <c r="AJ36" s="250"/>
    </row>
    <row r="37" spans="1:36" x14ac:dyDescent="0.25">
      <c r="A37" s="331">
        <v>7</v>
      </c>
      <c r="B37" s="332" t="s">
        <v>273</v>
      </c>
      <c r="C37" s="997">
        <v>1973</v>
      </c>
      <c r="D37" s="997">
        <v>2</v>
      </c>
      <c r="E37" s="997">
        <v>18</v>
      </c>
      <c r="F37" s="991">
        <v>40</v>
      </c>
      <c r="G37" s="999">
        <v>773.51</v>
      </c>
      <c r="H37" s="999"/>
      <c r="I37" s="1012"/>
      <c r="J37" s="1012"/>
      <c r="K37" s="1004">
        <v>18569.759999999998</v>
      </c>
      <c r="L37" s="1004">
        <v>14338.85</v>
      </c>
      <c r="M37" s="1015"/>
      <c r="N37" s="1015"/>
      <c r="O37" s="993">
        <f t="shared" si="15"/>
        <v>70587.931668745077</v>
      </c>
      <c r="P37" s="993">
        <v>14859.35</v>
      </c>
      <c r="Q37" s="994">
        <f t="shared" si="16"/>
        <v>11.581668745081359</v>
      </c>
      <c r="R37" s="994"/>
      <c r="S37" s="995">
        <v>55717</v>
      </c>
      <c r="T37" s="995">
        <f t="shared" si="17"/>
        <v>-52018.171668745083</v>
      </c>
      <c r="U37" s="995">
        <f t="shared" si="18"/>
        <v>77.216129879976918</v>
      </c>
      <c r="V37" s="995">
        <f t="shared" si="19"/>
        <v>15.209441737177515</v>
      </c>
      <c r="W37" s="995">
        <v>4</v>
      </c>
      <c r="X37" s="736">
        <f t="shared" si="20"/>
        <v>4230.909999999998</v>
      </c>
      <c r="Y37" s="375"/>
      <c r="Z37" s="375"/>
      <c r="AA37" s="375"/>
      <c r="AB37" s="375"/>
      <c r="AC37" s="375"/>
      <c r="AD37" s="375"/>
      <c r="AE37" s="375"/>
      <c r="AF37" s="375"/>
      <c r="AG37" s="375"/>
      <c r="AH37" s="250"/>
      <c r="AI37" s="250"/>
      <c r="AJ37" s="250"/>
    </row>
    <row r="38" spans="1:36" x14ac:dyDescent="0.25">
      <c r="A38" s="331">
        <v>8</v>
      </c>
      <c r="B38" s="332" t="s">
        <v>274</v>
      </c>
      <c r="C38" s="997">
        <v>1974</v>
      </c>
      <c r="D38" s="997">
        <v>2</v>
      </c>
      <c r="E38" s="997">
        <v>18</v>
      </c>
      <c r="F38" s="998">
        <v>49</v>
      </c>
      <c r="G38" s="999">
        <v>779.68</v>
      </c>
      <c r="H38" s="999"/>
      <c r="I38" s="1012"/>
      <c r="J38" s="1012"/>
      <c r="K38" s="1004">
        <v>18707.28</v>
      </c>
      <c r="L38" s="1004">
        <v>13955.36</v>
      </c>
      <c r="M38" s="1015"/>
      <c r="N38" s="1015"/>
      <c r="O38" s="993">
        <f t="shared" si="15"/>
        <v>11.674051385457245</v>
      </c>
      <c r="P38" s="993"/>
      <c r="Q38" s="994">
        <f t="shared" si="16"/>
        <v>11.674051385457245</v>
      </c>
      <c r="R38" s="994"/>
      <c r="S38" s="995"/>
      <c r="T38" s="995">
        <f t="shared" si="17"/>
        <v>18695.605948614542</v>
      </c>
      <c r="U38" s="995">
        <f t="shared" si="18"/>
        <v>74.598552007560698</v>
      </c>
      <c r="V38" s="995">
        <f t="shared" si="19"/>
        <v>2.4954792105858058E-3</v>
      </c>
      <c r="W38" s="995">
        <v>4</v>
      </c>
      <c r="X38" s="736">
        <f t="shared" si="20"/>
        <v>4751.9199999999983</v>
      </c>
      <c r="Y38" s="375"/>
      <c r="Z38" s="375"/>
      <c r="AA38" s="375"/>
      <c r="AB38" s="375"/>
      <c r="AC38" s="375"/>
      <c r="AD38" s="375"/>
      <c r="AE38" s="375"/>
      <c r="AF38" s="375"/>
      <c r="AG38" s="375"/>
      <c r="AH38" s="250"/>
      <c r="AI38" s="250"/>
      <c r="AJ38" s="250"/>
    </row>
    <row r="39" spans="1:36" x14ac:dyDescent="0.25">
      <c r="A39" s="331">
        <v>9</v>
      </c>
      <c r="B39" s="332" t="s">
        <v>275</v>
      </c>
      <c r="C39" s="997">
        <v>1973</v>
      </c>
      <c r="D39" s="997">
        <v>2</v>
      </c>
      <c r="E39" s="997">
        <v>18</v>
      </c>
      <c r="F39" s="1000">
        <v>50</v>
      </c>
      <c r="G39" s="999">
        <v>776.87</v>
      </c>
      <c r="H39" s="999"/>
      <c r="I39" s="1012"/>
      <c r="J39" s="1012"/>
      <c r="K39" s="1004">
        <v>18640.32</v>
      </c>
      <c r="L39" s="1004">
        <v>14837.08</v>
      </c>
      <c r="M39" s="1015"/>
      <c r="N39" s="1015"/>
      <c r="O39" s="993">
        <f t="shared" si="15"/>
        <v>3394.5319776059669</v>
      </c>
      <c r="P39" s="993">
        <v>3382.9</v>
      </c>
      <c r="Q39" s="994">
        <f t="shared" si="16"/>
        <v>11.631977605966769</v>
      </c>
      <c r="R39" s="994"/>
      <c r="S39" s="995"/>
      <c r="T39" s="995">
        <f t="shared" si="17"/>
        <v>15245.788022394034</v>
      </c>
      <c r="U39" s="995">
        <f t="shared" si="18"/>
        <v>79.596702202537301</v>
      </c>
      <c r="V39" s="995">
        <f t="shared" si="19"/>
        <v>0.7282496809002722</v>
      </c>
      <c r="W39" s="995">
        <v>4</v>
      </c>
      <c r="X39" s="736">
        <f t="shared" si="20"/>
        <v>3803.24</v>
      </c>
      <c r="Y39" s="375"/>
      <c r="Z39" s="375"/>
      <c r="AA39" s="375"/>
      <c r="AB39" s="375"/>
      <c r="AC39" s="375"/>
      <c r="AD39" s="375"/>
      <c r="AE39" s="375"/>
      <c r="AF39" s="375"/>
      <c r="AG39" s="375"/>
      <c r="AH39" s="250"/>
      <c r="AI39" s="250"/>
      <c r="AJ39" s="250"/>
    </row>
    <row r="40" spans="1:36" x14ac:dyDescent="0.25">
      <c r="A40" s="331">
        <v>10</v>
      </c>
      <c r="B40" s="332" t="s">
        <v>276</v>
      </c>
      <c r="C40" s="997">
        <v>1988</v>
      </c>
      <c r="D40" s="997">
        <v>5</v>
      </c>
      <c r="E40" s="997">
        <v>60</v>
      </c>
      <c r="F40" s="998">
        <v>161</v>
      </c>
      <c r="G40" s="999">
        <v>3167</v>
      </c>
      <c r="H40" s="999">
        <v>210</v>
      </c>
      <c r="I40" s="1012"/>
      <c r="J40" s="1012"/>
      <c r="K40" s="1004">
        <v>127693.5</v>
      </c>
      <c r="L40" s="1004">
        <v>114263.89</v>
      </c>
      <c r="M40" s="1015"/>
      <c r="N40" s="1015"/>
      <c r="O40" s="993">
        <f t="shared" si="15"/>
        <v>4731.7190959595519</v>
      </c>
      <c r="P40" s="993">
        <v>4684.3</v>
      </c>
      <c r="Q40" s="994">
        <f t="shared" si="16"/>
        <v>47.419095959551477</v>
      </c>
      <c r="R40" s="994"/>
      <c r="S40" s="995"/>
      <c r="T40" s="995">
        <f t="shared" si="17"/>
        <v>122961.78090404045</v>
      </c>
      <c r="U40" s="995">
        <f t="shared" si="18"/>
        <v>89.48293374369095</v>
      </c>
      <c r="V40" s="995">
        <f t="shared" si="19"/>
        <v>0.24901163540467067</v>
      </c>
      <c r="W40" s="995">
        <v>6.72</v>
      </c>
      <c r="X40" s="736">
        <f t="shared" si="20"/>
        <v>13429.61</v>
      </c>
      <c r="Y40" s="375"/>
      <c r="Z40" s="375"/>
      <c r="AA40" s="375"/>
      <c r="AB40" s="375"/>
      <c r="AC40" s="375"/>
      <c r="AD40" s="375"/>
      <c r="AE40" s="375"/>
      <c r="AF40" s="375"/>
      <c r="AG40" s="375"/>
      <c r="AH40" s="250"/>
      <c r="AI40" s="250"/>
      <c r="AJ40" s="250"/>
    </row>
    <row r="41" spans="1:36" x14ac:dyDescent="0.25">
      <c r="A41" s="331">
        <v>11</v>
      </c>
      <c r="B41" s="332" t="s">
        <v>277</v>
      </c>
      <c r="C41" s="997">
        <v>1979</v>
      </c>
      <c r="D41" s="997">
        <v>5</v>
      </c>
      <c r="E41" s="997">
        <v>60</v>
      </c>
      <c r="F41" s="991">
        <v>166</v>
      </c>
      <c r="G41" s="999">
        <v>3217.9</v>
      </c>
      <c r="H41" s="999">
        <v>210</v>
      </c>
      <c r="I41" s="1012"/>
      <c r="J41" s="1012"/>
      <c r="K41" s="1004">
        <v>115844.4</v>
      </c>
      <c r="L41" s="1004">
        <v>108689.93</v>
      </c>
      <c r="M41" s="1015"/>
      <c r="N41" s="1015"/>
      <c r="O41" s="993">
        <f t="shared" si="15"/>
        <v>148610.18121531047</v>
      </c>
      <c r="P41" s="993">
        <v>72980</v>
      </c>
      <c r="Q41" s="994">
        <f t="shared" si="16"/>
        <v>48.181215310464381</v>
      </c>
      <c r="R41" s="994"/>
      <c r="S41" s="995">
        <v>75582</v>
      </c>
      <c r="T41" s="995">
        <f t="shared" si="17"/>
        <v>-32765.781215310475</v>
      </c>
      <c r="U41" s="995">
        <f t="shared" si="18"/>
        <v>93.824069182455077</v>
      </c>
      <c r="V41" s="995">
        <f t="shared" si="19"/>
        <v>7.6970581857376175</v>
      </c>
      <c r="W41" s="995">
        <v>5</v>
      </c>
      <c r="X41" s="736">
        <f t="shared" si="20"/>
        <v>7154.4700000000012</v>
      </c>
      <c r="Y41" s="375"/>
      <c r="Z41" s="375"/>
      <c r="AA41" s="375"/>
      <c r="AB41" s="375"/>
      <c r="AC41" s="375"/>
      <c r="AD41" s="375"/>
      <c r="AE41" s="375"/>
      <c r="AF41" s="375"/>
      <c r="AG41" s="375"/>
      <c r="AH41" s="250"/>
      <c r="AI41" s="250"/>
      <c r="AJ41" s="250"/>
    </row>
    <row r="42" spans="1:36" x14ac:dyDescent="0.25">
      <c r="A42" s="331">
        <v>12</v>
      </c>
      <c r="B42" s="332" t="s">
        <v>278</v>
      </c>
      <c r="C42" s="997">
        <v>1980</v>
      </c>
      <c r="D42" s="997">
        <v>5</v>
      </c>
      <c r="E42" s="997">
        <v>60</v>
      </c>
      <c r="F42" s="998">
        <v>153</v>
      </c>
      <c r="G42" s="999">
        <v>3257.1</v>
      </c>
      <c r="H42" s="999">
        <v>210</v>
      </c>
      <c r="I42" s="1012"/>
      <c r="J42" s="1012"/>
      <c r="K42" s="1004">
        <v>78170.399999999994</v>
      </c>
      <c r="L42" s="1004">
        <v>59157.46</v>
      </c>
      <c r="M42" s="1015"/>
      <c r="N42" s="1015"/>
      <c r="O42" s="993">
        <f t="shared" si="15"/>
        <v>1370.7781520207941</v>
      </c>
      <c r="P42" s="993">
        <v>1322.01</v>
      </c>
      <c r="Q42" s="994">
        <f t="shared" si="16"/>
        <v>48.768152020794162</v>
      </c>
      <c r="R42" s="994"/>
      <c r="S42" s="995"/>
      <c r="T42" s="995">
        <f t="shared" si="17"/>
        <v>76799.621847979201</v>
      </c>
      <c r="U42" s="995">
        <f t="shared" si="18"/>
        <v>75.677571049911478</v>
      </c>
      <c r="V42" s="995">
        <f t="shared" si="19"/>
        <v>7.014307983690983E-2</v>
      </c>
      <c r="W42" s="995">
        <v>0.1</v>
      </c>
      <c r="X42" s="736">
        <f t="shared" si="20"/>
        <v>19012.939999999995</v>
      </c>
      <c r="Y42" s="375"/>
      <c r="Z42" s="375"/>
      <c r="AA42" s="375"/>
      <c r="AB42" s="375"/>
      <c r="AC42" s="375"/>
      <c r="AD42" s="375"/>
      <c r="AE42" s="375"/>
      <c r="AF42" s="375"/>
      <c r="AG42" s="375"/>
      <c r="AH42" s="250"/>
      <c r="AI42" s="250"/>
      <c r="AJ42" s="250"/>
    </row>
    <row r="43" spans="1:36" x14ac:dyDescent="0.25">
      <c r="A43" s="331">
        <v>13</v>
      </c>
      <c r="B43" s="332" t="s">
        <v>279</v>
      </c>
      <c r="C43" s="997">
        <v>1978</v>
      </c>
      <c r="D43" s="997">
        <v>3</v>
      </c>
      <c r="E43" s="997">
        <v>24</v>
      </c>
      <c r="F43" s="991">
        <v>71</v>
      </c>
      <c r="G43" s="999">
        <v>1444.2</v>
      </c>
      <c r="H43" s="999">
        <v>176.8</v>
      </c>
      <c r="I43" s="1012"/>
      <c r="J43" s="1012"/>
      <c r="K43" s="1004">
        <v>34660.800000000003</v>
      </c>
      <c r="L43" s="1004">
        <v>28595.13</v>
      </c>
      <c r="M43" s="1015"/>
      <c r="N43" s="1015"/>
      <c r="O43" s="993">
        <f t="shared" si="15"/>
        <v>21.623826455568121</v>
      </c>
      <c r="P43" s="993"/>
      <c r="Q43" s="994">
        <f t="shared" si="16"/>
        <v>21.623826455568121</v>
      </c>
      <c r="R43" s="994"/>
      <c r="S43" s="995"/>
      <c r="T43" s="995">
        <f t="shared" si="17"/>
        <v>34639.176173544438</v>
      </c>
      <c r="U43" s="995">
        <f t="shared" si="18"/>
        <v>82.499913446891</v>
      </c>
      <c r="V43" s="995">
        <f t="shared" si="19"/>
        <v>2.4954792105858054E-3</v>
      </c>
      <c r="W43" s="995">
        <v>4</v>
      </c>
      <c r="X43" s="736">
        <f t="shared" si="20"/>
        <v>6065.6700000000019</v>
      </c>
      <c r="Y43" s="375"/>
      <c r="Z43" s="375"/>
      <c r="AA43" s="375"/>
      <c r="AB43" s="375"/>
      <c r="AC43" s="375"/>
      <c r="AD43" s="375"/>
      <c r="AE43" s="375"/>
      <c r="AF43" s="375"/>
      <c r="AG43" s="375"/>
      <c r="AH43" s="250"/>
      <c r="AI43" s="250"/>
      <c r="AJ43" s="250"/>
    </row>
    <row r="44" spans="1:36" x14ac:dyDescent="0.25">
      <c r="A44" s="331">
        <v>14</v>
      </c>
      <c r="B44" s="332" t="s">
        <v>280</v>
      </c>
      <c r="C44" s="997">
        <v>1980</v>
      </c>
      <c r="D44" s="997">
        <v>3</v>
      </c>
      <c r="E44" s="997">
        <v>24</v>
      </c>
      <c r="F44" s="998">
        <v>71</v>
      </c>
      <c r="G44" s="999">
        <v>1444.3</v>
      </c>
      <c r="H44" s="999">
        <v>176.8</v>
      </c>
      <c r="I44" s="1012"/>
      <c r="J44" s="1012"/>
      <c r="K44" s="1004">
        <v>34708.800000000003</v>
      </c>
      <c r="L44" s="1004">
        <v>32289.87</v>
      </c>
      <c r="M44" s="1015"/>
      <c r="N44" s="1015"/>
      <c r="O44" s="993">
        <f t="shared" si="15"/>
        <v>21.625323743094473</v>
      </c>
      <c r="P44" s="993"/>
      <c r="Q44" s="994">
        <f t="shared" si="16"/>
        <v>21.625323743094473</v>
      </c>
      <c r="R44" s="994"/>
      <c r="S44" s="995"/>
      <c r="T44" s="995">
        <f t="shared" si="17"/>
        <v>34687.174676256909</v>
      </c>
      <c r="U44" s="995">
        <f t="shared" si="18"/>
        <v>93.030787581247395</v>
      </c>
      <c r="V44" s="995">
        <f t="shared" si="19"/>
        <v>2.4954792105858054E-3</v>
      </c>
      <c r="W44" s="995">
        <v>4</v>
      </c>
      <c r="X44" s="736">
        <f t="shared" si="20"/>
        <v>2418.9300000000039</v>
      </c>
      <c r="Y44" s="375"/>
      <c r="Z44" s="375"/>
      <c r="AA44" s="375"/>
      <c r="AB44" s="375"/>
      <c r="AC44" s="375"/>
      <c r="AD44" s="375"/>
      <c r="AE44" s="375"/>
      <c r="AF44" s="375"/>
      <c r="AG44" s="375"/>
      <c r="AH44" s="250"/>
      <c r="AI44" s="250"/>
      <c r="AJ44" s="250"/>
    </row>
    <row r="45" spans="1:36" x14ac:dyDescent="0.25">
      <c r="A45" s="331"/>
      <c r="B45" s="464" t="s">
        <v>125</v>
      </c>
      <c r="C45" s="846"/>
      <c r="D45" s="846"/>
      <c r="E45" s="846">
        <f>SUM(E30:E44)</f>
        <v>382</v>
      </c>
      <c r="F45" s="846">
        <f t="shared" ref="F45:T45" si="21">SUM(F31:F44)</f>
        <v>991</v>
      </c>
      <c r="G45" s="639">
        <f t="shared" si="21"/>
        <v>19301.57</v>
      </c>
      <c r="H45" s="639">
        <f t="shared" si="21"/>
        <v>983.59999999999991</v>
      </c>
      <c r="I45" s="989"/>
      <c r="J45" s="989"/>
      <c r="K45" s="1005">
        <f t="shared" si="21"/>
        <v>545449.74</v>
      </c>
      <c r="L45" s="1005">
        <f t="shared" si="21"/>
        <v>481899.25</v>
      </c>
      <c r="M45" s="1016"/>
      <c r="N45" s="1016"/>
      <c r="O45" s="757">
        <f t="shared" si="21"/>
        <v>300299.74000000005</v>
      </c>
      <c r="P45" s="639">
        <f t="shared" si="21"/>
        <v>108868.74</v>
      </c>
      <c r="Q45" s="639">
        <f t="shared" si="21"/>
        <v>289.00000000000006</v>
      </c>
      <c r="R45" s="639">
        <f t="shared" si="21"/>
        <v>0</v>
      </c>
      <c r="S45" s="639">
        <f t="shared" si="21"/>
        <v>191142</v>
      </c>
      <c r="T45" s="639">
        <f t="shared" si="21"/>
        <v>245150</v>
      </c>
      <c r="U45" s="761">
        <f>L45/K45*100</f>
        <v>88.348974187795932</v>
      </c>
      <c r="V45" s="761">
        <f t="shared" si="19"/>
        <v>2.5930510661395254</v>
      </c>
      <c r="W45" s="639"/>
      <c r="X45" s="762">
        <f t="shared" si="20"/>
        <v>63550.489999999991</v>
      </c>
      <c r="Y45" s="375"/>
      <c r="Z45" s="375"/>
      <c r="AA45" s="375"/>
      <c r="AB45" s="375"/>
      <c r="AC45" s="375"/>
      <c r="AD45" s="375"/>
      <c r="AE45" s="375"/>
      <c r="AF45" s="375"/>
      <c r="AG45" s="375"/>
      <c r="AH45" s="250"/>
      <c r="AI45" s="250"/>
      <c r="AJ45" s="250"/>
    </row>
    <row r="46" spans="1:36" x14ac:dyDescent="0.25"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786">
        <f>P45+Q45</f>
        <v>109157.74</v>
      </c>
      <c r="Q46" s="375"/>
      <c r="R46" s="375"/>
      <c r="S46" s="375" t="s">
        <v>180</v>
      </c>
      <c r="T46" s="375"/>
      <c r="U46" s="375"/>
      <c r="V46" s="375"/>
      <c r="W46" s="375"/>
      <c r="X46" s="375"/>
      <c r="Y46" s="375"/>
      <c r="Z46" s="375"/>
      <c r="AA46" s="375"/>
      <c r="AB46" s="375"/>
      <c r="AC46" s="375"/>
      <c r="AD46" s="375"/>
      <c r="AE46" s="375"/>
      <c r="AF46" s="375"/>
      <c r="AG46" s="375"/>
      <c r="AH46" s="250"/>
      <c r="AI46" s="250"/>
      <c r="AJ46" s="250"/>
    </row>
    <row r="47" spans="1:36" x14ac:dyDescent="0.25">
      <c r="C47" s="375"/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  <c r="Y47" s="375"/>
      <c r="Z47" s="375"/>
      <c r="AA47" s="375"/>
      <c r="AB47" s="375"/>
      <c r="AC47" s="375"/>
      <c r="AD47" s="375"/>
      <c r="AE47" s="375"/>
      <c r="AF47" s="375"/>
      <c r="AG47" s="375"/>
    </row>
    <row r="48" spans="1:36" x14ac:dyDescent="0.25">
      <c r="C48" s="375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  <c r="Y48" s="375"/>
      <c r="Z48" s="375"/>
      <c r="AA48" s="375"/>
      <c r="AB48" s="375"/>
      <c r="AC48" s="375"/>
      <c r="AD48" s="375"/>
      <c r="AE48" s="375"/>
      <c r="AF48" s="375"/>
      <c r="AG48" s="375"/>
    </row>
    <row r="49" spans="1:36" x14ac:dyDescent="0.25"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75"/>
      <c r="AB49" s="375"/>
      <c r="AC49" s="375"/>
      <c r="AD49" s="375"/>
      <c r="AE49" s="375"/>
      <c r="AF49" s="375"/>
      <c r="AG49" s="375"/>
    </row>
    <row r="50" spans="1:36" ht="18.75" x14ac:dyDescent="0.3">
      <c r="B50" s="74" t="s">
        <v>651</v>
      </c>
      <c r="C50" s="765"/>
      <c r="D50" s="765"/>
      <c r="E50" s="765"/>
      <c r="F50" s="765"/>
      <c r="G50" s="765"/>
      <c r="H50" s="765"/>
      <c r="I50" s="765"/>
      <c r="J50" s="765"/>
      <c r="K50" s="766"/>
      <c r="L50" s="766"/>
      <c r="M50" s="766"/>
      <c r="N50" s="766"/>
      <c r="O50" s="766"/>
      <c r="P50" s="766"/>
      <c r="Q50" s="766"/>
      <c r="R50" s="375"/>
      <c r="S50" s="375"/>
      <c r="T50" s="375"/>
      <c r="U50" s="375"/>
      <c r="V50" s="375"/>
      <c r="W50" s="375"/>
      <c r="X50" s="375"/>
      <c r="Y50" s="375"/>
      <c r="Z50" s="375"/>
      <c r="AA50" s="375"/>
      <c r="AB50" s="375"/>
      <c r="AC50" s="375"/>
      <c r="AD50" s="851"/>
      <c r="AE50" s="851"/>
      <c r="AF50" s="851"/>
      <c r="AG50" s="375"/>
    </row>
    <row r="51" spans="1:36" ht="18.75" x14ac:dyDescent="0.3">
      <c r="A51" s="17"/>
      <c r="B51" s="74"/>
      <c r="C51" s="765"/>
      <c r="D51" s="765"/>
      <c r="E51" s="765"/>
      <c r="F51" s="765"/>
      <c r="G51" s="765"/>
      <c r="H51" s="765"/>
      <c r="I51" s="765"/>
      <c r="J51" s="765"/>
      <c r="K51" s="766"/>
      <c r="L51" s="766"/>
      <c r="M51" s="766"/>
      <c r="N51" s="766"/>
      <c r="O51" s="766"/>
      <c r="P51" s="766"/>
      <c r="Q51" s="766"/>
      <c r="R51" s="375"/>
      <c r="S51" s="375"/>
      <c r="T51" s="375"/>
      <c r="U51" s="375"/>
      <c r="V51" s="375"/>
      <c r="W51" s="375"/>
      <c r="X51" s="375"/>
      <c r="Y51" s="375"/>
      <c r="Z51" s="375"/>
      <c r="AA51" s="375"/>
      <c r="AB51" s="375"/>
      <c r="AC51" s="375"/>
      <c r="AD51" s="851"/>
      <c r="AE51" s="851"/>
      <c r="AF51" s="851"/>
      <c r="AG51" s="375"/>
    </row>
    <row r="52" spans="1:36" ht="18" x14ac:dyDescent="0.25">
      <c r="A52" s="17"/>
      <c r="B52" s="1"/>
      <c r="C52" s="766"/>
      <c r="D52" s="766"/>
      <c r="E52" s="766"/>
      <c r="F52" s="766"/>
      <c r="G52" s="766"/>
      <c r="H52" s="766"/>
      <c r="I52" s="766"/>
      <c r="J52" s="766"/>
      <c r="K52" s="766"/>
      <c r="L52" s="766"/>
      <c r="M52" s="766"/>
      <c r="N52" s="766"/>
      <c r="O52" s="766"/>
      <c r="P52" s="766"/>
      <c r="Q52" s="766"/>
      <c r="R52" s="375"/>
      <c r="S52" s="375"/>
      <c r="T52" s="375"/>
      <c r="U52" s="375"/>
      <c r="V52" s="375"/>
      <c r="W52" s="375"/>
      <c r="X52" s="375"/>
      <c r="Y52" s="375"/>
      <c r="Z52" s="375"/>
      <c r="AA52" s="375"/>
      <c r="AB52" s="375"/>
      <c r="AC52" s="375"/>
      <c r="AD52" s="851"/>
      <c r="AE52" s="851"/>
      <c r="AF52" s="851"/>
      <c r="AG52" s="375"/>
    </row>
    <row r="53" spans="1:36" ht="18" x14ac:dyDescent="0.25">
      <c r="A53" s="17"/>
      <c r="B53" s="1"/>
      <c r="C53" s="766"/>
      <c r="D53" s="766"/>
      <c r="E53" s="766"/>
      <c r="F53" s="766"/>
      <c r="G53" s="766"/>
      <c r="H53" s="766"/>
      <c r="I53" s="766"/>
      <c r="J53" s="766"/>
      <c r="K53" s="766"/>
      <c r="L53" s="766"/>
      <c r="M53" s="766"/>
      <c r="N53" s="766"/>
      <c r="O53" s="766"/>
      <c r="P53" s="766"/>
      <c r="Q53" s="766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5"/>
      <c r="AD53" s="375"/>
      <c r="AE53" s="375"/>
      <c r="AF53" s="375"/>
      <c r="AG53" s="375"/>
      <c r="AH53" s="250"/>
      <c r="AI53" s="250"/>
      <c r="AJ53" s="250"/>
    </row>
    <row r="54" spans="1:36" ht="25.5" customHeight="1" x14ac:dyDescent="0.25">
      <c r="A54" s="2017" t="s">
        <v>0</v>
      </c>
      <c r="B54" s="2017" t="s">
        <v>184</v>
      </c>
      <c r="C54" s="2163" t="s">
        <v>54</v>
      </c>
      <c r="D54" s="2163" t="s">
        <v>55</v>
      </c>
      <c r="E54" s="2163" t="s">
        <v>56</v>
      </c>
      <c r="F54" s="2163" t="s">
        <v>57</v>
      </c>
      <c r="G54" s="2163" t="s">
        <v>6</v>
      </c>
      <c r="H54" s="2270" t="s">
        <v>281</v>
      </c>
      <c r="I54" s="1009"/>
      <c r="J54" s="1009"/>
      <c r="K54" s="2136" t="s">
        <v>557</v>
      </c>
      <c r="L54" s="2137"/>
      <c r="M54" s="1013"/>
      <c r="N54" s="1013"/>
      <c r="O54" s="2272" t="s">
        <v>185</v>
      </c>
      <c r="P54" s="2093" t="s">
        <v>501</v>
      </c>
      <c r="Q54" s="2273" t="s">
        <v>333</v>
      </c>
      <c r="R54" s="2103" t="s">
        <v>313</v>
      </c>
      <c r="S54" s="2103" t="s">
        <v>569</v>
      </c>
      <c r="T54" s="2074" t="s">
        <v>175</v>
      </c>
      <c r="U54" s="2268" t="s">
        <v>176</v>
      </c>
      <c r="V54" s="2268" t="s">
        <v>265</v>
      </c>
      <c r="W54" s="2076" t="s">
        <v>549</v>
      </c>
      <c r="X54" s="375"/>
      <c r="Y54" s="375"/>
      <c r="Z54" s="375"/>
      <c r="AA54" s="375"/>
      <c r="AB54" s="375"/>
      <c r="AC54" s="375"/>
      <c r="AD54" s="375"/>
      <c r="AE54" s="375"/>
      <c r="AF54" s="375"/>
      <c r="AG54" s="375"/>
      <c r="AH54" s="250"/>
      <c r="AI54" s="250"/>
      <c r="AJ54" s="250"/>
    </row>
    <row r="55" spans="1:36" ht="23.25" customHeight="1" x14ac:dyDescent="0.25">
      <c r="A55" s="2017"/>
      <c r="B55" s="2017"/>
      <c r="C55" s="2163"/>
      <c r="D55" s="2163"/>
      <c r="E55" s="2163"/>
      <c r="F55" s="2163"/>
      <c r="G55" s="2163"/>
      <c r="H55" s="2271"/>
      <c r="I55" s="1010"/>
      <c r="J55" s="1010"/>
      <c r="K55" s="1003" t="s">
        <v>15</v>
      </c>
      <c r="L55" s="888" t="s">
        <v>16</v>
      </c>
      <c r="M55" s="1014"/>
      <c r="N55" s="1014"/>
      <c r="O55" s="2272"/>
      <c r="P55" s="2093"/>
      <c r="Q55" s="2273"/>
      <c r="R55" s="2104"/>
      <c r="S55" s="2104"/>
      <c r="T55" s="2075"/>
      <c r="U55" s="2269"/>
      <c r="V55" s="2269"/>
      <c r="W55" s="2077"/>
      <c r="X55" s="375"/>
      <c r="Y55" s="375"/>
      <c r="Z55" s="375"/>
      <c r="AA55" s="375"/>
      <c r="AB55" s="375"/>
      <c r="AC55" s="375"/>
      <c r="AD55" s="375"/>
      <c r="AE55" s="375"/>
      <c r="AF55" s="375"/>
      <c r="AG55" s="375"/>
      <c r="AH55" s="250"/>
      <c r="AI55" s="250"/>
      <c r="AJ55" s="250"/>
    </row>
    <row r="56" spans="1:36" x14ac:dyDescent="0.25">
      <c r="A56" s="331">
        <v>1</v>
      </c>
      <c r="B56" s="332" t="s">
        <v>276</v>
      </c>
      <c r="C56" s="997">
        <v>1988</v>
      </c>
      <c r="D56" s="997">
        <v>5</v>
      </c>
      <c r="E56" s="997">
        <v>60</v>
      </c>
      <c r="F56" s="998">
        <v>161</v>
      </c>
      <c r="G56" s="999">
        <v>3167</v>
      </c>
      <c r="H56" s="999">
        <v>210</v>
      </c>
      <c r="I56" s="1012"/>
      <c r="J56" s="1012"/>
      <c r="K56" s="1004">
        <v>45604.800000000003</v>
      </c>
      <c r="L56" s="1004">
        <v>40807.61</v>
      </c>
      <c r="M56" s="1015"/>
      <c r="N56" s="1015"/>
      <c r="O56" s="993">
        <f>P56+Q56+R56+S56</f>
        <v>47279.035886132573</v>
      </c>
      <c r="P56" s="993"/>
      <c r="Q56" s="994"/>
      <c r="R56" s="1006">
        <f>184231.28/983.6*H56</f>
        <v>39333.640504270028</v>
      </c>
      <c r="S56" s="1006">
        <f>R56*0.202</f>
        <v>7945.3953818625459</v>
      </c>
      <c r="T56" s="1006">
        <f>K56-O56</f>
        <v>-1674.2358861325702</v>
      </c>
      <c r="U56" s="1006">
        <f t="shared" ref="U56:U61" si="22">L56/K56*100</f>
        <v>89.48095375925341</v>
      </c>
      <c r="V56" s="1006">
        <f>O56/G56/6</f>
        <v>2.4881084036486985</v>
      </c>
      <c r="W56" s="995">
        <v>2.4</v>
      </c>
      <c r="X56" s="375"/>
      <c r="Y56" s="375"/>
      <c r="Z56" s="375"/>
      <c r="AA56" s="375"/>
      <c r="AB56" s="375"/>
      <c r="AC56" s="375"/>
      <c r="AD56" s="375"/>
      <c r="AE56" s="375"/>
      <c r="AF56" s="375"/>
      <c r="AG56" s="375"/>
      <c r="AH56" s="250"/>
      <c r="AI56" s="250"/>
      <c r="AJ56" s="250"/>
    </row>
    <row r="57" spans="1:36" x14ac:dyDescent="0.25">
      <c r="A57" s="331">
        <v>2</v>
      </c>
      <c r="B57" s="332" t="s">
        <v>277</v>
      </c>
      <c r="C57" s="997">
        <v>1979</v>
      </c>
      <c r="D57" s="997">
        <v>5</v>
      </c>
      <c r="E57" s="997">
        <v>60</v>
      </c>
      <c r="F57" s="991">
        <v>166</v>
      </c>
      <c r="G57" s="999">
        <v>3217.9</v>
      </c>
      <c r="H57" s="999">
        <v>210</v>
      </c>
      <c r="I57" s="1012"/>
      <c r="J57" s="1012"/>
      <c r="K57" s="1004">
        <v>48268.5</v>
      </c>
      <c r="L57" s="1004">
        <v>46118.71</v>
      </c>
      <c r="M57" s="1015"/>
      <c r="N57" s="1015"/>
      <c r="O57" s="993">
        <f>P57+Q57+R57+S57</f>
        <v>47279.035886132573</v>
      </c>
      <c r="P57" s="993"/>
      <c r="Q57" s="994"/>
      <c r="R57" s="1006">
        <f t="shared" ref="R57:R60" si="23">184231.28/983.6*H57</f>
        <v>39333.640504270028</v>
      </c>
      <c r="S57" s="1006">
        <f t="shared" ref="S57:S60" si="24">R57*0.202</f>
        <v>7945.3953818625459</v>
      </c>
      <c r="T57" s="1006">
        <f>K57-O57</f>
        <v>989.46411386742693</v>
      </c>
      <c r="U57" s="1006">
        <f t="shared" si="22"/>
        <v>95.54618436454416</v>
      </c>
      <c r="V57" s="1006">
        <f t="shared" ref="V57:V61" si="25">O57/G57/6</f>
        <v>2.4487520787953101</v>
      </c>
      <c r="W57" s="995">
        <v>2.5</v>
      </c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250"/>
      <c r="AI57" s="250"/>
      <c r="AJ57" s="250"/>
    </row>
    <row r="58" spans="1:36" x14ac:dyDescent="0.25">
      <c r="A58" s="331">
        <v>3</v>
      </c>
      <c r="B58" s="332" t="s">
        <v>278</v>
      </c>
      <c r="C58" s="997">
        <v>1980</v>
      </c>
      <c r="D58" s="997">
        <v>5</v>
      </c>
      <c r="E58" s="997">
        <v>60</v>
      </c>
      <c r="F58" s="998">
        <v>153</v>
      </c>
      <c r="G58" s="999">
        <v>3257.1</v>
      </c>
      <c r="H58" s="999">
        <v>210</v>
      </c>
      <c r="I58" s="1012"/>
      <c r="J58" s="1012"/>
      <c r="K58" s="1004">
        <v>48074.76</v>
      </c>
      <c r="L58" s="1004">
        <v>37000.879999999997</v>
      </c>
      <c r="M58" s="1015"/>
      <c r="N58" s="1015"/>
      <c r="O58" s="993">
        <f>P58+Q58+R58+S58</f>
        <v>47279.035886132573</v>
      </c>
      <c r="P58" s="993"/>
      <c r="Q58" s="994"/>
      <c r="R58" s="1006">
        <f t="shared" si="23"/>
        <v>39333.640504270028</v>
      </c>
      <c r="S58" s="1006">
        <f t="shared" si="24"/>
        <v>7945.3953818625459</v>
      </c>
      <c r="T58" s="1006">
        <f>K58-O58</f>
        <v>795.72411386742897</v>
      </c>
      <c r="U58" s="1006">
        <f t="shared" si="22"/>
        <v>76.965293222472653</v>
      </c>
      <c r="V58" s="1006">
        <f t="shared" si="25"/>
        <v>2.4192807449434861</v>
      </c>
      <c r="W58" s="995">
        <v>2.46</v>
      </c>
      <c r="X58" s="375"/>
      <c r="Y58" s="375"/>
      <c r="Z58" s="375"/>
      <c r="AA58" s="375"/>
      <c r="AB58" s="375"/>
      <c r="AC58" s="375"/>
      <c r="AD58" s="375"/>
      <c r="AE58" s="375"/>
      <c r="AF58" s="375"/>
      <c r="AG58" s="375"/>
      <c r="AH58" s="250"/>
      <c r="AI58" s="250"/>
      <c r="AJ58" s="250"/>
    </row>
    <row r="59" spans="1:36" x14ac:dyDescent="0.25">
      <c r="A59" s="331">
        <v>4</v>
      </c>
      <c r="B59" s="332" t="s">
        <v>279</v>
      </c>
      <c r="C59" s="997">
        <v>1978</v>
      </c>
      <c r="D59" s="997">
        <v>3</v>
      </c>
      <c r="E59" s="997">
        <v>24</v>
      </c>
      <c r="F59" s="991">
        <v>71</v>
      </c>
      <c r="G59" s="999">
        <v>1444.2</v>
      </c>
      <c r="H59" s="999">
        <v>176.8</v>
      </c>
      <c r="I59" s="1012"/>
      <c r="J59" s="1012"/>
      <c r="K59" s="1004">
        <v>21836.22</v>
      </c>
      <c r="L59" s="1004">
        <v>18014.95</v>
      </c>
      <c r="M59" s="1015"/>
      <c r="N59" s="1015"/>
      <c r="O59" s="993">
        <f>P59+Q59+R59+S59</f>
        <v>39804.44545080114</v>
      </c>
      <c r="P59" s="993"/>
      <c r="Q59" s="994"/>
      <c r="R59" s="1006">
        <f t="shared" si="23"/>
        <v>33115.179243594961</v>
      </c>
      <c r="S59" s="1006">
        <f t="shared" si="24"/>
        <v>6689.2662072061821</v>
      </c>
      <c r="T59" s="1006">
        <f>K59-O59</f>
        <v>-17968.225450801139</v>
      </c>
      <c r="U59" s="1006">
        <f t="shared" si="22"/>
        <v>82.500313698982694</v>
      </c>
      <c r="V59" s="1006">
        <f t="shared" si="25"/>
        <v>4.593598007062865</v>
      </c>
      <c r="W59" s="995">
        <v>2.52</v>
      </c>
      <c r="X59" s="375"/>
      <c r="Y59" s="375"/>
      <c r="Z59" s="375"/>
      <c r="AA59" s="375"/>
      <c r="AB59" s="375"/>
      <c r="AC59" s="375"/>
      <c r="AD59" s="375"/>
      <c r="AE59" s="375"/>
      <c r="AF59" s="375"/>
      <c r="AG59" s="375"/>
      <c r="AH59" s="250"/>
      <c r="AI59" s="250"/>
      <c r="AJ59" s="250"/>
    </row>
    <row r="60" spans="1:36" x14ac:dyDescent="0.25">
      <c r="A60" s="331">
        <v>5</v>
      </c>
      <c r="B60" s="332" t="s">
        <v>280</v>
      </c>
      <c r="C60" s="997">
        <v>1980</v>
      </c>
      <c r="D60" s="997">
        <v>3</v>
      </c>
      <c r="E60" s="997">
        <v>24</v>
      </c>
      <c r="F60" s="998">
        <v>71</v>
      </c>
      <c r="G60" s="999">
        <v>1444.3</v>
      </c>
      <c r="H60" s="999">
        <v>176.8</v>
      </c>
      <c r="I60" s="1012"/>
      <c r="J60" s="1012"/>
      <c r="K60" s="1004">
        <v>21606.42</v>
      </c>
      <c r="L60" s="1004">
        <v>20247.39</v>
      </c>
      <c r="M60" s="1015"/>
      <c r="N60" s="1015"/>
      <c r="O60" s="993">
        <f>P60+Q60+R60+S60</f>
        <v>39804.44545080114</v>
      </c>
      <c r="P60" s="993"/>
      <c r="Q60" s="994"/>
      <c r="R60" s="1006">
        <f t="shared" si="23"/>
        <v>33115.179243594961</v>
      </c>
      <c r="S60" s="1006">
        <f t="shared" si="24"/>
        <v>6689.2662072061821</v>
      </c>
      <c r="T60" s="1006">
        <f>K60-O60</f>
        <v>-18198.025450801142</v>
      </c>
      <c r="U60" s="1006">
        <f t="shared" si="22"/>
        <v>93.710063953213904</v>
      </c>
      <c r="V60" s="1006">
        <f t="shared" si="25"/>
        <v>4.5932799569342864</v>
      </c>
      <c r="W60" s="995">
        <v>2.4900000000000002</v>
      </c>
      <c r="X60" s="375"/>
      <c r="Y60" s="375"/>
      <c r="Z60" s="375"/>
      <c r="AA60" s="375"/>
      <c r="AB60" s="375"/>
      <c r="AC60" s="375"/>
      <c r="AD60" s="375"/>
      <c r="AE60" s="375"/>
      <c r="AF60" s="375"/>
      <c r="AG60" s="375"/>
      <c r="AH60" s="250"/>
      <c r="AI60" s="250"/>
      <c r="AJ60" s="250"/>
    </row>
    <row r="61" spans="1:36" x14ac:dyDescent="0.25">
      <c r="A61" s="475"/>
      <c r="B61" s="464" t="s">
        <v>125</v>
      </c>
      <c r="C61" s="846"/>
      <c r="D61" s="846"/>
      <c r="E61" s="846">
        <f>SUM(E55:E60)</f>
        <v>228</v>
      </c>
      <c r="F61" s="846">
        <f t="shared" ref="F61:T61" si="26">SUM(F56:F60)</f>
        <v>622</v>
      </c>
      <c r="G61" s="639">
        <f t="shared" si="26"/>
        <v>12530.5</v>
      </c>
      <c r="H61" s="639">
        <f t="shared" si="26"/>
        <v>983.59999999999991</v>
      </c>
      <c r="I61" s="989"/>
      <c r="J61" s="989"/>
      <c r="K61" s="1005">
        <f t="shared" si="26"/>
        <v>185390.7</v>
      </c>
      <c r="L61" s="1005">
        <f t="shared" si="26"/>
        <v>162189.54000000004</v>
      </c>
      <c r="M61" s="1016"/>
      <c r="N61" s="1016"/>
      <c r="O61" s="1005">
        <f t="shared" si="26"/>
        <v>221445.99856000001</v>
      </c>
      <c r="P61" s="639">
        <f t="shared" si="26"/>
        <v>0</v>
      </c>
      <c r="Q61" s="639">
        <f t="shared" si="26"/>
        <v>0</v>
      </c>
      <c r="R61" s="639">
        <f t="shared" si="26"/>
        <v>184231.28</v>
      </c>
      <c r="S61" s="639">
        <f t="shared" si="26"/>
        <v>37214.718560000001</v>
      </c>
      <c r="T61" s="639">
        <f t="shared" si="26"/>
        <v>-36055.298559999996</v>
      </c>
      <c r="U61" s="1007">
        <f t="shared" si="22"/>
        <v>87.485262205709361</v>
      </c>
      <c r="V61" s="1007">
        <f t="shared" si="25"/>
        <v>2.9454264735379012</v>
      </c>
      <c r="W61" s="761"/>
      <c r="X61" s="375" t="s">
        <v>180</v>
      </c>
      <c r="Y61" s="375"/>
      <c r="Z61" s="375"/>
      <c r="AA61" s="375"/>
      <c r="AB61" s="375"/>
      <c r="AC61" s="375"/>
      <c r="AD61" s="375"/>
      <c r="AE61" s="375"/>
      <c r="AF61" s="375"/>
      <c r="AG61" s="375"/>
      <c r="AH61" s="250"/>
      <c r="AI61" s="250"/>
      <c r="AJ61" s="250"/>
    </row>
    <row r="62" spans="1:36" x14ac:dyDescent="0.25">
      <c r="C62" s="375"/>
      <c r="D62" s="375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1008"/>
      <c r="Q62" s="375"/>
      <c r="R62" s="763">
        <f>R61+S61</f>
        <v>221445.99856000001</v>
      </c>
      <c r="S62" s="375"/>
      <c r="T62" s="375"/>
      <c r="U62" s="375"/>
      <c r="V62" s="375"/>
      <c r="W62" s="375"/>
      <c r="X62" s="375"/>
      <c r="Y62" s="375"/>
      <c r="Z62" s="375"/>
      <c r="AA62" s="375"/>
      <c r="AB62" s="375"/>
      <c r="AC62" s="375"/>
      <c r="AD62" s="375"/>
      <c r="AE62" s="375"/>
      <c r="AF62" s="375"/>
      <c r="AG62" s="375"/>
      <c r="AH62" s="250"/>
      <c r="AI62" s="250"/>
      <c r="AJ62" s="250"/>
    </row>
    <row r="63" spans="1:36" x14ac:dyDescent="0.25">
      <c r="C63" s="375"/>
      <c r="D63" s="375"/>
      <c r="E63" s="375"/>
      <c r="F63" s="375"/>
      <c r="G63" s="375"/>
      <c r="H63" s="375"/>
      <c r="I63" s="375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  <c r="AA63" s="375"/>
      <c r="AB63" s="375"/>
      <c r="AC63" s="375"/>
      <c r="AD63" s="375"/>
      <c r="AE63" s="375"/>
      <c r="AF63" s="375"/>
      <c r="AG63" s="375"/>
      <c r="AH63" s="250"/>
      <c r="AI63" s="250"/>
      <c r="AJ63" s="250"/>
    </row>
    <row r="64" spans="1:36" x14ac:dyDescent="0.25">
      <c r="G64" s="353" t="s">
        <v>581</v>
      </c>
    </row>
  </sheetData>
  <mergeCells count="67">
    <mergeCell ref="X29:X30"/>
    <mergeCell ref="W54:W55"/>
    <mergeCell ref="G54:G55"/>
    <mergeCell ref="H54:H55"/>
    <mergeCell ref="K54:L54"/>
    <mergeCell ref="O54:O55"/>
    <mergeCell ref="P54:P55"/>
    <mergeCell ref="Q54:Q55"/>
    <mergeCell ref="R54:R55"/>
    <mergeCell ref="S54:S55"/>
    <mergeCell ref="T54:T55"/>
    <mergeCell ref="U54:U55"/>
    <mergeCell ref="V54:V55"/>
    <mergeCell ref="V29:V30"/>
    <mergeCell ref="W29:W30"/>
    <mergeCell ref="A54:A55"/>
    <mergeCell ref="B54:B55"/>
    <mergeCell ref="C54:C55"/>
    <mergeCell ref="D54:D55"/>
    <mergeCell ref="E54:E55"/>
    <mergeCell ref="F54:F55"/>
    <mergeCell ref="R29:R30"/>
    <mergeCell ref="S29:S30"/>
    <mergeCell ref="T29:T30"/>
    <mergeCell ref="U29:U30"/>
    <mergeCell ref="F29:F30"/>
    <mergeCell ref="G29:G30"/>
    <mergeCell ref="H29:H30"/>
    <mergeCell ref="K29:L29"/>
    <mergeCell ref="O29:O30"/>
    <mergeCell ref="P29:P30"/>
    <mergeCell ref="Q29:Q30"/>
    <mergeCell ref="A29:A30"/>
    <mergeCell ref="B29:B30"/>
    <mergeCell ref="C29:C30"/>
    <mergeCell ref="D29:D30"/>
    <mergeCell ref="E29:E30"/>
    <mergeCell ref="AH5:AH6"/>
    <mergeCell ref="V5:V6"/>
    <mergeCell ref="W5:W6"/>
    <mergeCell ref="X5:X6"/>
    <mergeCell ref="Y5:Y6"/>
    <mergeCell ref="AA5:AA6"/>
    <mergeCell ref="AB5:AB6"/>
    <mergeCell ref="AC5:AC6"/>
    <mergeCell ref="AD5:AD6"/>
    <mergeCell ref="AE5:AE6"/>
    <mergeCell ref="AF5:AF6"/>
    <mergeCell ref="AG5:AG6"/>
    <mergeCell ref="U5:U6"/>
    <mergeCell ref="G5:G6"/>
    <mergeCell ref="H5:H6"/>
    <mergeCell ref="I5:J5"/>
    <mergeCell ref="K5:L5"/>
    <mergeCell ref="M5:N5"/>
    <mergeCell ref="O5:O6"/>
    <mergeCell ref="P5:P6"/>
    <mergeCell ref="Q5:Q6"/>
    <mergeCell ref="R5:R6"/>
    <mergeCell ref="S5:S6"/>
    <mergeCell ref="T5:T6"/>
    <mergeCell ref="F5:F6"/>
    <mergeCell ref="A5:A6"/>
    <mergeCell ref="B5:B6"/>
    <mergeCell ref="C5:C6"/>
    <mergeCell ref="D5:D6"/>
    <mergeCell ref="E5:E6"/>
  </mergeCells>
  <pageMargins left="0.2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4"/>
  <sheetViews>
    <sheetView topLeftCell="C1" workbookViewId="0">
      <selection activeCell="K53" sqref="K53:AG64"/>
    </sheetView>
  </sheetViews>
  <sheetFormatPr defaultRowHeight="15" x14ac:dyDescent="0.25"/>
  <cols>
    <col min="1" max="1" width="3.85546875" customWidth="1"/>
    <col min="2" max="2" width="18" customWidth="1"/>
    <col min="3" max="3" width="6.85546875" customWidth="1"/>
    <col min="4" max="4" width="7.28515625" customWidth="1"/>
    <col min="5" max="5" width="8.140625" customWidth="1"/>
    <col min="6" max="6" width="8.28515625" customWidth="1"/>
    <col min="7" max="7" width="9.85546875" customWidth="1"/>
    <col min="8" max="8" width="9.5703125" customWidth="1"/>
    <col min="9" max="9" width="11" customWidth="1"/>
    <col min="10" max="10" width="10.85546875" customWidth="1"/>
    <col min="11" max="11" width="12" customWidth="1"/>
    <col min="12" max="12" width="11" customWidth="1"/>
    <col min="13" max="13" width="11.42578125" customWidth="1"/>
    <col min="14" max="15" width="11.140625" customWidth="1"/>
    <col min="16" max="16" width="11" customWidth="1"/>
    <col min="17" max="17" width="11.85546875" customWidth="1"/>
    <col min="18" max="18" width="12" customWidth="1"/>
    <col min="19" max="19" width="11" customWidth="1"/>
    <col min="20" max="20" width="10.28515625" customWidth="1"/>
    <col min="21" max="21" width="11" customWidth="1"/>
    <col min="22" max="22" width="11.42578125" customWidth="1"/>
    <col min="23" max="24" width="11.5703125" customWidth="1"/>
    <col min="25" max="25" width="12" customWidth="1"/>
    <col min="26" max="26" width="10" customWidth="1"/>
    <col min="27" max="27" width="9.7109375" customWidth="1"/>
    <col min="28" max="28" width="11.140625" customWidth="1"/>
    <col min="29" max="29" width="10.5703125" customWidth="1"/>
    <col min="30" max="30" width="12.42578125" customWidth="1"/>
    <col min="31" max="31" width="11.140625" customWidth="1"/>
    <col min="32" max="32" width="10.5703125" customWidth="1"/>
    <col min="33" max="33" width="11.140625" customWidth="1"/>
    <col min="34" max="34" width="11.5703125" customWidth="1"/>
    <col min="35" max="35" width="10.42578125" customWidth="1"/>
    <col min="36" max="36" width="11.5703125" customWidth="1"/>
    <col min="37" max="37" width="10.42578125" customWidth="1"/>
    <col min="38" max="38" width="11" customWidth="1"/>
    <col min="39" max="39" width="10.28515625" customWidth="1"/>
    <col min="40" max="40" width="11.28515625" customWidth="1"/>
    <col min="41" max="41" width="10.28515625" customWidth="1"/>
    <col min="42" max="42" width="9.140625" customWidth="1"/>
    <col min="43" max="43" width="10.42578125" customWidth="1"/>
    <col min="44" max="45" width="9.140625" customWidth="1"/>
    <col min="46" max="46" width="10.42578125" customWidth="1"/>
    <col min="47" max="47" width="9.140625" customWidth="1"/>
    <col min="48" max="48" width="10.5703125" customWidth="1"/>
    <col min="49" max="50" width="9.140625" customWidth="1"/>
    <col min="51" max="51" width="10.28515625" customWidth="1"/>
    <col min="52" max="52" width="10.85546875" customWidth="1"/>
    <col min="53" max="54" width="9.140625" customWidth="1"/>
    <col min="55" max="55" width="10.140625" customWidth="1"/>
    <col min="56" max="56" width="12.85546875" customWidth="1"/>
    <col min="57" max="57" width="11.28515625" customWidth="1"/>
    <col min="58" max="58" width="11.7109375" customWidth="1"/>
  </cols>
  <sheetData>
    <row r="1" spans="1:58" ht="18.75" x14ac:dyDescent="0.3">
      <c r="B1" s="1531" t="s">
        <v>763</v>
      </c>
      <c r="C1" s="74"/>
      <c r="D1" s="74"/>
      <c r="E1" s="74"/>
      <c r="F1" s="74"/>
      <c r="G1" s="74"/>
      <c r="H1" s="74"/>
      <c r="I1" s="74"/>
      <c r="J1" s="7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J1" s="34"/>
      <c r="AK1" s="34"/>
      <c r="AL1" s="34"/>
    </row>
    <row r="2" spans="1:58" ht="18.75" x14ac:dyDescent="0.3">
      <c r="A2" s="17"/>
      <c r="B2" s="74"/>
      <c r="C2" s="149"/>
      <c r="D2" s="74"/>
      <c r="E2" s="74"/>
      <c r="F2" s="74"/>
      <c r="G2" s="613" t="s">
        <v>608</v>
      </c>
      <c r="H2" s="74"/>
      <c r="I2" s="74"/>
      <c r="J2" s="7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J2" s="34"/>
      <c r="AK2" s="34"/>
      <c r="AL2" s="34"/>
    </row>
    <row r="3" spans="1:58" ht="18" x14ac:dyDescent="0.25">
      <c r="A3" s="1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J3" s="34"/>
      <c r="AK3" s="34"/>
      <c r="AL3" s="34"/>
      <c r="AN3" s="250"/>
      <c r="AO3" s="250"/>
      <c r="AP3" s="250"/>
      <c r="AQ3" s="250"/>
    </row>
    <row r="4" spans="1:58" ht="18" x14ac:dyDescent="0.25">
      <c r="A4" s="17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J4" s="34"/>
      <c r="AK4" s="34"/>
      <c r="AL4" s="34"/>
      <c r="AN4" s="250"/>
      <c r="AO4" s="250"/>
      <c r="AP4" s="250"/>
      <c r="AQ4" s="250"/>
    </row>
    <row r="5" spans="1:58" ht="42.75" customHeight="1" x14ac:dyDescent="0.25">
      <c r="A5" s="2017" t="s">
        <v>0</v>
      </c>
      <c r="B5" s="2017" t="s">
        <v>184</v>
      </c>
      <c r="C5" s="2017" t="s">
        <v>54</v>
      </c>
      <c r="D5" s="2017" t="s">
        <v>55</v>
      </c>
      <c r="E5" s="2017" t="s">
        <v>56</v>
      </c>
      <c r="F5" s="2017" t="s">
        <v>57</v>
      </c>
      <c r="G5" s="2017" t="s">
        <v>6</v>
      </c>
      <c r="H5" s="2264" t="s">
        <v>281</v>
      </c>
      <c r="I5" s="1991" t="s">
        <v>672</v>
      </c>
      <c r="J5" s="1992"/>
      <c r="K5" s="1991" t="s">
        <v>656</v>
      </c>
      <c r="L5" s="1992"/>
      <c r="M5" s="1991" t="s">
        <v>657</v>
      </c>
      <c r="N5" s="1992"/>
      <c r="O5" s="2214" t="s">
        <v>658</v>
      </c>
      <c r="P5" s="2215"/>
      <c r="Q5" s="1991" t="s">
        <v>310</v>
      </c>
      <c r="R5" s="1992"/>
      <c r="S5" s="2097" t="s">
        <v>593</v>
      </c>
      <c r="T5" s="2060"/>
      <c r="U5" s="2249" t="s">
        <v>284</v>
      </c>
      <c r="V5" s="2250"/>
      <c r="W5" s="1989" t="s">
        <v>745</v>
      </c>
      <c r="X5" s="1990"/>
      <c r="Y5" s="1987" t="s">
        <v>457</v>
      </c>
      <c r="Z5" s="2009" t="s">
        <v>496</v>
      </c>
      <c r="AA5" s="2102" t="s">
        <v>377</v>
      </c>
      <c r="AB5" s="2003" t="s">
        <v>497</v>
      </c>
      <c r="AC5" s="2003" t="s">
        <v>609</v>
      </c>
      <c r="AD5" s="2003" t="s">
        <v>578</v>
      </c>
      <c r="AE5" s="2172" t="s">
        <v>503</v>
      </c>
      <c r="AF5" s="2026" t="s">
        <v>316</v>
      </c>
      <c r="AG5" s="2026" t="s">
        <v>369</v>
      </c>
      <c r="AH5" s="1997" t="s">
        <v>321</v>
      </c>
      <c r="AI5" s="2170" t="s">
        <v>554</v>
      </c>
      <c r="AJ5" s="2022" t="s">
        <v>688</v>
      </c>
      <c r="AK5" s="1997" t="s">
        <v>689</v>
      </c>
      <c r="AL5" s="1997" t="s">
        <v>375</v>
      </c>
      <c r="AM5" s="1997" t="s">
        <v>606</v>
      </c>
      <c r="AN5" s="1997" t="s">
        <v>372</v>
      </c>
      <c r="AO5" s="1997" t="s">
        <v>314</v>
      </c>
      <c r="AP5" s="1997" t="s">
        <v>616</v>
      </c>
      <c r="AQ5" s="2259" t="s">
        <v>691</v>
      </c>
      <c r="AR5" s="2026" t="s">
        <v>727</v>
      </c>
      <c r="AS5" s="2026" t="s">
        <v>690</v>
      </c>
      <c r="AT5" s="1997" t="s">
        <v>313</v>
      </c>
      <c r="AU5" s="1997" t="s">
        <v>554</v>
      </c>
      <c r="AV5" s="2260" t="s">
        <v>692</v>
      </c>
      <c r="AW5" s="1987" t="s">
        <v>693</v>
      </c>
      <c r="AX5" s="1987" t="s">
        <v>656</v>
      </c>
      <c r="AY5" s="1987" t="s">
        <v>694</v>
      </c>
      <c r="AZ5" s="1987" t="s">
        <v>735</v>
      </c>
      <c r="BA5" s="2005" t="s">
        <v>724</v>
      </c>
      <c r="BB5" s="2001" t="s">
        <v>182</v>
      </c>
      <c r="BC5" s="2001" t="s">
        <v>736</v>
      </c>
      <c r="BD5" s="2001" t="s">
        <v>725</v>
      </c>
      <c r="BE5" s="1999" t="s">
        <v>715</v>
      </c>
      <c r="BF5" s="1999" t="s">
        <v>716</v>
      </c>
    </row>
    <row r="6" spans="1:58" ht="48.75" customHeight="1" x14ac:dyDescent="0.25">
      <c r="A6" s="2017"/>
      <c r="B6" s="2017"/>
      <c r="C6" s="2017"/>
      <c r="D6" s="2017"/>
      <c r="E6" s="2017"/>
      <c r="F6" s="2017"/>
      <c r="G6" s="2017"/>
      <c r="H6" s="2265"/>
      <c r="I6" s="150" t="s">
        <v>15</v>
      </c>
      <c r="J6" s="1361" t="s">
        <v>16</v>
      </c>
      <c r="K6" s="150" t="s">
        <v>15</v>
      </c>
      <c r="L6" s="1361" t="s">
        <v>16</v>
      </c>
      <c r="M6" s="150" t="s">
        <v>15</v>
      </c>
      <c r="N6" s="1361" t="s">
        <v>16</v>
      </c>
      <c r="O6" s="150" t="s">
        <v>15</v>
      </c>
      <c r="P6" s="1361" t="s">
        <v>16</v>
      </c>
      <c r="Q6" s="150" t="s">
        <v>15</v>
      </c>
      <c r="R6" s="1361" t="s">
        <v>16</v>
      </c>
      <c r="S6" s="150" t="s">
        <v>15</v>
      </c>
      <c r="T6" s="1361" t="s">
        <v>16</v>
      </c>
      <c r="U6" s="51" t="s">
        <v>15</v>
      </c>
      <c r="V6" s="1525" t="s">
        <v>16</v>
      </c>
      <c r="W6" s="150" t="s">
        <v>15</v>
      </c>
      <c r="X6" s="1361" t="s">
        <v>16</v>
      </c>
      <c r="Y6" s="1988"/>
      <c r="Z6" s="2009"/>
      <c r="AA6" s="2102"/>
      <c r="AB6" s="2004"/>
      <c r="AC6" s="2004"/>
      <c r="AD6" s="2004"/>
      <c r="AE6" s="2172"/>
      <c r="AF6" s="2026"/>
      <c r="AG6" s="2169"/>
      <c r="AH6" s="1998"/>
      <c r="AI6" s="2171"/>
      <c r="AJ6" s="2023"/>
      <c r="AK6" s="1998"/>
      <c r="AL6" s="1998"/>
      <c r="AM6" s="1998"/>
      <c r="AN6" s="1998"/>
      <c r="AO6" s="1998"/>
      <c r="AP6" s="1998"/>
      <c r="AQ6" s="2259"/>
      <c r="AR6" s="2026"/>
      <c r="AS6" s="2026"/>
      <c r="AT6" s="1998"/>
      <c r="AU6" s="1998"/>
      <c r="AV6" s="2261"/>
      <c r="AW6" s="1988"/>
      <c r="AX6" s="1988"/>
      <c r="AY6" s="1988"/>
      <c r="AZ6" s="1988"/>
      <c r="BA6" s="2006"/>
      <c r="BB6" s="2002"/>
      <c r="BC6" s="2002"/>
      <c r="BD6" s="2002"/>
      <c r="BE6" s="2000"/>
      <c r="BF6" s="2000"/>
    </row>
    <row r="7" spans="1:58" x14ac:dyDescent="0.25">
      <c r="A7" s="331">
        <v>1</v>
      </c>
      <c r="B7" s="332" t="s">
        <v>267</v>
      </c>
      <c r="C7" s="990">
        <v>1964</v>
      </c>
      <c r="D7" s="990">
        <v>2</v>
      </c>
      <c r="E7" s="990">
        <v>16</v>
      </c>
      <c r="F7" s="991">
        <v>27</v>
      </c>
      <c r="G7" s="990">
        <v>635.25</v>
      </c>
      <c r="H7" s="990"/>
      <c r="I7" s="993">
        <v>0</v>
      </c>
      <c r="J7" s="993">
        <v>0</v>
      </c>
      <c r="K7" s="992">
        <v>609.9</v>
      </c>
      <c r="L7" s="992">
        <v>712.83</v>
      </c>
      <c r="M7" s="992">
        <v>0</v>
      </c>
      <c r="N7" s="992">
        <v>0</v>
      </c>
      <c r="O7" s="992">
        <v>6784.44</v>
      </c>
      <c r="P7" s="992">
        <v>7873.31</v>
      </c>
      <c r="Q7" s="992">
        <v>52674.96</v>
      </c>
      <c r="R7" s="992">
        <v>47892.959999999999</v>
      </c>
      <c r="S7" s="992">
        <v>1641.8</v>
      </c>
      <c r="T7" s="992">
        <v>1398.64</v>
      </c>
      <c r="U7" s="992">
        <v>22869</v>
      </c>
      <c r="V7" s="992">
        <v>21416.54</v>
      </c>
      <c r="W7" s="992">
        <f>I7+K7+M7+O7+Q7+S7+U7</f>
        <v>84580.1</v>
      </c>
      <c r="X7" s="992">
        <f>J7+L7+N7+P7+R7+T7+V7</f>
        <v>79294.28</v>
      </c>
      <c r="Y7" s="993">
        <f>AJ7+AQ7+AV7+AW7+AX7+AY7</f>
        <v>53184.010038915236</v>
      </c>
      <c r="Z7" s="993">
        <v>201.1</v>
      </c>
      <c r="AA7" s="994">
        <f>15233.41/19301.57*G7</f>
        <v>501.35940768030787</v>
      </c>
      <c r="AB7" s="995">
        <v>2283.96</v>
      </c>
      <c r="AC7" s="995">
        <f>1000/19301.57*G7</f>
        <v>32.911830488400689</v>
      </c>
      <c r="AD7" s="995">
        <f>9839.34/19301.57*G7</f>
        <v>323.83069019774041</v>
      </c>
      <c r="AE7" s="995">
        <f>44217.9/19301.57*G7</f>
        <v>1455.2920293530526</v>
      </c>
      <c r="AF7" s="995">
        <f>462775.58/19301.57*G7</f>
        <v>15230.791443131311</v>
      </c>
      <c r="AG7" s="995">
        <f>76968.11/19301.57*G7</f>
        <v>2533.161389332578</v>
      </c>
      <c r="AH7" s="995">
        <f>393690.25/19301.57*G7</f>
        <v>12957.066772936087</v>
      </c>
      <c r="AI7" s="996">
        <f>AH7*0.202</f>
        <v>2617.3274881330894</v>
      </c>
      <c r="AJ7" s="881">
        <f>AI7+AH7+AG7+AF7+AE7+AD7+AC7+AB7+AA7+Z7</f>
        <v>38136.801051252573</v>
      </c>
      <c r="AK7" s="916">
        <v>4067.25</v>
      </c>
      <c r="AL7" s="916"/>
      <c r="AM7" s="996"/>
      <c r="AN7" s="467"/>
      <c r="AO7" s="391"/>
      <c r="AP7" s="391"/>
      <c r="AQ7" s="467">
        <f>AP7+AO7+AN7+AM7+AL7+AK7</f>
        <v>4067.25</v>
      </c>
      <c r="AR7" s="47"/>
      <c r="AS7" s="47"/>
      <c r="AT7" s="47"/>
      <c r="AU7" s="47"/>
      <c r="AV7" s="47">
        <f>AU7+AT7+AS7+AR7</f>
        <v>0</v>
      </c>
      <c r="AW7" s="47"/>
      <c r="AX7" s="47">
        <f>24397.79/19301.57*G7</f>
        <v>802.9759287715973</v>
      </c>
      <c r="AY7" s="47">
        <f>309219.6/19301.57*G7</f>
        <v>10176.983058891065</v>
      </c>
      <c r="AZ7" s="47">
        <f>W7-Y7</f>
        <v>31396.08996108477</v>
      </c>
      <c r="BA7" s="47">
        <f>X7/W7*100</f>
        <v>93.750515783263438</v>
      </c>
      <c r="BB7" s="47">
        <f>Y7/G7/9</f>
        <v>9.302376149182777</v>
      </c>
      <c r="BC7" s="47">
        <f>W7-X7</f>
        <v>5285.820000000007</v>
      </c>
      <c r="BD7" s="47">
        <f>U7-V7</f>
        <v>1452.4599999999991</v>
      </c>
      <c r="BE7" s="47">
        <v>10.88</v>
      </c>
      <c r="BF7" s="47">
        <v>4</v>
      </c>
    </row>
    <row r="8" spans="1:58" x14ac:dyDescent="0.25">
      <c r="A8" s="331">
        <v>2</v>
      </c>
      <c r="B8" s="332" t="s">
        <v>268</v>
      </c>
      <c r="C8" s="997">
        <v>1965</v>
      </c>
      <c r="D8" s="997">
        <v>2</v>
      </c>
      <c r="E8" s="997">
        <v>16</v>
      </c>
      <c r="F8" s="998">
        <v>36</v>
      </c>
      <c r="G8" s="999">
        <v>632.16999999999996</v>
      </c>
      <c r="H8" s="999"/>
      <c r="I8" s="1017">
        <v>0</v>
      </c>
      <c r="J8" s="1017">
        <v>0</v>
      </c>
      <c r="K8" s="992">
        <v>605.4</v>
      </c>
      <c r="L8" s="992">
        <v>705.48</v>
      </c>
      <c r="M8" s="992">
        <v>0</v>
      </c>
      <c r="N8" s="992">
        <v>0</v>
      </c>
      <c r="O8" s="992">
        <v>6737.34</v>
      </c>
      <c r="P8" s="992">
        <v>7833.81</v>
      </c>
      <c r="Q8" s="992">
        <v>52307.73</v>
      </c>
      <c r="R8" s="992">
        <v>47273.23</v>
      </c>
      <c r="S8" s="992">
        <v>1641.96</v>
      </c>
      <c r="T8" s="992">
        <v>1358.73</v>
      </c>
      <c r="U8" s="992">
        <v>22709.52</v>
      </c>
      <c r="V8" s="992">
        <v>21277.37</v>
      </c>
      <c r="W8" s="992">
        <f t="shared" ref="W8:W20" si="0">I8+K8+M8+O8+Q8+S8+U8</f>
        <v>84001.95</v>
      </c>
      <c r="X8" s="992">
        <f t="shared" ref="X8:X20" si="1">J8+L8+N8+P8+R8+T8+V8</f>
        <v>78448.62000000001</v>
      </c>
      <c r="Y8" s="993">
        <f t="shared" ref="Y8:Y20" si="2">AJ8+AQ8+AV8+AW8+AX8+AY8</f>
        <v>48789.366947817456</v>
      </c>
      <c r="Z8" s="993">
        <v>99.8</v>
      </c>
      <c r="AA8" s="994">
        <f t="shared" ref="AA8:AA20" si="3">15233.41/19301.57*G8</f>
        <v>498.92857418852452</v>
      </c>
      <c r="AB8" s="995">
        <v>2283.96</v>
      </c>
      <c r="AC8" s="995">
        <f t="shared" ref="AC8:AC20" si="4">1000/19301.57*G8</f>
        <v>32.75225797694177</v>
      </c>
      <c r="AD8" s="995">
        <f t="shared" ref="AD8:AD20" si="5">9839.34/19301.57*G8</f>
        <v>322.26060200284229</v>
      </c>
      <c r="AE8" s="995">
        <f t="shared" ref="AE8:AE20" si="6">44217.9/19301.57*G8</f>
        <v>1448.2360679986136</v>
      </c>
      <c r="AF8" s="995">
        <f t="shared" ref="AF8:AF20" si="7">462775.58/19301.57*G8</f>
        <v>15156.945181588855</v>
      </c>
      <c r="AG8" s="995">
        <f t="shared" ref="AG8:AG20" si="8">76968.11/19301.57*G8</f>
        <v>2520.8793947176318</v>
      </c>
      <c r="AH8" s="995">
        <f t="shared" ref="AH8:AH20" si="9">393690.25/19301.57*G8</f>
        <v>12894.244631006699</v>
      </c>
      <c r="AI8" s="996">
        <f t="shared" ref="AI8:AI20" si="10">AH8*0.202</f>
        <v>2604.6374154633531</v>
      </c>
      <c r="AJ8" s="881">
        <f t="shared" ref="AJ8:AJ20" si="11">AI8+AH8+AG8+AF8+AE8+AD8+AC8+AB8+AA8+Z8</f>
        <v>37862.644124943465</v>
      </c>
      <c r="AK8" s="916"/>
      <c r="AL8" s="916"/>
      <c r="AM8" s="996"/>
      <c r="AN8" s="467"/>
      <c r="AO8" s="391"/>
      <c r="AP8" s="391"/>
      <c r="AQ8" s="467">
        <f t="shared" ref="AQ8:AQ20" si="12">AP8+AO8+AN8+AM8+AL8+AK8</f>
        <v>0</v>
      </c>
      <c r="AR8" s="47"/>
      <c r="AS8" s="47"/>
      <c r="AT8" s="47"/>
      <c r="AU8" s="47"/>
      <c r="AV8" s="47">
        <f t="shared" ref="AV8:AV20" si="13">AU8+AT8+AS8+AR8</f>
        <v>0</v>
      </c>
      <c r="AW8" s="47"/>
      <c r="AX8" s="47">
        <f t="shared" ref="AX8:AX20" si="14">24397.79/19301.57*G8</f>
        <v>799.08271214725016</v>
      </c>
      <c r="AY8" s="47">
        <f t="shared" ref="AY8:AY20" si="15">309219.6/19301.57*G8</f>
        <v>10127.640110726743</v>
      </c>
      <c r="AZ8" s="47">
        <f t="shared" ref="AZ8:AZ20" si="16">W8-Y8</f>
        <v>35212.583052182541</v>
      </c>
      <c r="BA8" s="47">
        <f t="shared" ref="BA8:BA21" si="17">X8/W8*100</f>
        <v>93.389046325710311</v>
      </c>
      <c r="BB8" s="47">
        <f t="shared" ref="BB8:BB21" si="18">Y8/G8/9</f>
        <v>8.5752895138644956</v>
      </c>
      <c r="BC8" s="47">
        <f t="shared" ref="BC8:BC20" si="19">W8-X8</f>
        <v>5553.3299999999872</v>
      </c>
      <c r="BD8" s="47">
        <f t="shared" ref="BD8:BD21" si="20">U8-V8</f>
        <v>1432.1500000000015</v>
      </c>
      <c r="BE8" s="47">
        <v>10.88</v>
      </c>
      <c r="BF8" s="47">
        <v>4</v>
      </c>
    </row>
    <row r="9" spans="1:58" x14ac:dyDescent="0.25">
      <c r="A9" s="331">
        <v>3</v>
      </c>
      <c r="B9" s="332" t="s">
        <v>269</v>
      </c>
      <c r="C9" s="997">
        <v>1967</v>
      </c>
      <c r="D9" s="997">
        <v>2</v>
      </c>
      <c r="E9" s="997">
        <v>16</v>
      </c>
      <c r="F9" s="991">
        <v>36</v>
      </c>
      <c r="G9" s="999">
        <v>731.33</v>
      </c>
      <c r="H9" s="999"/>
      <c r="I9" s="1017">
        <v>0</v>
      </c>
      <c r="J9" s="1017">
        <v>0</v>
      </c>
      <c r="K9" s="992">
        <v>702.06</v>
      </c>
      <c r="L9" s="992">
        <v>817.98</v>
      </c>
      <c r="M9" s="992">
        <v>0</v>
      </c>
      <c r="N9" s="992">
        <v>0</v>
      </c>
      <c r="O9" s="992">
        <v>7810.32</v>
      </c>
      <c r="P9" s="992">
        <v>9004.3799999999992</v>
      </c>
      <c r="Q9" s="992">
        <v>60574.5</v>
      </c>
      <c r="R9" s="992">
        <v>54382.47</v>
      </c>
      <c r="S9" s="992">
        <v>1641.72</v>
      </c>
      <c r="T9" s="992">
        <v>1320.08</v>
      </c>
      <c r="U9" s="992">
        <v>13361.13</v>
      </c>
      <c r="V9" s="992">
        <v>12543.01</v>
      </c>
      <c r="W9" s="992">
        <f t="shared" si="0"/>
        <v>84089.73000000001</v>
      </c>
      <c r="X9" s="992">
        <f t="shared" si="1"/>
        <v>78067.92</v>
      </c>
      <c r="Y9" s="993">
        <f t="shared" si="2"/>
        <v>55968.589971601534</v>
      </c>
      <c r="Z9" s="993">
        <v>0</v>
      </c>
      <c r="AA9" s="994">
        <f t="shared" si="3"/>
        <v>577.18878491749638</v>
      </c>
      <c r="AB9" s="995">
        <v>2283.96</v>
      </c>
      <c r="AC9" s="995">
        <f t="shared" si="4"/>
        <v>37.889663897807282</v>
      </c>
      <c r="AD9" s="995">
        <f t="shared" si="5"/>
        <v>372.80928557625111</v>
      </c>
      <c r="AE9" s="995">
        <f t="shared" si="6"/>
        <v>1675.4013692668525</v>
      </c>
      <c r="AF9" s="995">
        <f t="shared" si="7"/>
        <v>17534.411186312827</v>
      </c>
      <c r="AG9" s="995">
        <f t="shared" si="8"/>
        <v>2916.2958187494596</v>
      </c>
      <c r="AH9" s="995">
        <f t="shared" si="9"/>
        <v>14916.791252343721</v>
      </c>
      <c r="AI9" s="996">
        <f t="shared" si="10"/>
        <v>3013.1918329734317</v>
      </c>
      <c r="AJ9" s="881">
        <f t="shared" si="11"/>
        <v>43327.939194037841</v>
      </c>
      <c r="AK9" s="916"/>
      <c r="AL9" s="916"/>
      <c r="AM9" s="996"/>
      <c r="AN9" s="467"/>
      <c r="AO9" s="391"/>
      <c r="AP9" s="391"/>
      <c r="AQ9" s="467">
        <f t="shared" si="12"/>
        <v>0</v>
      </c>
      <c r="AR9" s="47"/>
      <c r="AS9" s="47"/>
      <c r="AT9" s="47"/>
      <c r="AU9" s="47"/>
      <c r="AV9" s="47">
        <f t="shared" si="13"/>
        <v>0</v>
      </c>
      <c r="AW9" s="47"/>
      <c r="AX9" s="47">
        <f t="shared" si="14"/>
        <v>924.42406294928344</v>
      </c>
      <c r="AY9" s="47">
        <f t="shared" si="15"/>
        <v>11716.226714614408</v>
      </c>
      <c r="AZ9" s="47">
        <f t="shared" si="16"/>
        <v>28121.140028398477</v>
      </c>
      <c r="BA9" s="47">
        <f t="shared" si="17"/>
        <v>92.83882823740781</v>
      </c>
      <c r="BB9" s="47">
        <f t="shared" si="18"/>
        <v>8.5033189108430349</v>
      </c>
      <c r="BC9" s="47">
        <f t="shared" si="19"/>
        <v>6021.8100000000122</v>
      </c>
      <c r="BD9" s="47">
        <f t="shared" si="20"/>
        <v>818.11999999999898</v>
      </c>
      <c r="BE9" s="47">
        <v>10.87</v>
      </c>
      <c r="BF9" s="47">
        <v>2.0299999999999998</v>
      </c>
    </row>
    <row r="10" spans="1:58" x14ac:dyDescent="0.25">
      <c r="A10" s="331">
        <v>4</v>
      </c>
      <c r="B10" s="332" t="s">
        <v>270</v>
      </c>
      <c r="C10" s="997">
        <v>1974</v>
      </c>
      <c r="D10" s="997">
        <v>2</v>
      </c>
      <c r="E10" s="997">
        <v>18</v>
      </c>
      <c r="F10" s="998">
        <v>43</v>
      </c>
      <c r="G10" s="999">
        <v>866.6</v>
      </c>
      <c r="H10" s="999"/>
      <c r="I10" s="1017">
        <v>0</v>
      </c>
      <c r="J10" s="1017">
        <v>0</v>
      </c>
      <c r="K10" s="992">
        <v>831.96</v>
      </c>
      <c r="L10" s="992">
        <v>989.81</v>
      </c>
      <c r="M10" s="992">
        <v>0</v>
      </c>
      <c r="N10" s="992">
        <v>0</v>
      </c>
      <c r="O10" s="992">
        <v>9255.42</v>
      </c>
      <c r="P10" s="992">
        <v>10997.73</v>
      </c>
      <c r="Q10" s="992">
        <v>71702.52</v>
      </c>
      <c r="R10" s="992">
        <v>69267.83</v>
      </c>
      <c r="S10" s="992">
        <v>2072.79</v>
      </c>
      <c r="T10" s="992">
        <v>1882.04</v>
      </c>
      <c r="U10" s="992">
        <v>31509.54</v>
      </c>
      <c r="V10" s="992">
        <v>31448.01</v>
      </c>
      <c r="W10" s="992">
        <f t="shared" si="0"/>
        <v>115372.23000000001</v>
      </c>
      <c r="X10" s="992">
        <f t="shared" si="1"/>
        <v>114585.41999999998</v>
      </c>
      <c r="Y10" s="993">
        <f t="shared" si="2"/>
        <v>137706.49426796369</v>
      </c>
      <c r="Z10" s="993">
        <v>453.57</v>
      </c>
      <c r="AA10" s="994">
        <f t="shared" si="3"/>
        <v>683.948150642668</v>
      </c>
      <c r="AB10" s="995">
        <v>5025.37</v>
      </c>
      <c r="AC10" s="995">
        <f t="shared" si="4"/>
        <v>44.897902087757629</v>
      </c>
      <c r="AD10" s="995">
        <f t="shared" si="5"/>
        <v>441.76572392815717</v>
      </c>
      <c r="AE10" s="995">
        <f t="shared" si="6"/>
        <v>1985.2909447262582</v>
      </c>
      <c r="AF10" s="995">
        <f t="shared" si="7"/>
        <v>20777.652679445251</v>
      </c>
      <c r="AG10" s="995">
        <f t="shared" si="8"/>
        <v>3455.7066666597589</v>
      </c>
      <c r="AH10" s="995">
        <f t="shared" si="9"/>
        <v>17675.86629740482</v>
      </c>
      <c r="AI10" s="996">
        <f t="shared" si="10"/>
        <v>3570.5249920757738</v>
      </c>
      <c r="AJ10" s="881">
        <f t="shared" si="11"/>
        <v>54114.593356970443</v>
      </c>
      <c r="AK10" s="916">
        <v>8770.18</v>
      </c>
      <c r="AL10" s="916">
        <v>59843</v>
      </c>
      <c r="AM10" s="996"/>
      <c r="AN10" s="467"/>
      <c r="AO10" s="391"/>
      <c r="AP10" s="391"/>
      <c r="AQ10" s="467">
        <f t="shared" si="12"/>
        <v>68613.179999999993</v>
      </c>
      <c r="AR10" s="47"/>
      <c r="AS10" s="47"/>
      <c r="AT10" s="47"/>
      <c r="AU10" s="47"/>
      <c r="AV10" s="47">
        <f t="shared" si="13"/>
        <v>0</v>
      </c>
      <c r="AW10" s="47"/>
      <c r="AX10" s="47">
        <f t="shared" si="14"/>
        <v>1095.4095865776721</v>
      </c>
      <c r="AY10" s="47">
        <f t="shared" si="15"/>
        <v>13883.311324415579</v>
      </c>
      <c r="AZ10" s="47">
        <f t="shared" si="16"/>
        <v>-22334.264267963677</v>
      </c>
      <c r="BA10" s="47">
        <f t="shared" si="17"/>
        <v>99.318024796781671</v>
      </c>
      <c r="BB10" s="47">
        <f t="shared" si="18"/>
        <v>17.656036908988344</v>
      </c>
      <c r="BC10" s="47">
        <f t="shared" si="19"/>
        <v>786.81000000002678</v>
      </c>
      <c r="BD10" s="47">
        <f t="shared" si="20"/>
        <v>61.530000000002474</v>
      </c>
      <c r="BE10" s="47">
        <v>10.86</v>
      </c>
      <c r="BF10" s="47">
        <v>4.04</v>
      </c>
    </row>
    <row r="11" spans="1:58" x14ac:dyDescent="0.25">
      <c r="A11" s="331">
        <v>5</v>
      </c>
      <c r="B11" s="332" t="s">
        <v>271</v>
      </c>
      <c r="C11" s="997">
        <v>1976</v>
      </c>
      <c r="D11" s="997">
        <v>2</v>
      </c>
      <c r="E11" s="997">
        <v>18</v>
      </c>
      <c r="F11" s="991">
        <v>44</v>
      </c>
      <c r="G11" s="999">
        <v>865.3</v>
      </c>
      <c r="H11" s="999"/>
      <c r="I11" s="1017">
        <v>0</v>
      </c>
      <c r="J11" s="1017">
        <v>0</v>
      </c>
      <c r="K11" s="992">
        <v>830.7</v>
      </c>
      <c r="L11" s="992">
        <v>972.5</v>
      </c>
      <c r="M11" s="992">
        <v>0</v>
      </c>
      <c r="N11" s="992">
        <v>0</v>
      </c>
      <c r="O11" s="992">
        <v>9241.44</v>
      </c>
      <c r="P11" s="992">
        <v>10805.89</v>
      </c>
      <c r="Q11" s="992">
        <v>71594.94</v>
      </c>
      <c r="R11" s="992">
        <v>68729.990000000005</v>
      </c>
      <c r="S11" s="992">
        <v>2081.6</v>
      </c>
      <c r="T11" s="992">
        <v>1998.16</v>
      </c>
      <c r="U11" s="992">
        <v>31462.29</v>
      </c>
      <c r="V11" s="992">
        <v>31198.23</v>
      </c>
      <c r="W11" s="992">
        <f t="shared" si="0"/>
        <v>115210.97</v>
      </c>
      <c r="X11" s="992">
        <f t="shared" si="1"/>
        <v>113704.77</v>
      </c>
      <c r="Y11" s="993">
        <f t="shared" si="2"/>
        <v>74058.685365876983</v>
      </c>
      <c r="Z11" s="993">
        <v>1393.94</v>
      </c>
      <c r="AA11" s="994">
        <f t="shared" si="3"/>
        <v>682.92214949353854</v>
      </c>
      <c r="AB11" s="995">
        <v>5232.08</v>
      </c>
      <c r="AC11" s="995">
        <f t="shared" si="4"/>
        <v>44.830550053700293</v>
      </c>
      <c r="AD11" s="995">
        <f t="shared" si="5"/>
        <v>441.10302436537546</v>
      </c>
      <c r="AE11" s="995">
        <f t="shared" si="6"/>
        <v>1982.3127792195141</v>
      </c>
      <c r="AF11" s="995">
        <f t="shared" si="7"/>
        <v>20746.483802820185</v>
      </c>
      <c r="AG11" s="995">
        <f t="shared" si="8"/>
        <v>3450.52270789371</v>
      </c>
      <c r="AH11" s="995">
        <f t="shared" si="9"/>
        <v>17649.350458278779</v>
      </c>
      <c r="AI11" s="996">
        <f t="shared" si="10"/>
        <v>3565.1687925723136</v>
      </c>
      <c r="AJ11" s="881">
        <f t="shared" si="11"/>
        <v>55188.714264697126</v>
      </c>
      <c r="AK11" s="916">
        <v>3913.72</v>
      </c>
      <c r="AL11" s="916"/>
      <c r="AM11" s="996"/>
      <c r="AN11" s="467"/>
      <c r="AO11" s="391"/>
      <c r="AP11" s="391"/>
      <c r="AQ11" s="467">
        <f t="shared" si="12"/>
        <v>3913.72</v>
      </c>
      <c r="AR11" s="47"/>
      <c r="AS11" s="47"/>
      <c r="AT11" s="47"/>
      <c r="AU11" s="47"/>
      <c r="AV11" s="47">
        <f t="shared" si="13"/>
        <v>0</v>
      </c>
      <c r="AW11" s="47"/>
      <c r="AX11" s="47">
        <f t="shared" si="14"/>
        <v>1093.7663457946685</v>
      </c>
      <c r="AY11" s="47">
        <f t="shared" si="15"/>
        <v>13862.484755385183</v>
      </c>
      <c r="AZ11" s="47">
        <f t="shared" si="16"/>
        <v>41152.284634123018</v>
      </c>
      <c r="BA11" s="47">
        <f t="shared" si="17"/>
        <v>98.692659214656388</v>
      </c>
      <c r="BB11" s="47">
        <f t="shared" si="18"/>
        <v>9.5096993163420507</v>
      </c>
      <c r="BC11" s="47">
        <f t="shared" si="19"/>
        <v>1506.1999999999971</v>
      </c>
      <c r="BD11" s="47">
        <f t="shared" si="20"/>
        <v>264.06000000000131</v>
      </c>
      <c r="BE11" s="47">
        <v>10.86</v>
      </c>
      <c r="BF11" s="47">
        <v>4.04</v>
      </c>
    </row>
    <row r="12" spans="1:58" x14ac:dyDescent="0.25">
      <c r="A12" s="331">
        <v>6</v>
      </c>
      <c r="B12" s="332" t="s">
        <v>272</v>
      </c>
      <c r="C12" s="997">
        <v>1970</v>
      </c>
      <c r="D12" s="997">
        <v>2</v>
      </c>
      <c r="E12" s="997">
        <v>16</v>
      </c>
      <c r="F12" s="998">
        <v>44</v>
      </c>
      <c r="G12" s="999">
        <v>710.36</v>
      </c>
      <c r="H12" s="999"/>
      <c r="I12" s="1017">
        <v>0</v>
      </c>
      <c r="J12" s="1017">
        <v>0</v>
      </c>
      <c r="K12" s="992">
        <v>682.08</v>
      </c>
      <c r="L12" s="992">
        <v>711.67</v>
      </c>
      <c r="M12" s="992">
        <v>0</v>
      </c>
      <c r="N12" s="992">
        <v>0</v>
      </c>
      <c r="O12" s="992">
        <v>7588.26</v>
      </c>
      <c r="P12" s="992">
        <v>7905.54</v>
      </c>
      <c r="Q12" s="992">
        <v>58851.69</v>
      </c>
      <c r="R12" s="992">
        <v>51205.65</v>
      </c>
      <c r="S12" s="992">
        <v>1641.8</v>
      </c>
      <c r="T12" s="992">
        <v>1376.26</v>
      </c>
      <c r="U12" s="992">
        <v>25770.240000000002</v>
      </c>
      <c r="V12" s="992">
        <v>23047.4</v>
      </c>
      <c r="W12" s="992">
        <f t="shared" si="0"/>
        <v>94534.07</v>
      </c>
      <c r="X12" s="992">
        <f t="shared" si="1"/>
        <v>84246.52</v>
      </c>
      <c r="Y12" s="993">
        <f t="shared" si="2"/>
        <v>56492.528374094953</v>
      </c>
      <c r="Z12" s="993">
        <v>452.27</v>
      </c>
      <c r="AA12" s="994">
        <f t="shared" si="3"/>
        <v>560.63859715038723</v>
      </c>
      <c r="AB12" s="995">
        <v>2283.96</v>
      </c>
      <c r="AC12" s="995">
        <f t="shared" si="4"/>
        <v>36.803223779205524</v>
      </c>
      <c r="AD12" s="995">
        <f t="shared" si="5"/>
        <v>362.11943185968812</v>
      </c>
      <c r="AE12" s="995">
        <f t="shared" si="6"/>
        <v>1627.3612687465322</v>
      </c>
      <c r="AF12" s="995">
        <f t="shared" si="7"/>
        <v>17031.633230291631</v>
      </c>
      <c r="AG12" s="995">
        <f t="shared" si="8"/>
        <v>2832.6745761925067</v>
      </c>
      <c r="AH12" s="995">
        <f t="shared" si="9"/>
        <v>14489.070370441368</v>
      </c>
      <c r="AI12" s="996">
        <f t="shared" si="10"/>
        <v>2926.7922148291564</v>
      </c>
      <c r="AJ12" s="881">
        <f t="shared" si="11"/>
        <v>42603.322913290467</v>
      </c>
      <c r="AK12" s="916">
        <v>1611.01</v>
      </c>
      <c r="AL12" s="916"/>
      <c r="AM12" s="996"/>
      <c r="AN12" s="467"/>
      <c r="AO12" s="391"/>
      <c r="AP12" s="391"/>
      <c r="AQ12" s="467">
        <f t="shared" si="12"/>
        <v>1611.01</v>
      </c>
      <c r="AR12" s="47"/>
      <c r="AS12" s="47"/>
      <c r="AT12" s="47"/>
      <c r="AU12" s="47"/>
      <c r="AV12" s="47">
        <f t="shared" si="13"/>
        <v>0</v>
      </c>
      <c r="AW12" s="47"/>
      <c r="AX12" s="47">
        <f t="shared" si="14"/>
        <v>897.91732508806285</v>
      </c>
      <c r="AY12" s="47">
        <f t="shared" si="15"/>
        <v>11380.27813571642</v>
      </c>
      <c r="AZ12" s="47">
        <f t="shared" si="16"/>
        <v>38041.541625905054</v>
      </c>
      <c r="BA12" s="47">
        <f t="shared" si="17"/>
        <v>89.11762711581126</v>
      </c>
      <c r="BB12" s="47">
        <f t="shared" si="18"/>
        <v>8.8362908907056443</v>
      </c>
      <c r="BC12" s="47">
        <f t="shared" si="19"/>
        <v>10287.550000000003</v>
      </c>
      <c r="BD12" s="47">
        <f t="shared" si="20"/>
        <v>2722.84</v>
      </c>
      <c r="BE12" s="47">
        <v>10.87</v>
      </c>
      <c r="BF12" s="47">
        <v>4.03</v>
      </c>
    </row>
    <row r="13" spans="1:58" x14ac:dyDescent="0.25">
      <c r="A13" s="331">
        <v>7</v>
      </c>
      <c r="B13" s="332" t="s">
        <v>273</v>
      </c>
      <c r="C13" s="997">
        <v>1973</v>
      </c>
      <c r="D13" s="997">
        <v>2</v>
      </c>
      <c r="E13" s="997">
        <v>18</v>
      </c>
      <c r="F13" s="991">
        <v>40</v>
      </c>
      <c r="G13" s="999">
        <v>773.51</v>
      </c>
      <c r="H13" s="999"/>
      <c r="I13" s="1017">
        <v>0</v>
      </c>
      <c r="J13" s="1017">
        <v>0</v>
      </c>
      <c r="K13" s="992">
        <v>742.74</v>
      </c>
      <c r="L13" s="992">
        <v>698.66</v>
      </c>
      <c r="M13" s="992">
        <v>0</v>
      </c>
      <c r="N13" s="992">
        <v>0</v>
      </c>
      <c r="O13" s="992">
        <v>8263.6200000000008</v>
      </c>
      <c r="P13" s="992">
        <v>7716.54</v>
      </c>
      <c r="Q13" s="992">
        <v>60607.23</v>
      </c>
      <c r="R13" s="992">
        <v>45139.08</v>
      </c>
      <c r="S13" s="992">
        <v>3197.13</v>
      </c>
      <c r="T13" s="992">
        <v>2175.11</v>
      </c>
      <c r="U13" s="992">
        <v>27854.639999999999</v>
      </c>
      <c r="V13" s="992">
        <v>21538.639999999999</v>
      </c>
      <c r="W13" s="992">
        <f t="shared" si="0"/>
        <v>100665.36</v>
      </c>
      <c r="X13" s="992">
        <f t="shared" si="1"/>
        <v>77268.03</v>
      </c>
      <c r="Y13" s="993">
        <f t="shared" si="2"/>
        <v>138625.68081007685</v>
      </c>
      <c r="Z13" s="993">
        <v>99.8</v>
      </c>
      <c r="AA13" s="994">
        <f t="shared" si="3"/>
        <v>610.47857604847684</v>
      </c>
      <c r="AB13" s="995">
        <v>1857.45</v>
      </c>
      <c r="AC13" s="995">
        <f t="shared" si="4"/>
        <v>40.074978356682905</v>
      </c>
      <c r="AD13" s="995">
        <f t="shared" si="5"/>
        <v>394.31133754404436</v>
      </c>
      <c r="AE13" s="995">
        <f t="shared" si="6"/>
        <v>1772.031385477969</v>
      </c>
      <c r="AF13" s="995">
        <f t="shared" si="7"/>
        <v>18545.721352501379</v>
      </c>
      <c r="AG13" s="995">
        <f t="shared" si="8"/>
        <v>3084.495342404789</v>
      </c>
      <c r="AH13" s="995">
        <f t="shared" si="9"/>
        <v>15777.128247987079</v>
      </c>
      <c r="AI13" s="996">
        <f t="shared" si="10"/>
        <v>3186.9799060933901</v>
      </c>
      <c r="AJ13" s="881">
        <f t="shared" si="11"/>
        <v>45368.47112641381</v>
      </c>
      <c r="AK13" s="916">
        <v>24170.5</v>
      </c>
      <c r="AL13" s="916">
        <v>55717</v>
      </c>
      <c r="AM13" s="996"/>
      <c r="AN13" s="467"/>
      <c r="AO13" s="391"/>
      <c r="AP13" s="391"/>
      <c r="AQ13" s="467">
        <f t="shared" si="12"/>
        <v>79887.5</v>
      </c>
      <c r="AR13" s="47"/>
      <c r="AS13" s="47"/>
      <c r="AT13" s="47"/>
      <c r="AU13" s="47"/>
      <c r="AV13" s="47">
        <f t="shared" si="13"/>
        <v>0</v>
      </c>
      <c r="AW13" s="47"/>
      <c r="AX13" s="47">
        <f t="shared" si="14"/>
        <v>977.74090620089453</v>
      </c>
      <c r="AY13" s="47">
        <f t="shared" si="15"/>
        <v>12391.968777462143</v>
      </c>
      <c r="AZ13" s="47">
        <f t="shared" si="16"/>
        <v>-37960.320810076853</v>
      </c>
      <c r="BA13" s="47">
        <f t="shared" si="17"/>
        <v>76.757317512200814</v>
      </c>
      <c r="BB13" s="47">
        <f t="shared" si="18"/>
        <v>19.912933799617164</v>
      </c>
      <c r="BC13" s="47">
        <f t="shared" si="19"/>
        <v>23397.33</v>
      </c>
      <c r="BD13" s="47">
        <f t="shared" si="20"/>
        <v>6316</v>
      </c>
      <c r="BE13" s="47">
        <v>10.35</v>
      </c>
      <c r="BF13" s="47">
        <v>4</v>
      </c>
    </row>
    <row r="14" spans="1:58" x14ac:dyDescent="0.25">
      <c r="A14" s="331">
        <v>8</v>
      </c>
      <c r="B14" s="332" t="s">
        <v>274</v>
      </c>
      <c r="C14" s="997">
        <v>1974</v>
      </c>
      <c r="D14" s="997">
        <v>2</v>
      </c>
      <c r="E14" s="997">
        <v>18</v>
      </c>
      <c r="F14" s="998">
        <v>49</v>
      </c>
      <c r="G14" s="999">
        <v>779.68</v>
      </c>
      <c r="H14" s="999"/>
      <c r="I14" s="1017">
        <v>0</v>
      </c>
      <c r="J14" s="1017">
        <v>0</v>
      </c>
      <c r="K14" s="992">
        <v>748.26</v>
      </c>
      <c r="L14" s="992">
        <v>792.08</v>
      </c>
      <c r="M14" s="992">
        <v>0</v>
      </c>
      <c r="N14" s="992">
        <v>0</v>
      </c>
      <c r="O14" s="992">
        <v>8324.7000000000007</v>
      </c>
      <c r="P14" s="992">
        <v>8530.94</v>
      </c>
      <c r="Q14" s="992">
        <v>61196.34</v>
      </c>
      <c r="R14" s="992">
        <v>47259.85</v>
      </c>
      <c r="S14" s="992">
        <v>3228.78</v>
      </c>
      <c r="T14" s="992">
        <v>2169.65</v>
      </c>
      <c r="U14" s="992">
        <v>28060.92</v>
      </c>
      <c r="V14" s="992">
        <v>21951.21</v>
      </c>
      <c r="W14" s="992">
        <f t="shared" si="0"/>
        <v>101559</v>
      </c>
      <c r="X14" s="992">
        <f t="shared" si="1"/>
        <v>80703.73</v>
      </c>
      <c r="Y14" s="993">
        <f t="shared" si="2"/>
        <v>61645.171060749984</v>
      </c>
      <c r="Z14" s="993">
        <v>452.27</v>
      </c>
      <c r="AA14" s="994">
        <f t="shared" si="3"/>
        <v>615.34813534857528</v>
      </c>
      <c r="AB14" s="995">
        <v>1410.22</v>
      </c>
      <c r="AC14" s="995">
        <f t="shared" si="4"/>
        <v>40.394641472170399</v>
      </c>
      <c r="AD14" s="995">
        <f t="shared" si="5"/>
        <v>397.45661162278509</v>
      </c>
      <c r="AE14" s="995">
        <f t="shared" si="6"/>
        <v>1786.1662171522835</v>
      </c>
      <c r="AF14" s="995">
        <f t="shared" si="7"/>
        <v>18693.65363617571</v>
      </c>
      <c r="AG14" s="995">
        <f t="shared" si="8"/>
        <v>3109.0992082405733</v>
      </c>
      <c r="AH14" s="995">
        <f t="shared" si="9"/>
        <v>15902.976499839131</v>
      </c>
      <c r="AI14" s="996">
        <f t="shared" si="10"/>
        <v>3212.4012529675047</v>
      </c>
      <c r="AJ14" s="881">
        <f t="shared" si="11"/>
        <v>45619.986202818734</v>
      </c>
      <c r="AK14" s="916">
        <v>2548.83</v>
      </c>
      <c r="AL14" s="916"/>
      <c r="AM14" s="996"/>
      <c r="AN14" s="467"/>
      <c r="AO14" s="391"/>
      <c r="AP14" s="391"/>
      <c r="AQ14" s="467">
        <f t="shared" si="12"/>
        <v>2548.83</v>
      </c>
      <c r="AR14" s="47"/>
      <c r="AS14" s="47"/>
      <c r="AT14" s="47"/>
      <c r="AU14" s="47"/>
      <c r="AV14" s="47">
        <f t="shared" si="13"/>
        <v>0</v>
      </c>
      <c r="AW14" s="47"/>
      <c r="AX14" s="47">
        <f t="shared" si="14"/>
        <v>985.53997976330413</v>
      </c>
      <c r="AY14" s="47">
        <f t="shared" si="15"/>
        <v>12490.814878167941</v>
      </c>
      <c r="AZ14" s="47">
        <f t="shared" si="16"/>
        <v>39913.828939250016</v>
      </c>
      <c r="BA14" s="47">
        <f t="shared" si="17"/>
        <v>79.464872635610831</v>
      </c>
      <c r="BB14" s="47">
        <f t="shared" si="18"/>
        <v>8.7849674881931605</v>
      </c>
      <c r="BC14" s="47">
        <f t="shared" si="19"/>
        <v>20855.270000000004</v>
      </c>
      <c r="BD14" s="47">
        <f t="shared" si="20"/>
        <v>6109.7099999999991</v>
      </c>
      <c r="BE14" s="47">
        <v>10.37</v>
      </c>
      <c r="BF14" s="47">
        <v>4</v>
      </c>
    </row>
    <row r="15" spans="1:58" x14ac:dyDescent="0.25">
      <c r="A15" s="331">
        <v>9</v>
      </c>
      <c r="B15" s="332" t="s">
        <v>275</v>
      </c>
      <c r="C15" s="997">
        <v>1973</v>
      </c>
      <c r="D15" s="997">
        <v>2</v>
      </c>
      <c r="E15" s="997">
        <v>18</v>
      </c>
      <c r="F15" s="1000">
        <v>50</v>
      </c>
      <c r="G15" s="999">
        <v>776.87</v>
      </c>
      <c r="H15" s="999"/>
      <c r="I15" s="1017">
        <v>0</v>
      </c>
      <c r="J15" s="1017">
        <v>0</v>
      </c>
      <c r="K15" s="992">
        <v>745.56</v>
      </c>
      <c r="L15" s="992">
        <v>689.76</v>
      </c>
      <c r="M15" s="992">
        <v>0</v>
      </c>
      <c r="N15" s="992">
        <v>0</v>
      </c>
      <c r="O15" s="992">
        <v>8294.8799999999992</v>
      </c>
      <c r="P15" s="992">
        <v>7674.56</v>
      </c>
      <c r="Q15" s="992">
        <v>60977.25</v>
      </c>
      <c r="R15" s="992">
        <v>46778.99</v>
      </c>
      <c r="S15" s="992">
        <v>3261.79</v>
      </c>
      <c r="T15" s="992">
        <v>2612.02</v>
      </c>
      <c r="U15" s="992">
        <v>27960.48</v>
      </c>
      <c r="V15" s="992">
        <v>22151.759999999998</v>
      </c>
      <c r="W15" s="992">
        <f t="shared" si="0"/>
        <v>101239.95999999999</v>
      </c>
      <c r="X15" s="992">
        <f t="shared" si="1"/>
        <v>79907.09</v>
      </c>
      <c r="Y15" s="993">
        <f t="shared" si="2"/>
        <v>65792.01781854713</v>
      </c>
      <c r="Z15" s="993">
        <v>553.37</v>
      </c>
      <c r="AA15" s="994">
        <f t="shared" si="3"/>
        <v>613.13039440314958</v>
      </c>
      <c r="AB15" s="995">
        <v>2279.34</v>
      </c>
      <c r="AC15" s="995">
        <f t="shared" si="4"/>
        <v>40.249057460092629</v>
      </c>
      <c r="AD15" s="995">
        <f t="shared" si="5"/>
        <v>396.02416102938781</v>
      </c>
      <c r="AE15" s="995">
        <f t="shared" si="6"/>
        <v>1779.7287978646298</v>
      </c>
      <c r="AF15" s="995">
        <f t="shared" si="7"/>
        <v>18626.280910547692</v>
      </c>
      <c r="AG15" s="995">
        <f t="shared" si="8"/>
        <v>3097.8938819847299</v>
      </c>
      <c r="AH15" s="995">
        <f t="shared" si="9"/>
        <v>15845.66149372823</v>
      </c>
      <c r="AI15" s="996">
        <f t="shared" si="10"/>
        <v>3200.8236217331028</v>
      </c>
      <c r="AJ15" s="881">
        <f t="shared" si="11"/>
        <v>46432.502318751009</v>
      </c>
      <c r="AK15" s="916">
        <v>5931.73</v>
      </c>
      <c r="AL15" s="916"/>
      <c r="AM15" s="996"/>
      <c r="AN15" s="467"/>
      <c r="AO15" s="391"/>
      <c r="AP15" s="391"/>
      <c r="AQ15" s="467">
        <f t="shared" si="12"/>
        <v>5931.73</v>
      </c>
      <c r="AR15" s="47"/>
      <c r="AS15" s="47"/>
      <c r="AT15" s="47"/>
      <c r="AU15" s="47"/>
      <c r="AV15" s="47">
        <f t="shared" si="13"/>
        <v>0</v>
      </c>
      <c r="AW15" s="47"/>
      <c r="AX15" s="47">
        <f t="shared" si="14"/>
        <v>981.98805160927327</v>
      </c>
      <c r="AY15" s="47">
        <f t="shared" si="15"/>
        <v>12445.797448186857</v>
      </c>
      <c r="AZ15" s="47">
        <f t="shared" si="16"/>
        <v>35447.942181452861</v>
      </c>
      <c r="BA15" s="47">
        <f t="shared" si="17"/>
        <v>78.928409296092184</v>
      </c>
      <c r="BB15" s="47">
        <f t="shared" si="18"/>
        <v>9.4098423186128848</v>
      </c>
      <c r="BC15" s="47">
        <f t="shared" si="19"/>
        <v>21332.869999999995</v>
      </c>
      <c r="BD15" s="47">
        <f t="shared" si="20"/>
        <v>5808.7200000000012</v>
      </c>
      <c r="BE15" s="47">
        <v>10.37</v>
      </c>
      <c r="BF15" s="47">
        <v>4</v>
      </c>
    </row>
    <row r="16" spans="1:58" x14ac:dyDescent="0.25">
      <c r="A16" s="331">
        <v>10</v>
      </c>
      <c r="B16" s="332" t="s">
        <v>276</v>
      </c>
      <c r="C16" s="997">
        <v>1988</v>
      </c>
      <c r="D16" s="997">
        <v>5</v>
      </c>
      <c r="E16" s="997">
        <v>60</v>
      </c>
      <c r="F16" s="998">
        <v>161</v>
      </c>
      <c r="G16" s="1535">
        <v>3167</v>
      </c>
      <c r="H16" s="999">
        <v>210</v>
      </c>
      <c r="I16" s="1017">
        <v>45604.800000000003</v>
      </c>
      <c r="J16" s="1017">
        <v>49029.43</v>
      </c>
      <c r="K16" s="992">
        <v>3040.38</v>
      </c>
      <c r="L16" s="992">
        <v>3268.7</v>
      </c>
      <c r="M16" s="992">
        <v>13111.44</v>
      </c>
      <c r="N16" s="992">
        <v>14096.03</v>
      </c>
      <c r="O16" s="992">
        <v>33823.5</v>
      </c>
      <c r="P16" s="992">
        <v>36338.65</v>
      </c>
      <c r="Q16" s="992">
        <v>265933.08</v>
      </c>
      <c r="R16" s="992">
        <v>223560.41</v>
      </c>
      <c r="S16" s="992">
        <v>9046.1270000000004</v>
      </c>
      <c r="T16" s="992">
        <v>7759.26</v>
      </c>
      <c r="U16" s="992">
        <v>165697.5</v>
      </c>
      <c r="V16" s="992">
        <v>159031.24</v>
      </c>
      <c r="W16" s="992">
        <f t="shared" si="0"/>
        <v>536256.82700000005</v>
      </c>
      <c r="X16" s="992">
        <f t="shared" si="1"/>
        <v>493083.72</v>
      </c>
      <c r="Y16" s="993">
        <f t="shared" si="2"/>
        <v>358270.07043461921</v>
      </c>
      <c r="Z16" s="993">
        <v>2153.23</v>
      </c>
      <c r="AA16" s="994">
        <f t="shared" si="3"/>
        <v>2499.4966456096577</v>
      </c>
      <c r="AB16" s="995">
        <v>16888.97</v>
      </c>
      <c r="AC16" s="995">
        <f t="shared" si="4"/>
        <v>164.07991681505703</v>
      </c>
      <c r="AD16" s="995">
        <f t="shared" si="5"/>
        <v>1614.4380887150633</v>
      </c>
      <c r="AE16" s="995">
        <f t="shared" si="6"/>
        <v>7255.2693537365094</v>
      </c>
      <c r="AF16" s="995">
        <f t="shared" si="7"/>
        <v>75932.178670439767</v>
      </c>
      <c r="AG16" s="995">
        <f t="shared" si="8"/>
        <v>12628.921086212158</v>
      </c>
      <c r="AH16" s="995">
        <f t="shared" si="9"/>
        <v>64596.663470898995</v>
      </c>
      <c r="AI16" s="996">
        <f t="shared" si="10"/>
        <v>13048.526021121597</v>
      </c>
      <c r="AJ16" s="881">
        <f t="shared" si="11"/>
        <v>196781.77325354883</v>
      </c>
      <c r="AK16" s="916">
        <v>10137.91</v>
      </c>
      <c r="AL16" s="916"/>
      <c r="AM16" s="996"/>
      <c r="AN16" s="467"/>
      <c r="AO16" s="391"/>
      <c r="AP16" s="391"/>
      <c r="AQ16" s="467">
        <f t="shared" si="12"/>
        <v>10137.91</v>
      </c>
      <c r="AR16" s="47"/>
      <c r="AS16" s="47"/>
      <c r="AT16" s="47">
        <f>276682.98/12530.5*G16</f>
        <v>69929.771171142405</v>
      </c>
      <c r="AU16" s="47">
        <f>AT16*0.202</f>
        <v>14125.813776570767</v>
      </c>
      <c r="AV16" s="47">
        <f t="shared" si="13"/>
        <v>84055.584947713171</v>
      </c>
      <c r="AW16" s="47">
        <f>38223.63/9642*G16</f>
        <v>12554.888634100809</v>
      </c>
      <c r="AX16" s="47">
        <f t="shared" si="14"/>
        <v>4003.1873536712296</v>
      </c>
      <c r="AY16" s="47">
        <f t="shared" si="15"/>
        <v>50736.726245585203</v>
      </c>
      <c r="AZ16" s="47">
        <f t="shared" si="16"/>
        <v>177986.75656538084</v>
      </c>
      <c r="BA16" s="47">
        <f t="shared" si="17"/>
        <v>91.949173450802505</v>
      </c>
      <c r="BB16" s="47">
        <f t="shared" si="18"/>
        <v>12.569556553156481</v>
      </c>
      <c r="BC16" s="47">
        <f t="shared" si="19"/>
        <v>43173.107000000076</v>
      </c>
      <c r="BD16" s="47">
        <f t="shared" si="20"/>
        <v>6666.2600000000093</v>
      </c>
      <c r="BE16" s="47">
        <v>13.13</v>
      </c>
      <c r="BF16" s="47">
        <v>4</v>
      </c>
    </row>
    <row r="17" spans="1:58" x14ac:dyDescent="0.25">
      <c r="A17" s="331">
        <v>11</v>
      </c>
      <c r="B17" s="332" t="s">
        <v>277</v>
      </c>
      <c r="C17" s="997">
        <v>1979</v>
      </c>
      <c r="D17" s="997">
        <v>5</v>
      </c>
      <c r="E17" s="997">
        <v>60</v>
      </c>
      <c r="F17" s="991">
        <v>166</v>
      </c>
      <c r="G17" s="1535">
        <v>3217.9</v>
      </c>
      <c r="H17" s="999">
        <v>210</v>
      </c>
      <c r="I17" s="1017">
        <v>48268.5</v>
      </c>
      <c r="J17" s="1017">
        <v>54375.82</v>
      </c>
      <c r="K17" s="992">
        <v>3089.16</v>
      </c>
      <c r="L17" s="992">
        <v>3480.12</v>
      </c>
      <c r="M17" s="992">
        <v>13322.04</v>
      </c>
      <c r="N17" s="992">
        <v>15007.52</v>
      </c>
      <c r="O17" s="992">
        <v>34367.160000000003</v>
      </c>
      <c r="P17" s="992">
        <v>38604.86</v>
      </c>
      <c r="Q17" s="992">
        <v>280343.46000000002</v>
      </c>
      <c r="R17" s="992">
        <v>246012.05</v>
      </c>
      <c r="S17" s="992">
        <v>7954.28</v>
      </c>
      <c r="T17" s="992">
        <v>6914.95</v>
      </c>
      <c r="U17" s="992">
        <v>173766.6</v>
      </c>
      <c r="V17" s="992">
        <v>162817.84</v>
      </c>
      <c r="W17" s="992">
        <f t="shared" si="0"/>
        <v>561111.20000000007</v>
      </c>
      <c r="X17" s="992">
        <f t="shared" si="1"/>
        <v>527213.16</v>
      </c>
      <c r="Y17" s="993">
        <f t="shared" si="2"/>
        <v>488157.29178483144</v>
      </c>
      <c r="Z17" s="993">
        <v>1354.76</v>
      </c>
      <c r="AA17" s="994">
        <f t="shared" si="3"/>
        <v>2539.6685367563364</v>
      </c>
      <c r="AB17" s="995">
        <v>3861.34</v>
      </c>
      <c r="AC17" s="995">
        <f t="shared" si="4"/>
        <v>166.71700799468644</v>
      </c>
      <c r="AD17" s="995">
        <f t="shared" si="5"/>
        <v>1640.3853254424382</v>
      </c>
      <c r="AE17" s="995">
        <f t="shared" si="6"/>
        <v>7371.8759878082465</v>
      </c>
      <c r="AF17" s="995">
        <f t="shared" si="7"/>
        <v>77152.560070605658</v>
      </c>
      <c r="AG17" s="995">
        <f t="shared" si="8"/>
        <v>12831.893010205908</v>
      </c>
      <c r="AH17" s="995">
        <f t="shared" si="9"/>
        <v>65634.860556680098</v>
      </c>
      <c r="AI17" s="996">
        <f t="shared" si="10"/>
        <v>13258.241832449381</v>
      </c>
      <c r="AJ17" s="881">
        <f t="shared" si="11"/>
        <v>185812.30232794277</v>
      </c>
      <c r="AK17" s="916">
        <v>72980.100000000006</v>
      </c>
      <c r="AL17" s="916">
        <v>75582</v>
      </c>
      <c r="AM17" s="996"/>
      <c r="AN17" s="467"/>
      <c r="AO17" s="391"/>
      <c r="AP17" s="391"/>
      <c r="AQ17" s="467">
        <f t="shared" si="12"/>
        <v>148562.1</v>
      </c>
      <c r="AR17" s="47"/>
      <c r="AS17" s="47"/>
      <c r="AT17" s="47">
        <f t="shared" ref="AT17:AT20" si="21">276682.98/12530.5*G17</f>
        <v>71053.681923466749</v>
      </c>
      <c r="AU17" s="47">
        <f t="shared" ref="AU17:AU20" si="22">AT17*0.202</f>
        <v>14352.843748540285</v>
      </c>
      <c r="AV17" s="47">
        <f t="shared" si="13"/>
        <v>85406.525672007032</v>
      </c>
      <c r="AW17" s="47">
        <f t="shared" ref="AW17:AW18" si="23">38223.63/9642*G17</f>
        <v>12756.670709085252</v>
      </c>
      <c r="AX17" s="47">
        <f t="shared" si="14"/>
        <v>4067.5265504826812</v>
      </c>
      <c r="AY17" s="47">
        <f t="shared" si="15"/>
        <v>51552.166525313747</v>
      </c>
      <c r="AZ17" s="47">
        <f t="shared" si="16"/>
        <v>72953.908215168631</v>
      </c>
      <c r="BA17" s="47">
        <f t="shared" si="17"/>
        <v>93.958766105541997</v>
      </c>
      <c r="BB17" s="47">
        <f t="shared" si="18"/>
        <v>16.855619841264019</v>
      </c>
      <c r="BC17" s="47">
        <f t="shared" si="19"/>
        <v>33898.040000000037</v>
      </c>
      <c r="BD17" s="47">
        <f t="shared" si="20"/>
        <v>10948.760000000009</v>
      </c>
      <c r="BE17" s="47">
        <v>13.56</v>
      </c>
      <c r="BF17" s="47">
        <v>6</v>
      </c>
    </row>
    <row r="18" spans="1:58" x14ac:dyDescent="0.25">
      <c r="A18" s="331">
        <v>12</v>
      </c>
      <c r="B18" s="332" t="s">
        <v>278</v>
      </c>
      <c r="C18" s="997">
        <v>1980</v>
      </c>
      <c r="D18" s="997">
        <v>5</v>
      </c>
      <c r="E18" s="997">
        <v>60</v>
      </c>
      <c r="F18" s="998">
        <v>153</v>
      </c>
      <c r="G18" s="1535">
        <v>3257.1</v>
      </c>
      <c r="H18" s="999">
        <v>210</v>
      </c>
      <c r="I18" s="1017">
        <v>48074.76</v>
      </c>
      <c r="J18" s="1017">
        <v>44786.7</v>
      </c>
      <c r="K18" s="992">
        <v>3126.78</v>
      </c>
      <c r="L18" s="992">
        <v>2912.84</v>
      </c>
      <c r="M18" s="992">
        <v>13484.94</v>
      </c>
      <c r="N18" s="992">
        <v>12561.69</v>
      </c>
      <c r="O18" s="992">
        <v>34785.839999999997</v>
      </c>
      <c r="P18" s="992">
        <v>32269.62</v>
      </c>
      <c r="Q18" s="992">
        <v>272326.40999999997</v>
      </c>
      <c r="R18" s="992">
        <v>203947.99</v>
      </c>
      <c r="S18" s="992">
        <v>6881.44</v>
      </c>
      <c r="T18" s="992">
        <v>5243.15</v>
      </c>
      <c r="U18" s="992">
        <v>117255.6</v>
      </c>
      <c r="V18" s="992">
        <v>92731.83</v>
      </c>
      <c r="W18" s="992">
        <f t="shared" si="0"/>
        <v>495935.77</v>
      </c>
      <c r="X18" s="992">
        <f t="shared" si="1"/>
        <v>394453.82</v>
      </c>
      <c r="Y18" s="993">
        <f t="shared" si="2"/>
        <v>351939.08030994574</v>
      </c>
      <c r="Z18" s="993">
        <v>1845.91</v>
      </c>
      <c r="AA18" s="994">
        <f t="shared" si="3"/>
        <v>2570.6064175608512</v>
      </c>
      <c r="AB18" s="995">
        <v>5120.3599999999997</v>
      </c>
      <c r="AC18" s="995">
        <f t="shared" si="4"/>
        <v>168.74793086779988</v>
      </c>
      <c r="AD18" s="995">
        <f t="shared" si="5"/>
        <v>1660.3682661047781</v>
      </c>
      <c r="AE18" s="995">
        <f t="shared" si="6"/>
        <v>7461.6791323192883</v>
      </c>
      <c r="AF18" s="995">
        <f t="shared" si="7"/>
        <v>78092.421581145987</v>
      </c>
      <c r="AG18" s="995">
        <f t="shared" si="8"/>
        <v>12988.209305305216</v>
      </c>
      <c r="AH18" s="995">
        <f t="shared" si="9"/>
        <v>66434.415090326846</v>
      </c>
      <c r="AI18" s="996">
        <f t="shared" si="10"/>
        <v>13419.751848246024</v>
      </c>
      <c r="AJ18" s="881">
        <f t="shared" si="11"/>
        <v>189762.46957187681</v>
      </c>
      <c r="AK18" s="916"/>
      <c r="AL18" s="916"/>
      <c r="AM18" s="996"/>
      <c r="AN18" s="467"/>
      <c r="AO18" s="391">
        <v>6520.36</v>
      </c>
      <c r="AP18" s="391"/>
      <c r="AQ18" s="467">
        <f t="shared" si="12"/>
        <v>6520.36</v>
      </c>
      <c r="AR18" s="47"/>
      <c r="AS18" s="47"/>
      <c r="AT18" s="47">
        <f t="shared" si="21"/>
        <v>71919.247768085872</v>
      </c>
      <c r="AU18" s="47">
        <f t="shared" si="22"/>
        <v>14527.688049153347</v>
      </c>
      <c r="AV18" s="47">
        <f t="shared" si="13"/>
        <v>86446.935817239224</v>
      </c>
      <c r="AW18" s="47">
        <f t="shared" si="23"/>
        <v>12912.070656813938</v>
      </c>
      <c r="AX18" s="47">
        <f t="shared" si="14"/>
        <v>4117.0765802470987</v>
      </c>
      <c r="AY18" s="47">
        <f t="shared" si="15"/>
        <v>52180.167683768726</v>
      </c>
      <c r="AZ18" s="47">
        <f t="shared" si="16"/>
        <v>143996.68969005428</v>
      </c>
      <c r="BA18" s="47">
        <f t="shared" si="17"/>
        <v>79.537279595702486</v>
      </c>
      <c r="BB18" s="47">
        <f t="shared" si="18"/>
        <v>12.005877085953959</v>
      </c>
      <c r="BC18" s="47">
        <f t="shared" si="19"/>
        <v>101481.95000000001</v>
      </c>
      <c r="BD18" s="47">
        <f t="shared" si="20"/>
        <v>24523.770000000004</v>
      </c>
      <c r="BE18" s="47">
        <v>13.13</v>
      </c>
      <c r="BF18" s="47">
        <v>4</v>
      </c>
    </row>
    <row r="19" spans="1:58" x14ac:dyDescent="0.25">
      <c r="A19" s="331">
        <v>13</v>
      </c>
      <c r="B19" s="332" t="s">
        <v>279</v>
      </c>
      <c r="C19" s="997">
        <v>1978</v>
      </c>
      <c r="D19" s="997">
        <v>3</v>
      </c>
      <c r="E19" s="997">
        <v>24</v>
      </c>
      <c r="F19" s="991">
        <v>71</v>
      </c>
      <c r="G19" s="999">
        <v>1444.2</v>
      </c>
      <c r="H19" s="999">
        <v>176.8</v>
      </c>
      <c r="I19" s="1017">
        <v>21836.22</v>
      </c>
      <c r="J19" s="1017">
        <v>22550</v>
      </c>
      <c r="K19" s="992">
        <v>1386.36</v>
      </c>
      <c r="L19" s="992">
        <v>1431.65</v>
      </c>
      <c r="M19" s="992">
        <v>0</v>
      </c>
      <c r="N19" s="992">
        <v>0</v>
      </c>
      <c r="O19" s="992">
        <v>15424.08</v>
      </c>
      <c r="P19" s="992">
        <v>15911.57</v>
      </c>
      <c r="Q19" s="992">
        <v>127422.15</v>
      </c>
      <c r="R19" s="992">
        <v>101604.56</v>
      </c>
      <c r="S19" s="992">
        <v>3355.63</v>
      </c>
      <c r="T19" s="992">
        <v>2837.9</v>
      </c>
      <c r="U19" s="992">
        <v>51991.199999999997</v>
      </c>
      <c r="V19" s="992">
        <v>44559.88</v>
      </c>
      <c r="W19" s="992">
        <f t="shared" si="0"/>
        <v>221415.64</v>
      </c>
      <c r="X19" s="992">
        <f t="shared" si="1"/>
        <v>188895.56</v>
      </c>
      <c r="Y19" s="993">
        <f t="shared" si="2"/>
        <v>146429.67024133523</v>
      </c>
      <c r="Z19" s="993">
        <v>864.3</v>
      </c>
      <c r="AA19" s="994">
        <f t="shared" si="3"/>
        <v>1139.8083535173564</v>
      </c>
      <c r="AB19" s="995">
        <v>176.4</v>
      </c>
      <c r="AC19" s="995">
        <f t="shared" si="4"/>
        <v>74.822928912000421</v>
      </c>
      <c r="AD19" s="995">
        <f t="shared" si="5"/>
        <v>736.20823736100238</v>
      </c>
      <c r="AE19" s="995">
        <f t="shared" si="6"/>
        <v>3308.5127883379437</v>
      </c>
      <c r="AF19" s="995">
        <f t="shared" si="7"/>
        <v>34626.224324549767</v>
      </c>
      <c r="AG19" s="995">
        <f t="shared" si="8"/>
        <v>5758.9794230210291</v>
      </c>
      <c r="AH19" s="995">
        <f t="shared" si="9"/>
        <v>29457.057589097672</v>
      </c>
      <c r="AI19" s="996">
        <f t="shared" si="10"/>
        <v>5950.3256329977303</v>
      </c>
      <c r="AJ19" s="881">
        <f t="shared" si="11"/>
        <v>82092.639277794515</v>
      </c>
      <c r="AK19" s="916">
        <v>1044.18</v>
      </c>
      <c r="AL19" s="916"/>
      <c r="AM19" s="996"/>
      <c r="AN19" s="467"/>
      <c r="AO19" s="391"/>
      <c r="AP19" s="391"/>
      <c r="AQ19" s="467">
        <f t="shared" si="12"/>
        <v>1044.18</v>
      </c>
      <c r="AR19" s="47"/>
      <c r="AS19" s="47"/>
      <c r="AT19" s="47">
        <f t="shared" si="21"/>
        <v>31889.035530585374</v>
      </c>
      <c r="AU19" s="47">
        <f t="shared" si="22"/>
        <v>6441.5851771782454</v>
      </c>
      <c r="AV19" s="47">
        <f t="shared" si="13"/>
        <v>38330.620707763621</v>
      </c>
      <c r="AW19" s="47"/>
      <c r="AX19" s="47">
        <f t="shared" si="14"/>
        <v>1825.5141067799148</v>
      </c>
      <c r="AY19" s="47">
        <f t="shared" si="15"/>
        <v>23136.716148997206</v>
      </c>
      <c r="AZ19" s="47">
        <f t="shared" si="16"/>
        <v>74985.969758664782</v>
      </c>
      <c r="BA19" s="47">
        <f t="shared" si="17"/>
        <v>85.312654517088305</v>
      </c>
      <c r="BB19" s="47">
        <f t="shared" si="18"/>
        <v>11.265727295491178</v>
      </c>
      <c r="BC19" s="47">
        <f t="shared" si="19"/>
        <v>32520.080000000016</v>
      </c>
      <c r="BD19" s="47">
        <f t="shared" si="20"/>
        <v>7431.32</v>
      </c>
      <c r="BE19" s="47">
        <v>13.23</v>
      </c>
      <c r="BF19" s="47">
        <v>4</v>
      </c>
    </row>
    <row r="20" spans="1:58" x14ac:dyDescent="0.25">
      <c r="A20" s="331">
        <v>14</v>
      </c>
      <c r="B20" s="332" t="s">
        <v>280</v>
      </c>
      <c r="C20" s="997">
        <v>1980</v>
      </c>
      <c r="D20" s="997">
        <v>3</v>
      </c>
      <c r="E20" s="997">
        <v>24</v>
      </c>
      <c r="F20" s="998">
        <v>71</v>
      </c>
      <c r="G20" s="999">
        <v>1444.3</v>
      </c>
      <c r="H20" s="999">
        <v>176.8</v>
      </c>
      <c r="I20" s="1017">
        <v>21606.42</v>
      </c>
      <c r="J20" s="1017">
        <v>23401.03</v>
      </c>
      <c r="K20" s="992">
        <v>1388.34</v>
      </c>
      <c r="L20" s="992">
        <v>1503.68</v>
      </c>
      <c r="M20" s="992">
        <v>0</v>
      </c>
      <c r="N20" s="992">
        <v>0</v>
      </c>
      <c r="O20" s="992">
        <v>15445.44</v>
      </c>
      <c r="P20" s="992">
        <v>16700.48</v>
      </c>
      <c r="Q20" s="992">
        <v>127858.65</v>
      </c>
      <c r="R20" s="992">
        <v>107896.35</v>
      </c>
      <c r="S20" s="992">
        <v>3679.48</v>
      </c>
      <c r="T20" s="992">
        <v>3160.25</v>
      </c>
      <c r="U20" s="992">
        <v>52063.199999999997</v>
      </c>
      <c r="V20" s="992">
        <v>46905.51</v>
      </c>
      <c r="W20" s="992">
        <f t="shared" si="0"/>
        <v>222041.52999999997</v>
      </c>
      <c r="X20" s="992">
        <f t="shared" si="1"/>
        <v>199567.30000000002</v>
      </c>
      <c r="Y20" s="993">
        <f t="shared" si="2"/>
        <v>148961.47503362448</v>
      </c>
      <c r="Z20" s="993">
        <v>1099.3</v>
      </c>
      <c r="AA20" s="994">
        <f t="shared" si="3"/>
        <v>1139.8872766826739</v>
      </c>
      <c r="AB20" s="995">
        <v>712.95</v>
      </c>
      <c r="AC20" s="995">
        <f t="shared" si="4"/>
        <v>74.828109837697141</v>
      </c>
      <c r="AD20" s="995">
        <f t="shared" si="5"/>
        <v>736.25921425044703</v>
      </c>
      <c r="AE20" s="995">
        <f t="shared" si="6"/>
        <v>3308.7418779923082</v>
      </c>
      <c r="AF20" s="995">
        <f t="shared" si="7"/>
        <v>34628.621930444002</v>
      </c>
      <c r="AG20" s="995">
        <f t="shared" si="8"/>
        <v>5759.3781890799555</v>
      </c>
      <c r="AH20" s="995">
        <f t="shared" si="9"/>
        <v>29459.097269030444</v>
      </c>
      <c r="AI20" s="996">
        <f t="shared" si="10"/>
        <v>5950.7376483441503</v>
      </c>
      <c r="AJ20" s="881">
        <f t="shared" si="11"/>
        <v>82869.80151566166</v>
      </c>
      <c r="AK20" s="916"/>
      <c r="AL20" s="916"/>
      <c r="AM20" s="996"/>
      <c r="AN20" s="467"/>
      <c r="AO20" s="391">
        <v>2794.44</v>
      </c>
      <c r="AP20" s="391"/>
      <c r="AQ20" s="467">
        <f t="shared" si="12"/>
        <v>2794.44</v>
      </c>
      <c r="AR20" s="47"/>
      <c r="AS20" s="47"/>
      <c r="AT20" s="47">
        <f t="shared" si="21"/>
        <v>31891.243606719603</v>
      </c>
      <c r="AU20" s="47">
        <f t="shared" si="22"/>
        <v>6442.0312085573605</v>
      </c>
      <c r="AV20" s="47">
        <f t="shared" si="13"/>
        <v>38333.274815276964</v>
      </c>
      <c r="AW20" s="47"/>
      <c r="AX20" s="47">
        <f t="shared" si="14"/>
        <v>1825.6405099170688</v>
      </c>
      <c r="AY20" s="47">
        <f t="shared" si="15"/>
        <v>23138.318192768773</v>
      </c>
      <c r="AZ20" s="47">
        <f t="shared" si="16"/>
        <v>73080.054966375494</v>
      </c>
      <c r="BA20" s="47">
        <f t="shared" si="17"/>
        <v>89.878366447934326</v>
      </c>
      <c r="BB20" s="47">
        <f t="shared" si="18"/>
        <v>11.459720974683968</v>
      </c>
      <c r="BC20" s="47">
        <f t="shared" si="19"/>
        <v>22474.229999999952</v>
      </c>
      <c r="BD20" s="47">
        <f t="shared" si="20"/>
        <v>5157.6899999999951</v>
      </c>
      <c r="BE20" s="47">
        <v>13.23</v>
      </c>
      <c r="BF20" s="47">
        <v>4</v>
      </c>
    </row>
    <row r="21" spans="1:58" x14ac:dyDescent="0.25">
      <c r="A21" s="331"/>
      <c r="B21" s="464" t="s">
        <v>125</v>
      </c>
      <c r="C21" s="846"/>
      <c r="D21" s="846"/>
      <c r="E21" s="846">
        <f>SUM(E6:E20)</f>
        <v>382</v>
      </c>
      <c r="F21" s="846">
        <f>SUM(F7:F20)</f>
        <v>991</v>
      </c>
      <c r="G21" s="639">
        <f>SUM(G7:G20)</f>
        <v>19301.57</v>
      </c>
      <c r="H21" s="639">
        <f t="shared" ref="H21:BC21" si="24">SUM(H7:H20)</f>
        <v>983.59999999999991</v>
      </c>
      <c r="I21" s="639">
        <f>SUM(I7:I20)</f>
        <v>185390.7</v>
      </c>
      <c r="J21" s="639">
        <f>SUM(J7:J20)</f>
        <v>194142.98</v>
      </c>
      <c r="K21" s="1001">
        <f t="shared" si="24"/>
        <v>18529.68</v>
      </c>
      <c r="L21" s="1001">
        <f t="shared" si="24"/>
        <v>19687.760000000002</v>
      </c>
      <c r="M21" s="1001">
        <f t="shared" si="24"/>
        <v>39918.420000000006</v>
      </c>
      <c r="N21" s="1001">
        <f t="shared" si="24"/>
        <v>41665.240000000005</v>
      </c>
      <c r="O21" s="1001">
        <f t="shared" si="24"/>
        <v>206146.44</v>
      </c>
      <c r="P21" s="1001">
        <f t="shared" si="24"/>
        <v>218167.88000000003</v>
      </c>
      <c r="Q21" s="1001">
        <f t="shared" si="24"/>
        <v>1624370.9099999997</v>
      </c>
      <c r="R21" s="1001">
        <f t="shared" si="24"/>
        <v>1360951.4100000001</v>
      </c>
      <c r="S21" s="1001">
        <f t="shared" si="24"/>
        <v>51326.327000000005</v>
      </c>
      <c r="T21" s="1001">
        <f t="shared" si="24"/>
        <v>42206.200000000004</v>
      </c>
      <c r="U21" s="1001">
        <f t="shared" si="24"/>
        <v>792331.85999999987</v>
      </c>
      <c r="V21" s="1001">
        <f t="shared" si="24"/>
        <v>712618.47</v>
      </c>
      <c r="W21" s="1001">
        <f t="shared" si="24"/>
        <v>2918014.3370000003</v>
      </c>
      <c r="X21" s="1001">
        <f t="shared" si="24"/>
        <v>2589439.94</v>
      </c>
      <c r="Y21" s="1001">
        <f t="shared" si="24"/>
        <v>2186020.1324599995</v>
      </c>
      <c r="Z21" s="1001">
        <f t="shared" si="24"/>
        <v>11023.619999999999</v>
      </c>
      <c r="AA21" s="1001">
        <f t="shared" si="24"/>
        <v>15233.410000000002</v>
      </c>
      <c r="AB21" s="1001">
        <f t="shared" si="24"/>
        <v>51700.32</v>
      </c>
      <c r="AC21" s="1001">
        <f t="shared" si="24"/>
        <v>1000</v>
      </c>
      <c r="AD21" s="1001">
        <f t="shared" si="24"/>
        <v>9839.340000000002</v>
      </c>
      <c r="AE21" s="1001">
        <f t="shared" si="24"/>
        <v>44217.9</v>
      </c>
      <c r="AF21" s="1001">
        <f t="shared" si="24"/>
        <v>462775.58000000007</v>
      </c>
      <c r="AG21" s="1001">
        <f t="shared" si="24"/>
        <v>76968.110000000015</v>
      </c>
      <c r="AH21" s="1001">
        <f t="shared" si="24"/>
        <v>393690.25</v>
      </c>
      <c r="AI21" s="1001">
        <f t="shared" si="24"/>
        <v>79525.430500000002</v>
      </c>
      <c r="AJ21" s="1001">
        <f t="shared" si="24"/>
        <v>1145973.9605</v>
      </c>
      <c r="AK21" s="1001">
        <f t="shared" si="24"/>
        <v>135175.41</v>
      </c>
      <c r="AL21" s="1001">
        <f t="shared" si="24"/>
        <v>191142</v>
      </c>
      <c r="AM21" s="1001">
        <f t="shared" si="24"/>
        <v>0</v>
      </c>
      <c r="AN21" s="1001">
        <f t="shared" si="24"/>
        <v>0</v>
      </c>
      <c r="AO21" s="1001">
        <f t="shared" si="24"/>
        <v>9314.7999999999993</v>
      </c>
      <c r="AP21" s="1001">
        <f t="shared" si="24"/>
        <v>0</v>
      </c>
      <c r="AQ21" s="1001">
        <f t="shared" si="24"/>
        <v>335632.20999999996</v>
      </c>
      <c r="AR21" s="1001">
        <f t="shared" si="24"/>
        <v>0</v>
      </c>
      <c r="AS21" s="1001">
        <f t="shared" si="24"/>
        <v>0</v>
      </c>
      <c r="AT21" s="1001">
        <f t="shared" si="24"/>
        <v>276682.98</v>
      </c>
      <c r="AU21" s="1001">
        <f t="shared" si="24"/>
        <v>55889.961960000008</v>
      </c>
      <c r="AV21" s="1001">
        <f t="shared" si="24"/>
        <v>332572.94195999997</v>
      </c>
      <c r="AW21" s="1001">
        <f t="shared" si="24"/>
        <v>38223.629999999997</v>
      </c>
      <c r="AX21" s="1001">
        <f t="shared" si="24"/>
        <v>24397.790000000005</v>
      </c>
      <c r="AY21" s="1001">
        <f t="shared" si="24"/>
        <v>309219.60000000003</v>
      </c>
      <c r="AZ21" s="1001">
        <f t="shared" si="24"/>
        <v>731994.20454000006</v>
      </c>
      <c r="BA21" s="1132">
        <f t="shared" si="17"/>
        <v>88.739794975174576</v>
      </c>
      <c r="BB21" s="1132">
        <f t="shared" si="18"/>
        <v>12.584008753116397</v>
      </c>
      <c r="BC21" s="1001">
        <f t="shared" si="24"/>
        <v>328574.39700000011</v>
      </c>
      <c r="BD21" s="1132">
        <f t="shared" si="20"/>
        <v>79713.389999999898</v>
      </c>
      <c r="BE21" s="1001"/>
      <c r="BF21" s="1001"/>
    </row>
    <row r="22" spans="1:58" x14ac:dyDescent="0.25">
      <c r="C22" s="375"/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5"/>
      <c r="O22" s="375"/>
      <c r="P22" s="375"/>
      <c r="Q22" s="375"/>
      <c r="R22" s="375"/>
      <c r="S22" s="375"/>
      <c r="T22" s="375"/>
      <c r="U22" s="375"/>
      <c r="V22" s="375"/>
      <c r="W22" s="375"/>
      <c r="X22" s="375"/>
      <c r="Y22" s="375"/>
      <c r="Z22" s="1532">
        <f>Z21+AA21</f>
        <v>26257.03</v>
      </c>
      <c r="AA22" s="375"/>
      <c r="AB22" s="375"/>
      <c r="AC22" s="375"/>
      <c r="AD22" s="375"/>
      <c r="AE22" s="375"/>
      <c r="AF22" s="375"/>
      <c r="AG22" s="763"/>
      <c r="AH22" s="1533">
        <f>AH21+AI21</f>
        <v>473215.68050000002</v>
      </c>
      <c r="AI22" s="375"/>
      <c r="AJ22" s="375" t="s">
        <v>180</v>
      </c>
      <c r="AK22" s="375"/>
      <c r="AL22" s="375"/>
      <c r="AM22" s="375"/>
      <c r="AN22" s="250"/>
      <c r="AO22" s="250"/>
      <c r="AP22" s="250"/>
      <c r="AQ22" s="250" t="s">
        <v>180</v>
      </c>
      <c r="AT22" s="1484">
        <f>AT21+AU21</f>
        <v>332572.94195999997</v>
      </c>
      <c r="AV22" t="s">
        <v>180</v>
      </c>
    </row>
    <row r="23" spans="1:58" ht="17.25" customHeight="1" x14ac:dyDescent="0.25">
      <c r="B23" s="1534" t="s">
        <v>754</v>
      </c>
      <c r="C23" s="375"/>
      <c r="D23" s="375"/>
      <c r="E23" s="375"/>
      <c r="F23" s="375"/>
      <c r="G23" s="1536">
        <f>G16+G17+G18</f>
        <v>9642</v>
      </c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764"/>
      <c r="X23" s="375"/>
      <c r="Y23" s="375"/>
      <c r="Z23" s="375"/>
      <c r="AA23" s="375"/>
      <c r="AB23" s="375"/>
      <c r="AC23" s="375"/>
      <c r="AD23" s="375"/>
      <c r="AE23" s="375"/>
      <c r="AG23" s="375"/>
      <c r="AH23" s="375"/>
      <c r="AI23" s="375"/>
      <c r="AJ23" s="375"/>
      <c r="AK23" s="375"/>
      <c r="AL23" s="375"/>
      <c r="AM23" s="375"/>
      <c r="AN23" s="250"/>
      <c r="AO23" s="250"/>
      <c r="AP23" s="250"/>
      <c r="AQ23" s="250"/>
    </row>
    <row r="24" spans="1:58" x14ac:dyDescent="0.25">
      <c r="C24" s="375"/>
      <c r="D24" s="375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/>
      <c r="P24" s="375"/>
      <c r="Q24" s="375"/>
      <c r="R24" s="375"/>
      <c r="S24" s="375"/>
      <c r="T24" s="375"/>
      <c r="U24" s="375"/>
      <c r="V24" s="375"/>
      <c r="W24" s="375"/>
      <c r="X24" s="375"/>
      <c r="Y24" s="375"/>
      <c r="Z24" s="375"/>
      <c r="AA24" s="375"/>
      <c r="AB24" s="375"/>
      <c r="AC24" s="375"/>
      <c r="AD24" s="375"/>
      <c r="AE24" s="375"/>
      <c r="AF24" s="375"/>
      <c r="AG24" s="375"/>
      <c r="AH24" s="375"/>
      <c r="AI24" s="375"/>
      <c r="AJ24" s="375"/>
      <c r="AK24" s="375"/>
      <c r="AL24" s="375"/>
      <c r="AM24" s="375"/>
    </row>
    <row r="25" spans="1:58" ht="18.75" x14ac:dyDescent="0.3">
      <c r="B25" s="74" t="s">
        <v>673</v>
      </c>
      <c r="C25" s="765"/>
      <c r="D25" s="765"/>
      <c r="E25" s="765"/>
      <c r="F25" s="765"/>
      <c r="G25" s="765"/>
      <c r="H25" s="765"/>
      <c r="I25" s="765"/>
      <c r="J25" s="765"/>
      <c r="K25" s="766"/>
      <c r="L25" s="766"/>
      <c r="M25" s="766"/>
      <c r="N25" s="766"/>
      <c r="O25" s="766"/>
      <c r="P25" s="766"/>
      <c r="Q25" s="766"/>
      <c r="R25" s="766"/>
      <c r="S25" s="766"/>
      <c r="T25" s="766"/>
      <c r="U25" s="766"/>
      <c r="V25" s="766"/>
      <c r="W25" s="766"/>
      <c r="X25" s="766"/>
      <c r="Y25" s="766"/>
      <c r="Z25" s="766"/>
      <c r="AA25" s="766"/>
      <c r="AB25" s="375"/>
      <c r="AC25" s="375"/>
      <c r="AD25" s="375"/>
      <c r="AE25" s="375"/>
      <c r="AF25" s="375"/>
      <c r="AG25" s="375"/>
      <c r="AH25" s="375"/>
      <c r="AI25" s="375"/>
      <c r="AJ25" s="851"/>
      <c r="AK25" s="851"/>
      <c r="AL25" s="851"/>
      <c r="AM25" s="375"/>
    </row>
    <row r="26" spans="1:58" ht="16.5" customHeight="1" x14ac:dyDescent="0.3">
      <c r="A26" s="17"/>
      <c r="B26" s="74"/>
      <c r="C26" s="765"/>
      <c r="D26" s="765"/>
      <c r="E26" s="765"/>
      <c r="F26" s="765"/>
      <c r="G26" s="765"/>
      <c r="H26" s="765"/>
      <c r="I26" s="765"/>
      <c r="J26" s="765"/>
      <c r="K26" s="766"/>
      <c r="L26" s="766"/>
      <c r="M26" s="766"/>
      <c r="N26" s="766"/>
      <c r="O26" s="766"/>
      <c r="P26" s="766"/>
      <c r="Q26" s="766"/>
      <c r="R26" s="766"/>
      <c r="S26" s="766"/>
      <c r="T26" s="766"/>
      <c r="U26" s="766"/>
      <c r="V26" s="766"/>
      <c r="X26" s="766"/>
      <c r="Y26" s="766"/>
      <c r="Z26" s="766"/>
      <c r="AA26" s="766"/>
      <c r="AB26" s="375"/>
      <c r="AC26" s="375"/>
      <c r="AD26" s="375"/>
      <c r="AE26" s="375"/>
      <c r="AF26" s="375"/>
      <c r="AG26" s="375"/>
      <c r="AH26" s="375"/>
      <c r="AI26" s="375"/>
      <c r="AJ26" s="851"/>
      <c r="AK26" s="851"/>
      <c r="AL26" s="851"/>
      <c r="AM26" s="375"/>
    </row>
    <row r="27" spans="1:58" ht="18" x14ac:dyDescent="0.25">
      <c r="A27" s="17"/>
      <c r="B27" s="1"/>
      <c r="C27" s="766"/>
      <c r="D27" s="766"/>
      <c r="E27" s="766"/>
      <c r="F27" s="766"/>
      <c r="G27" s="766"/>
      <c r="H27" s="766"/>
      <c r="I27" s="766"/>
      <c r="J27" s="766"/>
      <c r="K27" s="766"/>
      <c r="L27" s="766"/>
      <c r="M27" s="766"/>
      <c r="N27" s="766"/>
      <c r="O27" s="766"/>
      <c r="P27" s="766"/>
      <c r="Q27" s="766"/>
      <c r="R27" s="766"/>
      <c r="S27" s="766"/>
      <c r="T27" s="766"/>
      <c r="U27" s="766"/>
      <c r="V27" s="766"/>
      <c r="W27" s="766"/>
      <c r="X27" s="766"/>
      <c r="Y27" s="766"/>
      <c r="Z27" s="766"/>
      <c r="AA27" s="766"/>
      <c r="AB27" s="375"/>
      <c r="AC27" s="375"/>
      <c r="AD27" s="375"/>
      <c r="AE27" s="375"/>
      <c r="AF27" s="375"/>
      <c r="AG27" s="375"/>
      <c r="AH27" s="375"/>
      <c r="AI27" s="375"/>
      <c r="AJ27" s="851"/>
      <c r="AK27" s="851"/>
      <c r="AL27" s="851"/>
      <c r="AM27" s="375"/>
    </row>
    <row r="28" spans="1:58" ht="18" x14ac:dyDescent="0.25">
      <c r="A28" s="17"/>
      <c r="B28" s="1"/>
      <c r="C28" s="766"/>
      <c r="D28" s="766"/>
      <c r="E28" s="766"/>
      <c r="F28" s="766"/>
      <c r="G28" s="766"/>
      <c r="H28" s="766"/>
      <c r="I28" s="766"/>
      <c r="J28" s="766"/>
      <c r="K28" s="1574"/>
      <c r="L28" s="1574"/>
      <c r="M28" s="1574"/>
      <c r="N28" s="1574"/>
      <c r="O28" s="1574"/>
      <c r="P28" s="1574"/>
      <c r="Q28" s="1574"/>
      <c r="R28" s="1574"/>
      <c r="S28" s="1574"/>
      <c r="T28" s="1574"/>
      <c r="U28" s="1574"/>
      <c r="V28" s="1574"/>
      <c r="W28" s="1574"/>
      <c r="X28" s="1574"/>
      <c r="Y28" s="1574"/>
      <c r="Z28" s="1574"/>
      <c r="AA28" s="1574"/>
      <c r="AB28" s="1574"/>
      <c r="AC28" s="1574"/>
      <c r="AD28" s="1574"/>
      <c r="AE28" s="1574"/>
      <c r="AF28" s="1574"/>
      <c r="AG28" s="1574"/>
      <c r="AH28" s="1574"/>
      <c r="AI28" s="375"/>
      <c r="AJ28" s="375"/>
      <c r="AK28" s="375"/>
      <c r="AL28" s="375"/>
      <c r="AM28" s="375"/>
      <c r="AN28" s="250"/>
      <c r="AO28" s="250"/>
      <c r="AP28" s="250"/>
    </row>
    <row r="29" spans="1:58" ht="27" customHeight="1" x14ac:dyDescent="0.25">
      <c r="A29" s="2017" t="s">
        <v>0</v>
      </c>
      <c r="B29" s="2017" t="s">
        <v>184</v>
      </c>
      <c r="C29" s="2163" t="s">
        <v>54</v>
      </c>
      <c r="D29" s="2163" t="s">
        <v>55</v>
      </c>
      <c r="E29" s="2163" t="s">
        <v>56</v>
      </c>
      <c r="F29" s="2163" t="s">
        <v>57</v>
      </c>
      <c r="G29" s="2163" t="s">
        <v>6</v>
      </c>
      <c r="H29" s="2270" t="s">
        <v>281</v>
      </c>
      <c r="I29" s="1009"/>
      <c r="J29" s="1009"/>
      <c r="K29" s="1574"/>
      <c r="L29" s="1574"/>
      <c r="M29" s="1574"/>
      <c r="N29" s="1574"/>
      <c r="O29" s="1574"/>
      <c r="P29" s="1574"/>
      <c r="Q29" s="1574"/>
      <c r="R29" s="1574"/>
      <c r="S29" s="1574"/>
      <c r="T29" s="1574"/>
      <c r="U29" s="1574"/>
      <c r="V29" s="1574"/>
      <c r="W29" s="1574"/>
      <c r="X29" s="1574"/>
      <c r="Y29" s="1574"/>
      <c r="Z29" s="1574"/>
      <c r="AA29" s="1574"/>
      <c r="AB29" s="1574"/>
      <c r="AC29" s="1574"/>
      <c r="AD29" s="1574"/>
      <c r="AE29" s="1574"/>
      <c r="AF29" s="1574"/>
      <c r="AG29" s="1574"/>
      <c r="AH29" s="1574"/>
      <c r="AI29" s="375"/>
      <c r="AJ29" s="375"/>
      <c r="AK29" s="375"/>
      <c r="AL29" s="375"/>
      <c r="AM29" s="375"/>
      <c r="AN29" s="250"/>
      <c r="AO29" s="250"/>
      <c r="AP29" s="250"/>
    </row>
    <row r="30" spans="1:58" ht="24" customHeight="1" x14ac:dyDescent="0.25">
      <c r="A30" s="2017"/>
      <c r="B30" s="2017"/>
      <c r="C30" s="2163"/>
      <c r="D30" s="2163"/>
      <c r="E30" s="2163"/>
      <c r="F30" s="2163"/>
      <c r="G30" s="2163"/>
      <c r="H30" s="2271"/>
      <c r="I30" s="1010"/>
      <c r="J30" s="1010"/>
      <c r="K30" s="1574"/>
      <c r="L30" s="1574"/>
      <c r="M30" s="1574"/>
      <c r="N30" s="1574"/>
      <c r="O30" s="1574"/>
      <c r="P30" s="1574"/>
      <c r="Q30" s="1574"/>
      <c r="R30" s="1574"/>
      <c r="S30" s="1574"/>
      <c r="T30" s="1574"/>
      <c r="U30" s="1574"/>
      <c r="V30" s="1574"/>
      <c r="W30" s="1574"/>
      <c r="X30" s="1574"/>
      <c r="Y30" s="1574"/>
      <c r="Z30" s="1574"/>
      <c r="AA30" s="1574"/>
      <c r="AB30" s="1574"/>
      <c r="AC30" s="1574"/>
      <c r="AD30" s="1574"/>
      <c r="AE30" s="1574"/>
      <c r="AF30" s="1574"/>
      <c r="AG30" s="1574"/>
      <c r="AH30" s="1574"/>
      <c r="AI30" s="375"/>
      <c r="AJ30" s="375"/>
      <c r="AK30" s="375"/>
      <c r="AL30" s="375"/>
      <c r="AM30" s="375"/>
      <c r="AN30" s="250"/>
      <c r="AO30" s="250"/>
      <c r="AP30" s="250"/>
    </row>
    <row r="31" spans="1:58" ht="15" customHeight="1" x14ac:dyDescent="0.25">
      <c r="A31" s="331">
        <v>1</v>
      </c>
      <c r="B31" s="332" t="s">
        <v>267</v>
      </c>
      <c r="C31" s="990">
        <v>1964</v>
      </c>
      <c r="D31" s="990">
        <v>2</v>
      </c>
      <c r="E31" s="990">
        <v>16</v>
      </c>
      <c r="F31" s="991">
        <v>27</v>
      </c>
      <c r="G31" s="990">
        <v>635.25</v>
      </c>
      <c r="H31" s="990"/>
      <c r="I31" s="1011"/>
      <c r="J31" s="1011"/>
      <c r="K31" s="1574"/>
      <c r="L31" s="1574"/>
      <c r="M31" s="1574"/>
      <c r="N31" s="1574"/>
      <c r="O31" s="1574"/>
      <c r="P31" s="1574"/>
      <c r="Q31" s="1574"/>
      <c r="R31" s="1574"/>
      <c r="S31" s="1574"/>
      <c r="T31" s="1574"/>
      <c r="U31" s="1574"/>
      <c r="V31" s="1574"/>
      <c r="W31" s="1574"/>
      <c r="X31" s="1574"/>
      <c r="Y31" s="1574"/>
      <c r="Z31" s="1574"/>
      <c r="AA31" s="1574"/>
      <c r="AB31" s="1574"/>
      <c r="AC31" s="1574"/>
      <c r="AD31" s="1574"/>
      <c r="AE31" s="1574"/>
      <c r="AF31" s="1574"/>
      <c r="AG31" s="1574"/>
      <c r="AH31" s="1574"/>
      <c r="AI31" s="375"/>
      <c r="AJ31" s="375"/>
      <c r="AK31" s="375"/>
      <c r="AL31" s="375"/>
      <c r="AM31" s="375"/>
      <c r="AN31" s="250"/>
      <c r="AO31" s="250"/>
      <c r="AP31" s="250"/>
    </row>
    <row r="32" spans="1:58" ht="15" customHeight="1" x14ac:dyDescent="0.25">
      <c r="A32" s="331">
        <v>2</v>
      </c>
      <c r="B32" s="332" t="s">
        <v>268</v>
      </c>
      <c r="C32" s="997">
        <v>1965</v>
      </c>
      <c r="D32" s="997">
        <v>2</v>
      </c>
      <c r="E32" s="997">
        <v>16</v>
      </c>
      <c r="F32" s="998">
        <v>36</v>
      </c>
      <c r="G32" s="999">
        <v>632.16999999999996</v>
      </c>
      <c r="H32" s="999"/>
      <c r="I32" s="1012"/>
      <c r="J32" s="1012"/>
      <c r="K32" s="1574"/>
      <c r="L32" s="1574"/>
      <c r="M32" s="1574"/>
      <c r="N32" s="1574"/>
      <c r="O32" s="1574"/>
      <c r="P32" s="1574"/>
      <c r="Q32" s="1574"/>
      <c r="R32" s="1574"/>
      <c r="S32" s="1574"/>
      <c r="T32" s="1574"/>
      <c r="U32" s="1574"/>
      <c r="V32" s="1574"/>
      <c r="W32" s="1574"/>
      <c r="X32" s="1574"/>
      <c r="Y32" s="1574"/>
      <c r="Z32" s="1574"/>
      <c r="AA32" s="1574"/>
      <c r="AB32" s="1574"/>
      <c r="AC32" s="1574"/>
      <c r="AD32" s="1574"/>
      <c r="AE32" s="1574"/>
      <c r="AF32" s="1574"/>
      <c r="AG32" s="1574"/>
      <c r="AH32" s="1574"/>
      <c r="AI32" s="375"/>
      <c r="AJ32" s="375"/>
      <c r="AK32" s="375"/>
      <c r="AL32" s="375"/>
      <c r="AM32" s="375"/>
      <c r="AN32" s="250"/>
      <c r="AO32" s="250"/>
      <c r="AP32" s="250"/>
    </row>
    <row r="33" spans="1:42" ht="15" customHeight="1" x14ac:dyDescent="0.25">
      <c r="A33" s="331">
        <v>3</v>
      </c>
      <c r="B33" s="332" t="s">
        <v>269</v>
      </c>
      <c r="C33" s="997">
        <v>1967</v>
      </c>
      <c r="D33" s="997">
        <v>2</v>
      </c>
      <c r="E33" s="997">
        <v>16</v>
      </c>
      <c r="F33" s="991">
        <v>36</v>
      </c>
      <c r="G33" s="999">
        <v>731.33</v>
      </c>
      <c r="H33" s="999"/>
      <c r="I33" s="1012"/>
      <c r="J33" s="1012"/>
      <c r="K33" s="1574"/>
      <c r="L33" s="1574"/>
      <c r="M33" s="1574"/>
      <c r="N33" s="1574"/>
      <c r="O33" s="1574"/>
      <c r="P33" s="1574"/>
      <c r="Q33" s="1574"/>
      <c r="R33" s="1574"/>
      <c r="S33" s="1574"/>
      <c r="T33" s="1574"/>
      <c r="U33" s="1574"/>
      <c r="V33" s="1574"/>
      <c r="W33" s="1574"/>
      <c r="X33" s="1574"/>
      <c r="Y33" s="1574"/>
      <c r="Z33" s="1574"/>
      <c r="AA33" s="1574"/>
      <c r="AB33" s="1574"/>
      <c r="AC33" s="1574"/>
      <c r="AD33" s="1574"/>
      <c r="AE33" s="1574"/>
      <c r="AF33" s="1574"/>
      <c r="AG33" s="1574"/>
      <c r="AH33" s="1574"/>
      <c r="AI33" s="375"/>
      <c r="AJ33" s="375"/>
      <c r="AK33" s="375"/>
      <c r="AL33" s="375"/>
      <c r="AM33" s="375"/>
      <c r="AN33" s="250"/>
      <c r="AO33" s="250"/>
      <c r="AP33" s="250"/>
    </row>
    <row r="34" spans="1:42" ht="15" customHeight="1" x14ac:dyDescent="0.25">
      <c r="A34" s="331">
        <v>4</v>
      </c>
      <c r="B34" s="332" t="s">
        <v>270</v>
      </c>
      <c r="C34" s="997">
        <v>1974</v>
      </c>
      <c r="D34" s="997">
        <v>2</v>
      </c>
      <c r="E34" s="997">
        <v>18</v>
      </c>
      <c r="F34" s="998">
        <v>43</v>
      </c>
      <c r="G34" s="999">
        <v>866.6</v>
      </c>
      <c r="H34" s="999"/>
      <c r="I34" s="1012"/>
      <c r="J34" s="1012"/>
      <c r="K34" s="1574"/>
      <c r="L34" s="1574"/>
      <c r="M34" s="1574"/>
      <c r="N34" s="1574"/>
      <c r="O34" s="1574"/>
      <c r="P34" s="1574"/>
      <c r="Q34" s="1574"/>
      <c r="R34" s="1574"/>
      <c r="S34" s="1574"/>
      <c r="T34" s="1574"/>
      <c r="U34" s="1574"/>
      <c r="V34" s="1574"/>
      <c r="W34" s="1574"/>
      <c r="X34" s="1574"/>
      <c r="Y34" s="1574"/>
      <c r="Z34" s="1574"/>
      <c r="AA34" s="1574"/>
      <c r="AB34" s="1574"/>
      <c r="AC34" s="1574"/>
      <c r="AD34" s="1574"/>
      <c r="AE34" s="1574"/>
      <c r="AF34" s="1574"/>
      <c r="AG34" s="1574"/>
      <c r="AH34" s="1574"/>
      <c r="AI34" s="375"/>
      <c r="AJ34" s="375"/>
      <c r="AK34" s="375"/>
      <c r="AL34" s="375"/>
      <c r="AM34" s="375"/>
      <c r="AN34" s="250"/>
      <c r="AO34" s="250"/>
      <c r="AP34" s="250"/>
    </row>
    <row r="35" spans="1:42" ht="15" customHeight="1" x14ac:dyDescent="0.25">
      <c r="A35" s="331">
        <v>5</v>
      </c>
      <c r="B35" s="332" t="s">
        <v>271</v>
      </c>
      <c r="C35" s="997">
        <v>1976</v>
      </c>
      <c r="D35" s="997">
        <v>2</v>
      </c>
      <c r="E35" s="997">
        <v>18</v>
      </c>
      <c r="F35" s="991">
        <v>44</v>
      </c>
      <c r="G35" s="999">
        <v>865.3</v>
      </c>
      <c r="H35" s="999"/>
      <c r="I35" s="1012"/>
      <c r="J35" s="1012"/>
      <c r="K35" s="1574"/>
      <c r="L35" s="1574"/>
      <c r="M35" s="1574"/>
      <c r="N35" s="1574"/>
      <c r="O35" s="1574"/>
      <c r="P35" s="1574"/>
      <c r="Q35" s="1574"/>
      <c r="R35" s="1574"/>
      <c r="S35" s="1574"/>
      <c r="T35" s="1574"/>
      <c r="U35" s="1574"/>
      <c r="V35" s="1574"/>
      <c r="W35" s="1574"/>
      <c r="X35" s="1574"/>
      <c r="Y35" s="1574"/>
      <c r="Z35" s="1574"/>
      <c r="AA35" s="1574"/>
      <c r="AB35" s="1574"/>
      <c r="AC35" s="1574"/>
      <c r="AD35" s="1574"/>
      <c r="AE35" s="1574"/>
      <c r="AF35" s="1574"/>
      <c r="AG35" s="1574"/>
      <c r="AH35" s="1574"/>
      <c r="AI35" s="375"/>
      <c r="AJ35" s="375"/>
      <c r="AK35" s="375"/>
      <c r="AL35" s="375"/>
      <c r="AM35" s="375"/>
      <c r="AN35" s="250"/>
      <c r="AO35" s="250"/>
      <c r="AP35" s="250"/>
    </row>
    <row r="36" spans="1:42" ht="15" customHeight="1" x14ac:dyDescent="0.25">
      <c r="A36" s="331">
        <v>6</v>
      </c>
      <c r="B36" s="332" t="s">
        <v>272</v>
      </c>
      <c r="C36" s="997">
        <v>1970</v>
      </c>
      <c r="D36" s="997">
        <v>2</v>
      </c>
      <c r="E36" s="997">
        <v>16</v>
      </c>
      <c r="F36" s="998">
        <v>44</v>
      </c>
      <c r="G36" s="999">
        <v>710.36</v>
      </c>
      <c r="H36" s="999"/>
      <c r="I36" s="1012"/>
      <c r="J36" s="1012"/>
      <c r="K36" s="1574"/>
      <c r="L36" s="1574"/>
      <c r="M36" s="1574"/>
      <c r="N36" s="1574"/>
      <c r="O36" s="1574"/>
      <c r="P36" s="1574"/>
      <c r="Q36" s="1574"/>
      <c r="R36" s="1574"/>
      <c r="S36" s="1574"/>
      <c r="T36" s="1574"/>
      <c r="U36" s="1574"/>
      <c r="V36" s="1574"/>
      <c r="W36" s="1574"/>
      <c r="X36" s="1574"/>
      <c r="Y36" s="1574"/>
      <c r="Z36" s="1574"/>
      <c r="AA36" s="1574"/>
      <c r="AB36" s="1574"/>
      <c r="AC36" s="1574"/>
      <c r="AD36" s="1574"/>
      <c r="AE36" s="1574"/>
      <c r="AF36" s="1574"/>
      <c r="AG36" s="1574"/>
      <c r="AH36" s="1574"/>
      <c r="AI36" s="375"/>
      <c r="AJ36" s="375"/>
      <c r="AK36" s="375"/>
      <c r="AL36" s="375"/>
      <c r="AM36" s="375"/>
      <c r="AN36" s="250"/>
      <c r="AO36" s="250"/>
      <c r="AP36" s="250"/>
    </row>
    <row r="37" spans="1:42" ht="15" customHeight="1" x14ac:dyDescent="0.25">
      <c r="A37" s="331">
        <v>7</v>
      </c>
      <c r="B37" s="332" t="s">
        <v>273</v>
      </c>
      <c r="C37" s="997">
        <v>1973</v>
      </c>
      <c r="D37" s="997">
        <v>2</v>
      </c>
      <c r="E37" s="997">
        <v>18</v>
      </c>
      <c r="F37" s="991">
        <v>40</v>
      </c>
      <c r="G37" s="999">
        <v>773.51</v>
      </c>
      <c r="H37" s="999"/>
      <c r="I37" s="1012"/>
      <c r="J37" s="1012"/>
      <c r="K37" s="1574"/>
      <c r="L37" s="1574"/>
      <c r="M37" s="1574"/>
      <c r="N37" s="1574"/>
      <c r="O37" s="1574"/>
      <c r="P37" s="1574"/>
      <c r="Q37" s="1574"/>
      <c r="R37" s="1574"/>
      <c r="S37" s="1574"/>
      <c r="T37" s="1574"/>
      <c r="U37" s="1574"/>
      <c r="V37" s="1574"/>
      <c r="W37" s="1574"/>
      <c r="X37" s="1574"/>
      <c r="Y37" s="1574"/>
      <c r="Z37" s="1574"/>
      <c r="AA37" s="1574"/>
      <c r="AB37" s="1574"/>
      <c r="AC37" s="1574"/>
      <c r="AD37" s="1574"/>
      <c r="AE37" s="1574"/>
      <c r="AF37" s="1574"/>
      <c r="AG37" s="1574"/>
      <c r="AH37" s="1574"/>
      <c r="AI37" s="375"/>
      <c r="AJ37" s="375"/>
      <c r="AK37" s="375"/>
      <c r="AL37" s="375"/>
      <c r="AM37" s="375"/>
      <c r="AN37" s="250"/>
      <c r="AO37" s="250"/>
      <c r="AP37" s="250"/>
    </row>
    <row r="38" spans="1:42" ht="15" customHeight="1" x14ac:dyDescent="0.25">
      <c r="A38" s="331">
        <v>8</v>
      </c>
      <c r="B38" s="332" t="s">
        <v>274</v>
      </c>
      <c r="C38" s="997">
        <v>1974</v>
      </c>
      <c r="D38" s="997">
        <v>2</v>
      </c>
      <c r="E38" s="997">
        <v>18</v>
      </c>
      <c r="F38" s="998">
        <v>49</v>
      </c>
      <c r="G38" s="999">
        <v>779.68</v>
      </c>
      <c r="H38" s="999"/>
      <c r="I38" s="1012"/>
      <c r="J38" s="1012"/>
      <c r="K38" s="1574"/>
      <c r="L38" s="1574"/>
      <c r="M38" s="1574"/>
      <c r="N38" s="1574"/>
      <c r="O38" s="1574"/>
      <c r="P38" s="1574"/>
      <c r="Q38" s="1574"/>
      <c r="R38" s="1574"/>
      <c r="S38" s="1574"/>
      <c r="T38" s="1574"/>
      <c r="U38" s="1574"/>
      <c r="V38" s="1574"/>
      <c r="W38" s="1574"/>
      <c r="X38" s="1574"/>
      <c r="Y38" s="1574"/>
      <c r="Z38" s="1574"/>
      <c r="AA38" s="1574"/>
      <c r="AB38" s="1574"/>
      <c r="AC38" s="1574"/>
      <c r="AD38" s="1574"/>
      <c r="AE38" s="1574"/>
      <c r="AF38" s="1574"/>
      <c r="AG38" s="1574"/>
      <c r="AH38" s="1574"/>
      <c r="AI38" s="375"/>
      <c r="AJ38" s="375"/>
      <c r="AK38" s="375"/>
      <c r="AL38" s="375"/>
      <c r="AM38" s="375"/>
      <c r="AN38" s="250"/>
      <c r="AO38" s="250"/>
      <c r="AP38" s="250"/>
    </row>
    <row r="39" spans="1:42" ht="15" customHeight="1" x14ac:dyDescent="0.25">
      <c r="A39" s="331">
        <v>9</v>
      </c>
      <c r="B39" s="332" t="s">
        <v>275</v>
      </c>
      <c r="C39" s="997">
        <v>1973</v>
      </c>
      <c r="D39" s="997">
        <v>2</v>
      </c>
      <c r="E39" s="997">
        <v>18</v>
      </c>
      <c r="F39" s="1000">
        <v>50</v>
      </c>
      <c r="G39" s="999">
        <v>776.87</v>
      </c>
      <c r="H39" s="999"/>
      <c r="I39" s="1012"/>
      <c r="J39" s="1012"/>
      <c r="K39" s="1574"/>
      <c r="L39" s="1574"/>
      <c r="M39" s="1574"/>
      <c r="N39" s="1574"/>
      <c r="O39" s="1574"/>
      <c r="P39" s="1574"/>
      <c r="Q39" s="1574"/>
      <c r="R39" s="1574"/>
      <c r="S39" s="1574"/>
      <c r="T39" s="1574"/>
      <c r="U39" s="1574"/>
      <c r="V39" s="1574"/>
      <c r="W39" s="1574"/>
      <c r="X39" s="1574"/>
      <c r="Y39" s="1574"/>
      <c r="Z39" s="1574"/>
      <c r="AA39" s="1574"/>
      <c r="AB39" s="1574"/>
      <c r="AC39" s="1574"/>
      <c r="AD39" s="1574"/>
      <c r="AE39" s="1574"/>
      <c r="AF39" s="1574"/>
      <c r="AG39" s="1574"/>
      <c r="AH39" s="1574"/>
      <c r="AI39" s="375"/>
      <c r="AJ39" s="375"/>
      <c r="AK39" s="375"/>
      <c r="AL39" s="375"/>
      <c r="AM39" s="375"/>
      <c r="AN39" s="250"/>
      <c r="AO39" s="250"/>
      <c r="AP39" s="250"/>
    </row>
    <row r="40" spans="1:42" ht="15" customHeight="1" x14ac:dyDescent="0.25">
      <c r="A40" s="331">
        <v>10</v>
      </c>
      <c r="B40" s="332" t="s">
        <v>276</v>
      </c>
      <c r="C40" s="997">
        <v>1988</v>
      </c>
      <c r="D40" s="997">
        <v>5</v>
      </c>
      <c r="E40" s="997">
        <v>60</v>
      </c>
      <c r="F40" s="998">
        <v>161</v>
      </c>
      <c r="G40" s="999">
        <v>3167</v>
      </c>
      <c r="H40" s="999">
        <v>210</v>
      </c>
      <c r="I40" s="1012"/>
      <c r="J40" s="1012"/>
      <c r="K40" s="1574"/>
      <c r="L40" s="1574"/>
      <c r="M40" s="1574"/>
      <c r="N40" s="1574"/>
      <c r="O40" s="1574"/>
      <c r="P40" s="1574"/>
      <c r="Q40" s="1574"/>
      <c r="R40" s="1574"/>
      <c r="S40" s="1574"/>
      <c r="T40" s="1574"/>
      <c r="U40" s="1574"/>
      <c r="V40" s="1574"/>
      <c r="W40" s="1574"/>
      <c r="X40" s="1574"/>
      <c r="Y40" s="1574"/>
      <c r="Z40" s="1574"/>
      <c r="AA40" s="1574"/>
      <c r="AB40" s="1574"/>
      <c r="AC40" s="1574"/>
      <c r="AD40" s="1574"/>
      <c r="AE40" s="1574"/>
      <c r="AF40" s="1574"/>
      <c r="AG40" s="1574"/>
      <c r="AH40" s="1574"/>
      <c r="AI40" s="375"/>
      <c r="AJ40" s="375"/>
      <c r="AK40" s="375"/>
      <c r="AL40" s="375"/>
      <c r="AM40" s="375"/>
      <c r="AN40" s="250"/>
      <c r="AO40" s="250"/>
      <c r="AP40" s="250"/>
    </row>
    <row r="41" spans="1:42" ht="15" customHeight="1" x14ac:dyDescent="0.25">
      <c r="A41" s="331">
        <v>11</v>
      </c>
      <c r="B41" s="332" t="s">
        <v>277</v>
      </c>
      <c r="C41" s="997">
        <v>1979</v>
      </c>
      <c r="D41" s="997">
        <v>5</v>
      </c>
      <c r="E41" s="997">
        <v>60</v>
      </c>
      <c r="F41" s="991">
        <v>166</v>
      </c>
      <c r="G41" s="999">
        <v>3217.9</v>
      </c>
      <c r="H41" s="999">
        <v>210</v>
      </c>
      <c r="I41" s="1012"/>
      <c r="J41" s="1012"/>
      <c r="K41" s="1574"/>
      <c r="L41" s="1574"/>
      <c r="M41" s="1574"/>
      <c r="N41" s="1574"/>
      <c r="O41" s="1574"/>
      <c r="P41" s="1574"/>
      <c r="Q41" s="1574"/>
      <c r="R41" s="1574"/>
      <c r="S41" s="1574"/>
      <c r="T41" s="1574"/>
      <c r="U41" s="1574"/>
      <c r="V41" s="1574"/>
      <c r="W41" s="1574"/>
      <c r="X41" s="1574"/>
      <c r="Y41" s="1574"/>
      <c r="Z41" s="1574"/>
      <c r="AA41" s="1574"/>
      <c r="AB41" s="1574"/>
      <c r="AC41" s="1574"/>
      <c r="AD41" s="1574"/>
      <c r="AE41" s="1574"/>
      <c r="AF41" s="1574"/>
      <c r="AG41" s="1574"/>
      <c r="AH41" s="1574"/>
      <c r="AI41" s="375"/>
      <c r="AJ41" s="375"/>
      <c r="AK41" s="375"/>
      <c r="AL41" s="375"/>
      <c r="AM41" s="375"/>
      <c r="AN41" s="250"/>
      <c r="AO41" s="250"/>
      <c r="AP41" s="250"/>
    </row>
    <row r="42" spans="1:42" ht="15" customHeight="1" x14ac:dyDescent="0.25">
      <c r="A42" s="331">
        <v>12</v>
      </c>
      <c r="B42" s="332" t="s">
        <v>278</v>
      </c>
      <c r="C42" s="997">
        <v>1980</v>
      </c>
      <c r="D42" s="997">
        <v>5</v>
      </c>
      <c r="E42" s="997">
        <v>60</v>
      </c>
      <c r="F42" s="998">
        <v>153</v>
      </c>
      <c r="G42" s="999">
        <v>3257.1</v>
      </c>
      <c r="H42" s="999">
        <v>210</v>
      </c>
      <c r="I42" s="1012"/>
      <c r="J42" s="1012"/>
      <c r="K42" s="1574"/>
      <c r="L42" s="1574"/>
      <c r="M42" s="1574"/>
      <c r="N42" s="1574"/>
      <c r="O42" s="1574"/>
      <c r="P42" s="1574"/>
      <c r="Q42" s="1574"/>
      <c r="R42" s="1574"/>
      <c r="S42" s="1574"/>
      <c r="T42" s="1574"/>
      <c r="U42" s="1574"/>
      <c r="V42" s="1574"/>
      <c r="W42" s="1574"/>
      <c r="X42" s="1574"/>
      <c r="Y42" s="1574"/>
      <c r="Z42" s="1574"/>
      <c r="AA42" s="1574"/>
      <c r="AB42" s="1574"/>
      <c r="AC42" s="1574"/>
      <c r="AD42" s="1574"/>
      <c r="AE42" s="1574"/>
      <c r="AF42" s="1574"/>
      <c r="AG42" s="1574"/>
      <c r="AH42" s="1574"/>
      <c r="AI42" s="375"/>
      <c r="AJ42" s="375"/>
      <c r="AK42" s="375"/>
      <c r="AL42" s="375"/>
      <c r="AM42" s="375"/>
      <c r="AN42" s="250"/>
      <c r="AO42" s="250"/>
      <c r="AP42" s="250"/>
    </row>
    <row r="43" spans="1:42" ht="15" customHeight="1" x14ac:dyDescent="0.25">
      <c r="A43" s="331">
        <v>13</v>
      </c>
      <c r="B43" s="332" t="s">
        <v>279</v>
      </c>
      <c r="C43" s="997">
        <v>1978</v>
      </c>
      <c r="D43" s="997">
        <v>3</v>
      </c>
      <c r="E43" s="997">
        <v>24</v>
      </c>
      <c r="F43" s="991">
        <v>71</v>
      </c>
      <c r="G43" s="999">
        <v>1444.2</v>
      </c>
      <c r="H43" s="999">
        <v>176.8</v>
      </c>
      <c r="I43" s="1012"/>
      <c r="J43" s="1012"/>
      <c r="K43" s="1574"/>
      <c r="L43" s="1574"/>
      <c r="M43" s="1574"/>
      <c r="N43" s="1574"/>
      <c r="O43" s="1574"/>
      <c r="P43" s="1574"/>
      <c r="Q43" s="1574"/>
      <c r="R43" s="1574"/>
      <c r="S43" s="1574"/>
      <c r="T43" s="1574"/>
      <c r="U43" s="1574"/>
      <c r="V43" s="1574"/>
      <c r="W43" s="1574"/>
      <c r="X43" s="1574"/>
      <c r="Y43" s="1574"/>
      <c r="Z43" s="1574"/>
      <c r="AA43" s="1574"/>
      <c r="AB43" s="1574"/>
      <c r="AC43" s="1574"/>
      <c r="AD43" s="1574"/>
      <c r="AE43" s="1574"/>
      <c r="AF43" s="1574"/>
      <c r="AG43" s="1574"/>
      <c r="AH43" s="1574"/>
      <c r="AI43" s="375"/>
      <c r="AJ43" s="375"/>
      <c r="AK43" s="375"/>
      <c r="AL43" s="375"/>
      <c r="AM43" s="375"/>
      <c r="AN43" s="250"/>
      <c r="AO43" s="250"/>
      <c r="AP43" s="250"/>
    </row>
    <row r="44" spans="1:42" ht="15" customHeight="1" x14ac:dyDescent="0.25">
      <c r="A44" s="331">
        <v>14</v>
      </c>
      <c r="B44" s="332" t="s">
        <v>280</v>
      </c>
      <c r="C44" s="997">
        <v>1980</v>
      </c>
      <c r="D44" s="997">
        <v>3</v>
      </c>
      <c r="E44" s="997">
        <v>24</v>
      </c>
      <c r="F44" s="998">
        <v>71</v>
      </c>
      <c r="G44" s="999">
        <v>1444.3</v>
      </c>
      <c r="H44" s="999">
        <v>176.8</v>
      </c>
      <c r="I44" s="1012"/>
      <c r="J44" s="1012"/>
      <c r="K44" s="1574"/>
      <c r="L44" s="1574"/>
      <c r="M44" s="1574"/>
      <c r="N44" s="1574"/>
      <c r="O44" s="1574"/>
      <c r="P44" s="1574"/>
      <c r="Q44" s="1574"/>
      <c r="R44" s="1574"/>
      <c r="S44" s="1574"/>
      <c r="T44" s="1574"/>
      <c r="U44" s="1574"/>
      <c r="V44" s="1574"/>
      <c r="W44" s="1574"/>
      <c r="X44" s="1574"/>
      <c r="Y44" s="1574"/>
      <c r="Z44" s="1574"/>
      <c r="AA44" s="1574"/>
      <c r="AB44" s="1574"/>
      <c r="AC44" s="1574"/>
      <c r="AD44" s="1574"/>
      <c r="AE44" s="1574"/>
      <c r="AF44" s="1574"/>
      <c r="AG44" s="1574"/>
      <c r="AH44" s="1574"/>
      <c r="AI44" s="375"/>
      <c r="AJ44" s="375"/>
      <c r="AK44" s="375"/>
      <c r="AL44" s="375"/>
      <c r="AM44" s="375"/>
      <c r="AN44" s="250"/>
      <c r="AO44" s="250"/>
      <c r="AP44" s="250"/>
    </row>
    <row r="45" spans="1:42" ht="15" customHeight="1" x14ac:dyDescent="0.25">
      <c r="A45" s="331"/>
      <c r="B45" s="464" t="s">
        <v>125</v>
      </c>
      <c r="C45" s="846"/>
      <c r="D45" s="846"/>
      <c r="E45" s="846">
        <f>SUM(E30:E44)</f>
        <v>382</v>
      </c>
      <c r="F45" s="846">
        <f t="shared" ref="F45:H45" si="25">SUM(F31:F44)</f>
        <v>991</v>
      </c>
      <c r="G45" s="639">
        <f t="shared" si="25"/>
        <v>19301.57</v>
      </c>
      <c r="H45" s="639">
        <f t="shared" si="25"/>
        <v>983.59999999999991</v>
      </c>
      <c r="I45" s="989"/>
      <c r="J45" s="989"/>
      <c r="K45" s="1574"/>
      <c r="L45" s="1574"/>
      <c r="M45" s="1574"/>
      <c r="N45" s="1574"/>
      <c r="O45" s="1574"/>
      <c r="P45" s="1574"/>
      <c r="Q45" s="1574"/>
      <c r="R45" s="1574"/>
      <c r="S45" s="1574"/>
      <c r="T45" s="1574"/>
      <c r="U45" s="1574"/>
      <c r="V45" s="1574"/>
      <c r="W45" s="1574"/>
      <c r="X45" s="1574"/>
      <c r="Y45" s="1574"/>
      <c r="Z45" s="1574"/>
      <c r="AA45" s="1574"/>
      <c r="AB45" s="1574"/>
      <c r="AC45" s="1574"/>
      <c r="AD45" s="1574"/>
      <c r="AE45" s="1574"/>
      <c r="AF45" s="1574"/>
      <c r="AG45" s="1574"/>
      <c r="AH45" s="1574"/>
      <c r="AI45" s="375"/>
      <c r="AJ45" s="375"/>
      <c r="AK45" s="375"/>
      <c r="AL45" s="375"/>
      <c r="AM45" s="375"/>
      <c r="AN45" s="250"/>
      <c r="AO45" s="250"/>
      <c r="AP45" s="250"/>
    </row>
    <row r="46" spans="1:42" ht="15" customHeight="1" x14ac:dyDescent="0.25">
      <c r="C46" s="375"/>
      <c r="D46" s="375"/>
      <c r="E46" s="375"/>
      <c r="F46" s="375"/>
      <c r="G46" s="375"/>
      <c r="H46" s="375"/>
      <c r="I46" s="375"/>
      <c r="J46" s="375"/>
      <c r="K46" s="1574"/>
      <c r="L46" s="1574"/>
      <c r="M46" s="1574"/>
      <c r="N46" s="1574"/>
      <c r="O46" s="1574"/>
      <c r="P46" s="1574"/>
      <c r="Q46" s="1574"/>
      <c r="R46" s="1574"/>
      <c r="S46" s="1574"/>
      <c r="T46" s="1574"/>
      <c r="U46" s="1574"/>
      <c r="V46" s="1574"/>
      <c r="W46" s="1574"/>
      <c r="X46" s="1574"/>
      <c r="Y46" s="1574"/>
      <c r="Z46" s="1574"/>
      <c r="AA46" s="1574"/>
      <c r="AB46" s="1574"/>
      <c r="AC46" s="1574"/>
      <c r="AD46" s="1574"/>
      <c r="AE46" s="1574"/>
      <c r="AF46" s="1574"/>
      <c r="AG46" s="1574"/>
      <c r="AH46" s="1574"/>
      <c r="AI46" s="375"/>
      <c r="AJ46" s="375"/>
      <c r="AK46" s="375"/>
      <c r="AL46" s="375"/>
      <c r="AM46" s="375"/>
      <c r="AN46" s="250"/>
      <c r="AO46" s="250"/>
      <c r="AP46" s="250"/>
    </row>
    <row r="47" spans="1:42" ht="15" customHeight="1" x14ac:dyDescent="0.25">
      <c r="C47" s="375"/>
      <c r="D47" s="375"/>
      <c r="E47" s="375"/>
      <c r="F47" s="375"/>
      <c r="G47" s="375"/>
      <c r="H47" s="375"/>
      <c r="I47" s="375"/>
      <c r="J47" s="375"/>
      <c r="K47" s="1574"/>
      <c r="L47" s="1574"/>
      <c r="M47" s="1574"/>
      <c r="N47" s="1574"/>
      <c r="O47" s="1574"/>
      <c r="P47" s="1574"/>
      <c r="Q47" s="1574"/>
      <c r="R47" s="1574"/>
      <c r="S47" s="1574"/>
      <c r="T47" s="1574"/>
      <c r="U47" s="1574"/>
      <c r="V47" s="1574"/>
      <c r="W47" s="1574"/>
      <c r="X47" s="1574"/>
      <c r="Y47" s="1574"/>
      <c r="Z47" s="1574"/>
      <c r="AA47" s="1574"/>
      <c r="AB47" s="1574"/>
      <c r="AC47" s="1574"/>
      <c r="AD47" s="1574"/>
      <c r="AE47" s="1574"/>
      <c r="AF47" s="1574"/>
      <c r="AG47" s="1574"/>
      <c r="AH47" s="1574"/>
      <c r="AI47" s="375"/>
      <c r="AJ47" s="375"/>
      <c r="AK47" s="375"/>
      <c r="AL47" s="375"/>
      <c r="AM47" s="375"/>
    </row>
    <row r="48" spans="1:42" x14ac:dyDescent="0.25">
      <c r="C48" s="375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  <c r="Y48" s="375"/>
      <c r="Z48" s="375"/>
      <c r="AA48" s="375"/>
      <c r="AB48" s="375"/>
      <c r="AC48" s="375"/>
      <c r="AD48" s="375"/>
      <c r="AE48" s="375"/>
      <c r="AF48" s="375"/>
      <c r="AG48" s="375"/>
      <c r="AH48" s="375"/>
      <c r="AI48" s="375"/>
      <c r="AJ48" s="375"/>
      <c r="AK48" s="375"/>
      <c r="AL48" s="375"/>
      <c r="AM48" s="375"/>
    </row>
    <row r="49" spans="1:42" x14ac:dyDescent="0.25"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75"/>
      <c r="AB49" s="375"/>
      <c r="AC49" s="375"/>
      <c r="AD49" s="375"/>
      <c r="AE49" s="375"/>
      <c r="AF49" s="375"/>
      <c r="AG49" s="375"/>
      <c r="AH49" s="375"/>
      <c r="AI49" s="375"/>
      <c r="AJ49" s="375"/>
      <c r="AK49" s="375"/>
      <c r="AL49" s="375"/>
      <c r="AM49" s="375"/>
    </row>
    <row r="50" spans="1:42" ht="18.75" x14ac:dyDescent="0.3">
      <c r="B50" s="74" t="s">
        <v>651</v>
      </c>
      <c r="C50" s="765"/>
      <c r="D50" s="765"/>
      <c r="E50" s="765"/>
      <c r="F50" s="765"/>
      <c r="G50" s="765"/>
      <c r="H50" s="765"/>
      <c r="I50" s="765"/>
      <c r="J50" s="765"/>
      <c r="K50" s="766"/>
      <c r="L50" s="766"/>
      <c r="M50" s="766"/>
      <c r="N50" s="766"/>
      <c r="O50" s="766"/>
      <c r="P50" s="766"/>
      <c r="Q50" s="766"/>
      <c r="R50" s="766"/>
      <c r="S50" s="766"/>
      <c r="T50" s="766"/>
      <c r="U50" s="766"/>
      <c r="V50" s="766"/>
      <c r="W50" s="766"/>
      <c r="X50" s="766"/>
      <c r="Y50" s="766"/>
      <c r="Z50" s="766"/>
      <c r="AA50" s="766"/>
      <c r="AB50" s="375"/>
      <c r="AC50" s="375"/>
      <c r="AD50" s="375"/>
      <c r="AE50" s="375"/>
      <c r="AF50" s="375"/>
      <c r="AG50" s="375"/>
      <c r="AH50" s="375"/>
      <c r="AI50" s="375"/>
      <c r="AJ50" s="851"/>
      <c r="AK50" s="851"/>
      <c r="AL50" s="851"/>
      <c r="AM50" s="375"/>
    </row>
    <row r="51" spans="1:42" ht="18.75" x14ac:dyDescent="0.3">
      <c r="A51" s="17"/>
      <c r="B51" s="74"/>
      <c r="C51" s="765"/>
      <c r="D51" s="765"/>
      <c r="E51" s="765"/>
      <c r="F51" s="765"/>
      <c r="G51" s="765"/>
      <c r="H51" s="765"/>
      <c r="I51" s="765"/>
      <c r="J51" s="765"/>
      <c r="K51" s="766"/>
      <c r="L51" s="766"/>
      <c r="M51" s="766"/>
      <c r="N51" s="766"/>
      <c r="O51" s="766"/>
      <c r="P51" s="766"/>
      <c r="Q51" s="766"/>
      <c r="R51" s="766"/>
      <c r="S51" s="766"/>
      <c r="T51" s="766"/>
      <c r="U51" s="766"/>
      <c r="V51" s="766"/>
      <c r="W51" s="766"/>
      <c r="X51" s="766"/>
      <c r="Y51" s="766"/>
      <c r="Z51" s="766"/>
      <c r="AA51" s="766"/>
      <c r="AB51" s="375"/>
      <c r="AC51" s="375"/>
      <c r="AD51" s="375"/>
      <c r="AE51" s="375"/>
      <c r="AF51" s="375"/>
      <c r="AG51" s="375"/>
      <c r="AH51" s="375"/>
      <c r="AI51" s="375"/>
      <c r="AJ51" s="851"/>
      <c r="AK51" s="851"/>
      <c r="AL51" s="851"/>
      <c r="AM51" s="375"/>
    </row>
    <row r="52" spans="1:42" ht="18" x14ac:dyDescent="0.25">
      <c r="A52" s="17"/>
      <c r="B52" s="1"/>
      <c r="C52" s="766"/>
      <c r="D52" s="766"/>
      <c r="E52" s="766"/>
      <c r="F52" s="766"/>
      <c r="G52" s="766"/>
      <c r="H52" s="766"/>
      <c r="I52" s="766"/>
      <c r="J52" s="766"/>
      <c r="K52" s="766"/>
      <c r="L52" s="766"/>
      <c r="M52" s="766"/>
      <c r="N52" s="766"/>
      <c r="O52" s="766"/>
      <c r="P52" s="766"/>
      <c r="Q52" s="766"/>
      <c r="R52" s="766"/>
      <c r="S52" s="766"/>
      <c r="T52" s="766"/>
      <c r="U52" s="766"/>
      <c r="V52" s="766"/>
      <c r="W52" s="766"/>
      <c r="X52" s="766"/>
      <c r="Y52" s="766"/>
      <c r="Z52" s="766"/>
      <c r="AA52" s="766"/>
      <c r="AB52" s="375"/>
      <c r="AC52" s="375"/>
      <c r="AD52" s="375"/>
      <c r="AE52" s="375"/>
      <c r="AF52" s="375"/>
      <c r="AG52" s="375"/>
      <c r="AH52" s="375"/>
      <c r="AI52" s="375"/>
      <c r="AJ52" s="851"/>
      <c r="AK52" s="851"/>
      <c r="AL52" s="851"/>
      <c r="AM52" s="375"/>
    </row>
    <row r="53" spans="1:42" ht="18" x14ac:dyDescent="0.25">
      <c r="A53" s="17"/>
      <c r="B53" s="1"/>
      <c r="C53" s="766"/>
      <c r="D53" s="766"/>
      <c r="E53" s="766"/>
      <c r="F53" s="766"/>
      <c r="G53" s="766"/>
      <c r="H53" s="766"/>
      <c r="I53" s="766"/>
      <c r="J53" s="766"/>
      <c r="K53" s="1574"/>
      <c r="L53" s="1574"/>
      <c r="M53" s="1574"/>
      <c r="N53" s="1574"/>
      <c r="O53" s="1574"/>
      <c r="P53" s="1574"/>
      <c r="Q53" s="1574"/>
      <c r="R53" s="1574"/>
      <c r="S53" s="1574"/>
      <c r="T53" s="1574"/>
      <c r="U53" s="1574"/>
      <c r="V53" s="1574"/>
      <c r="W53" s="1574"/>
      <c r="X53" s="1574"/>
      <c r="Y53" s="1574"/>
      <c r="Z53" s="1574"/>
      <c r="AA53" s="1574"/>
      <c r="AB53" s="1574"/>
      <c r="AC53" s="1574"/>
      <c r="AD53" s="1574"/>
      <c r="AE53" s="1574"/>
      <c r="AF53" s="1574"/>
      <c r="AG53" s="1574"/>
      <c r="AH53" s="375"/>
      <c r="AI53" s="375"/>
      <c r="AJ53" s="375"/>
      <c r="AK53" s="375"/>
      <c r="AL53" s="375"/>
      <c r="AM53" s="375"/>
      <c r="AN53" s="250"/>
      <c r="AO53" s="250"/>
      <c r="AP53" s="250"/>
    </row>
    <row r="54" spans="1:42" ht="25.5" customHeight="1" x14ac:dyDescent="0.25">
      <c r="A54" s="2017" t="s">
        <v>0</v>
      </c>
      <c r="B54" s="2017" t="s">
        <v>184</v>
      </c>
      <c r="C54" s="2163" t="s">
        <v>54</v>
      </c>
      <c r="D54" s="2163" t="s">
        <v>55</v>
      </c>
      <c r="E54" s="2163" t="s">
        <v>56</v>
      </c>
      <c r="F54" s="2163" t="s">
        <v>57</v>
      </c>
      <c r="G54" s="2163" t="s">
        <v>6</v>
      </c>
      <c r="H54" s="2270" t="s">
        <v>281</v>
      </c>
      <c r="I54" s="1009"/>
      <c r="J54" s="1009"/>
      <c r="K54" s="1574"/>
      <c r="L54" s="1574"/>
      <c r="M54" s="1574"/>
      <c r="N54" s="1574"/>
      <c r="O54" s="1574"/>
      <c r="P54" s="1574"/>
      <c r="Q54" s="1574"/>
      <c r="R54" s="1574"/>
      <c r="S54" s="1574"/>
      <c r="T54" s="1574"/>
      <c r="U54" s="1574"/>
      <c r="V54" s="1574"/>
      <c r="W54" s="1574"/>
      <c r="X54" s="1574"/>
      <c r="Y54" s="1574"/>
      <c r="Z54" s="1574"/>
      <c r="AA54" s="1574"/>
      <c r="AB54" s="1574"/>
      <c r="AC54" s="1574"/>
      <c r="AD54" s="1574"/>
      <c r="AE54" s="1574"/>
      <c r="AF54" s="1574"/>
      <c r="AG54" s="1574"/>
      <c r="AH54" s="375"/>
      <c r="AI54" s="375"/>
      <c r="AJ54" s="375"/>
      <c r="AK54" s="375"/>
      <c r="AL54" s="375"/>
      <c r="AM54" s="375"/>
      <c r="AN54" s="250"/>
      <c r="AO54" s="250"/>
      <c r="AP54" s="250"/>
    </row>
    <row r="55" spans="1:42" ht="23.25" customHeight="1" x14ac:dyDescent="0.25">
      <c r="A55" s="2017"/>
      <c r="B55" s="2017"/>
      <c r="C55" s="2163"/>
      <c r="D55" s="2163"/>
      <c r="E55" s="2163"/>
      <c r="F55" s="2163"/>
      <c r="G55" s="2163"/>
      <c r="H55" s="2271"/>
      <c r="I55" s="1010"/>
      <c r="J55" s="1010"/>
      <c r="K55" s="1574"/>
      <c r="L55" s="1574"/>
      <c r="M55" s="1574"/>
      <c r="N55" s="1574"/>
      <c r="O55" s="1574"/>
      <c r="P55" s="1574"/>
      <c r="Q55" s="1574"/>
      <c r="R55" s="1574"/>
      <c r="S55" s="1574"/>
      <c r="T55" s="1574"/>
      <c r="U55" s="1574"/>
      <c r="V55" s="1574"/>
      <c r="W55" s="1574"/>
      <c r="X55" s="1574"/>
      <c r="Y55" s="1574"/>
      <c r="Z55" s="1574"/>
      <c r="AA55" s="1574"/>
      <c r="AB55" s="1574"/>
      <c r="AC55" s="1574"/>
      <c r="AD55" s="1574"/>
      <c r="AE55" s="1574"/>
      <c r="AF55" s="1574"/>
      <c r="AG55" s="1574"/>
      <c r="AH55" s="375"/>
      <c r="AI55" s="375"/>
      <c r="AJ55" s="375"/>
      <c r="AK55" s="375"/>
      <c r="AL55" s="375"/>
      <c r="AM55" s="375"/>
      <c r="AN55" s="250"/>
      <c r="AO55" s="250"/>
      <c r="AP55" s="250"/>
    </row>
    <row r="56" spans="1:42" ht="15" customHeight="1" x14ac:dyDescent="0.25">
      <c r="A56" s="331">
        <v>1</v>
      </c>
      <c r="B56" s="332" t="s">
        <v>276</v>
      </c>
      <c r="C56" s="997">
        <v>1988</v>
      </c>
      <c r="D56" s="997">
        <v>5</v>
      </c>
      <c r="E56" s="997">
        <v>60</v>
      </c>
      <c r="F56" s="998">
        <v>161</v>
      </c>
      <c r="G56" s="999">
        <v>3167</v>
      </c>
      <c r="H56" s="999">
        <v>210</v>
      </c>
      <c r="I56" s="1012"/>
      <c r="J56" s="1012"/>
      <c r="K56" s="1574"/>
      <c r="L56" s="1574"/>
      <c r="M56" s="1574"/>
      <c r="N56" s="1574"/>
      <c r="O56" s="1574"/>
      <c r="P56" s="1574"/>
      <c r="Q56" s="1574"/>
      <c r="R56" s="1574"/>
      <c r="S56" s="1574"/>
      <c r="T56" s="1574"/>
      <c r="U56" s="1574"/>
      <c r="V56" s="1574"/>
      <c r="W56" s="1574"/>
      <c r="X56" s="1574"/>
      <c r="Y56" s="1574"/>
      <c r="Z56" s="1574"/>
      <c r="AA56" s="1574"/>
      <c r="AB56" s="1574"/>
      <c r="AC56" s="1574"/>
      <c r="AD56" s="1574"/>
      <c r="AE56" s="1574"/>
      <c r="AF56" s="1574"/>
      <c r="AG56" s="1574"/>
      <c r="AH56" s="375"/>
      <c r="AI56" s="375"/>
      <c r="AJ56" s="375"/>
      <c r="AK56" s="375"/>
      <c r="AL56" s="375"/>
      <c r="AM56" s="375"/>
      <c r="AN56" s="250"/>
      <c r="AO56" s="250"/>
      <c r="AP56" s="250"/>
    </row>
    <row r="57" spans="1:42" ht="15" customHeight="1" x14ac:dyDescent="0.25">
      <c r="A57" s="331">
        <v>2</v>
      </c>
      <c r="B57" s="332" t="s">
        <v>277</v>
      </c>
      <c r="C57" s="997">
        <v>1979</v>
      </c>
      <c r="D57" s="997">
        <v>5</v>
      </c>
      <c r="E57" s="997">
        <v>60</v>
      </c>
      <c r="F57" s="991">
        <v>166</v>
      </c>
      <c r="G57" s="999">
        <v>3217.9</v>
      </c>
      <c r="H57" s="999">
        <v>210</v>
      </c>
      <c r="I57" s="1012"/>
      <c r="J57" s="1012"/>
      <c r="K57" s="1574"/>
      <c r="L57" s="1574"/>
      <c r="M57" s="1574"/>
      <c r="N57" s="1574"/>
      <c r="O57" s="1574"/>
      <c r="P57" s="1574"/>
      <c r="Q57" s="1574"/>
      <c r="R57" s="1574"/>
      <c r="S57" s="1574"/>
      <c r="T57" s="1574"/>
      <c r="U57" s="1574"/>
      <c r="V57" s="1574"/>
      <c r="W57" s="1574"/>
      <c r="X57" s="1574"/>
      <c r="Y57" s="1574"/>
      <c r="Z57" s="1574"/>
      <c r="AA57" s="1574"/>
      <c r="AB57" s="1574"/>
      <c r="AC57" s="1574"/>
      <c r="AD57" s="1574"/>
      <c r="AE57" s="1574"/>
      <c r="AF57" s="1574"/>
      <c r="AG57" s="1574"/>
      <c r="AH57" s="375"/>
      <c r="AI57" s="375"/>
      <c r="AJ57" s="375"/>
      <c r="AK57" s="375"/>
      <c r="AL57" s="375"/>
      <c r="AM57" s="375"/>
      <c r="AN57" s="250"/>
      <c r="AO57" s="250"/>
      <c r="AP57" s="250"/>
    </row>
    <row r="58" spans="1:42" ht="15" customHeight="1" x14ac:dyDescent="0.25">
      <c r="A58" s="331">
        <v>3</v>
      </c>
      <c r="B58" s="332" t="s">
        <v>278</v>
      </c>
      <c r="C58" s="997">
        <v>1980</v>
      </c>
      <c r="D58" s="997">
        <v>5</v>
      </c>
      <c r="E58" s="997">
        <v>60</v>
      </c>
      <c r="F58" s="998">
        <v>153</v>
      </c>
      <c r="G58" s="999">
        <v>3257.1</v>
      </c>
      <c r="H58" s="999">
        <v>210</v>
      </c>
      <c r="I58" s="1012"/>
      <c r="J58" s="1012"/>
      <c r="K58" s="1574"/>
      <c r="L58" s="1574"/>
      <c r="M58" s="1574"/>
      <c r="N58" s="1574"/>
      <c r="O58" s="1574"/>
      <c r="P58" s="1574"/>
      <c r="Q58" s="1574"/>
      <c r="R58" s="1574"/>
      <c r="S58" s="1574"/>
      <c r="T58" s="1574"/>
      <c r="U58" s="1574"/>
      <c r="V58" s="1574"/>
      <c r="W58" s="1574"/>
      <c r="X58" s="1574"/>
      <c r="Y58" s="1574"/>
      <c r="Z58" s="1574"/>
      <c r="AA58" s="1574"/>
      <c r="AB58" s="1574"/>
      <c r="AC58" s="1574"/>
      <c r="AD58" s="1574"/>
      <c r="AE58" s="1574"/>
      <c r="AF58" s="1574"/>
      <c r="AG58" s="1574"/>
      <c r="AH58" s="375"/>
      <c r="AI58" s="375"/>
      <c r="AJ58" s="375"/>
      <c r="AK58" s="375"/>
      <c r="AL58" s="375"/>
      <c r="AM58" s="375"/>
      <c r="AN58" s="250"/>
      <c r="AO58" s="250"/>
      <c r="AP58" s="250"/>
    </row>
    <row r="59" spans="1:42" ht="15" customHeight="1" x14ac:dyDescent="0.25">
      <c r="A59" s="331">
        <v>4</v>
      </c>
      <c r="B59" s="332" t="s">
        <v>279</v>
      </c>
      <c r="C59" s="997">
        <v>1978</v>
      </c>
      <c r="D59" s="997">
        <v>3</v>
      </c>
      <c r="E59" s="997">
        <v>24</v>
      </c>
      <c r="F59" s="991">
        <v>71</v>
      </c>
      <c r="G59" s="999">
        <v>1444.2</v>
      </c>
      <c r="H59" s="999">
        <v>176.8</v>
      </c>
      <c r="I59" s="1012"/>
      <c r="J59" s="1012"/>
      <c r="K59" s="1574"/>
      <c r="L59" s="1574"/>
      <c r="M59" s="1574"/>
      <c r="N59" s="1574"/>
      <c r="O59" s="1574"/>
      <c r="P59" s="1574"/>
      <c r="Q59" s="1574"/>
      <c r="R59" s="1574"/>
      <c r="S59" s="1574"/>
      <c r="T59" s="1574"/>
      <c r="U59" s="1574"/>
      <c r="V59" s="1574"/>
      <c r="W59" s="1574"/>
      <c r="X59" s="1574"/>
      <c r="Y59" s="1574"/>
      <c r="Z59" s="1574"/>
      <c r="AA59" s="1574"/>
      <c r="AB59" s="1574"/>
      <c r="AC59" s="1574"/>
      <c r="AD59" s="1574"/>
      <c r="AE59" s="1574"/>
      <c r="AF59" s="1574"/>
      <c r="AG59" s="1574"/>
      <c r="AH59" s="375"/>
      <c r="AI59" s="375"/>
      <c r="AJ59" s="375"/>
      <c r="AK59" s="375"/>
      <c r="AL59" s="375"/>
      <c r="AM59" s="375"/>
      <c r="AN59" s="250"/>
      <c r="AO59" s="250"/>
      <c r="AP59" s="250"/>
    </row>
    <row r="60" spans="1:42" ht="15" customHeight="1" x14ac:dyDescent="0.25">
      <c r="A60" s="331">
        <v>5</v>
      </c>
      <c r="B60" s="332" t="s">
        <v>280</v>
      </c>
      <c r="C60" s="997">
        <v>1980</v>
      </c>
      <c r="D60" s="997">
        <v>3</v>
      </c>
      <c r="E60" s="997">
        <v>24</v>
      </c>
      <c r="F60" s="998">
        <v>71</v>
      </c>
      <c r="G60" s="999">
        <v>1444.3</v>
      </c>
      <c r="H60" s="999">
        <v>176.8</v>
      </c>
      <c r="I60" s="1012"/>
      <c r="J60" s="1012"/>
      <c r="K60" s="1574"/>
      <c r="L60" s="1574"/>
      <c r="M60" s="1574"/>
      <c r="N60" s="1574"/>
      <c r="O60" s="1574"/>
      <c r="P60" s="1574"/>
      <c r="Q60" s="1574"/>
      <c r="R60" s="1574"/>
      <c r="S60" s="1574"/>
      <c r="T60" s="1574"/>
      <c r="U60" s="1574"/>
      <c r="V60" s="1574"/>
      <c r="W60" s="1574"/>
      <c r="X60" s="1574"/>
      <c r="Y60" s="1574"/>
      <c r="Z60" s="1574"/>
      <c r="AA60" s="1574"/>
      <c r="AB60" s="1574"/>
      <c r="AC60" s="1574"/>
      <c r="AD60" s="1574"/>
      <c r="AE60" s="1574"/>
      <c r="AF60" s="1574"/>
      <c r="AG60" s="1574"/>
      <c r="AH60" s="375"/>
      <c r="AI60" s="375"/>
      <c r="AJ60" s="375"/>
      <c r="AK60" s="375"/>
      <c r="AL60" s="375"/>
      <c r="AM60" s="375"/>
      <c r="AN60" s="250"/>
      <c r="AO60" s="250"/>
      <c r="AP60" s="250"/>
    </row>
    <row r="61" spans="1:42" ht="15" customHeight="1" x14ac:dyDescent="0.25">
      <c r="A61" s="475"/>
      <c r="B61" s="464" t="s">
        <v>125</v>
      </c>
      <c r="C61" s="846"/>
      <c r="D61" s="846"/>
      <c r="E61" s="846">
        <f>SUM(E55:E60)</f>
        <v>228</v>
      </c>
      <c r="F61" s="846">
        <f t="shared" ref="F61:H61" si="26">SUM(F56:F60)</f>
        <v>622</v>
      </c>
      <c r="G61" s="639">
        <f t="shared" si="26"/>
        <v>12530.5</v>
      </c>
      <c r="H61" s="639">
        <f t="shared" si="26"/>
        <v>983.59999999999991</v>
      </c>
      <c r="I61" s="989"/>
      <c r="J61" s="989"/>
      <c r="K61" s="1574"/>
      <c r="L61" s="1574"/>
      <c r="M61" s="1574"/>
      <c r="N61" s="1574"/>
      <c r="O61" s="1574"/>
      <c r="P61" s="1574"/>
      <c r="Q61" s="1574"/>
      <c r="R61" s="1574"/>
      <c r="S61" s="1574"/>
      <c r="T61" s="1574"/>
      <c r="U61" s="1574"/>
      <c r="V61" s="1574"/>
      <c r="W61" s="1574"/>
      <c r="X61" s="1574"/>
      <c r="Y61" s="1574"/>
      <c r="Z61" s="1574"/>
      <c r="AA61" s="1574"/>
      <c r="AB61" s="1574"/>
      <c r="AC61" s="1574"/>
      <c r="AD61" s="1574"/>
      <c r="AE61" s="1574"/>
      <c r="AF61" s="1574"/>
      <c r="AG61" s="1574"/>
      <c r="AH61" s="375"/>
      <c r="AI61" s="375"/>
      <c r="AJ61" s="375"/>
      <c r="AK61" s="375"/>
      <c r="AL61" s="375"/>
      <c r="AM61" s="375"/>
      <c r="AN61" s="250"/>
      <c r="AO61" s="250"/>
      <c r="AP61" s="250"/>
    </row>
    <row r="62" spans="1:42" ht="15" customHeight="1" x14ac:dyDescent="0.25">
      <c r="C62" s="375"/>
      <c r="D62" s="375"/>
      <c r="E62" s="375"/>
      <c r="F62" s="375"/>
      <c r="G62" s="375"/>
      <c r="H62" s="375"/>
      <c r="I62" s="375"/>
      <c r="J62" s="375"/>
      <c r="K62" s="1574"/>
      <c r="L62" s="1574"/>
      <c r="M62" s="1574"/>
      <c r="N62" s="1574"/>
      <c r="O62" s="1574"/>
      <c r="P62" s="1574"/>
      <c r="Q62" s="1574"/>
      <c r="R62" s="1574"/>
      <c r="S62" s="1574"/>
      <c r="T62" s="1574"/>
      <c r="U62" s="1574"/>
      <c r="V62" s="1574"/>
      <c r="W62" s="1574"/>
      <c r="X62" s="1574"/>
      <c r="Y62" s="1574"/>
      <c r="Z62" s="1574"/>
      <c r="AA62" s="1574"/>
      <c r="AB62" s="1574"/>
      <c r="AC62" s="1574"/>
      <c r="AD62" s="1574"/>
      <c r="AE62" s="1574"/>
      <c r="AF62" s="1574"/>
      <c r="AG62" s="1574"/>
      <c r="AH62" s="375"/>
      <c r="AI62" s="375"/>
      <c r="AJ62" s="375"/>
      <c r="AK62" s="375"/>
      <c r="AL62" s="375"/>
      <c r="AM62" s="375"/>
      <c r="AN62" s="250"/>
      <c r="AO62" s="250"/>
      <c r="AP62" s="250"/>
    </row>
    <row r="63" spans="1:42" ht="15" customHeight="1" x14ac:dyDescent="0.25">
      <c r="C63" s="375"/>
      <c r="D63" s="375"/>
      <c r="E63" s="375"/>
      <c r="F63" s="375"/>
      <c r="G63" s="375"/>
      <c r="H63" s="375"/>
      <c r="I63" s="375"/>
      <c r="J63" s="375"/>
      <c r="K63" s="1574"/>
      <c r="L63" s="1574"/>
      <c r="M63" s="1574"/>
      <c r="N63" s="1574"/>
      <c r="O63" s="1574"/>
      <c r="P63" s="1574"/>
      <c r="Q63" s="1574"/>
      <c r="R63" s="1574"/>
      <c r="S63" s="1574"/>
      <c r="T63" s="1574"/>
      <c r="U63" s="1574"/>
      <c r="V63" s="1574"/>
      <c r="W63" s="1574"/>
      <c r="X63" s="1574"/>
      <c r="Y63" s="1574"/>
      <c r="Z63" s="1574"/>
      <c r="AA63" s="1574"/>
      <c r="AB63" s="1574"/>
      <c r="AC63" s="1574"/>
      <c r="AD63" s="1574"/>
      <c r="AE63" s="1574"/>
      <c r="AF63" s="1574"/>
      <c r="AG63" s="1574"/>
      <c r="AH63" s="375"/>
      <c r="AI63" s="375"/>
      <c r="AJ63" s="375"/>
      <c r="AK63" s="375"/>
      <c r="AL63" s="375"/>
      <c r="AM63" s="375"/>
      <c r="AN63" s="250"/>
      <c r="AO63" s="250"/>
      <c r="AP63" s="250"/>
    </row>
    <row r="64" spans="1:42" ht="15" customHeight="1" x14ac:dyDescent="0.25">
      <c r="G64" s="353" t="s">
        <v>581</v>
      </c>
      <c r="K64" s="1574"/>
      <c r="L64" s="1574"/>
      <c r="M64" s="1574"/>
      <c r="N64" s="1574"/>
      <c r="O64" s="1574"/>
      <c r="P64" s="1574"/>
      <c r="Q64" s="1574"/>
      <c r="R64" s="1574"/>
      <c r="S64" s="1574"/>
      <c r="T64" s="1574"/>
      <c r="U64" s="1574"/>
      <c r="V64" s="1574"/>
      <c r="W64" s="1574"/>
      <c r="X64" s="1574"/>
      <c r="Y64" s="1574"/>
      <c r="Z64" s="1574"/>
      <c r="AA64" s="1574"/>
      <c r="AB64" s="1574"/>
      <c r="AC64" s="1574"/>
      <c r="AD64" s="1574"/>
      <c r="AE64" s="1574"/>
      <c r="AF64" s="1574"/>
      <c r="AG64" s="1574"/>
    </row>
  </sheetData>
  <mergeCells count="66">
    <mergeCell ref="Y5:Y6"/>
    <mergeCell ref="U5:V5"/>
    <mergeCell ref="H29:H30"/>
    <mergeCell ref="F54:F55"/>
    <mergeCell ref="G54:G55"/>
    <mergeCell ref="H54:H55"/>
    <mergeCell ref="F29:F30"/>
    <mergeCell ref="G29:G30"/>
    <mergeCell ref="G5:G6"/>
    <mergeCell ref="H5:H6"/>
    <mergeCell ref="I5:J5"/>
    <mergeCell ref="K5:L5"/>
    <mergeCell ref="W5:X5"/>
    <mergeCell ref="M5:N5"/>
    <mergeCell ref="O5:P5"/>
    <mergeCell ref="Q5:R5"/>
    <mergeCell ref="A29:A30"/>
    <mergeCell ref="B29:B30"/>
    <mergeCell ref="C29:C30"/>
    <mergeCell ref="D29:D30"/>
    <mergeCell ref="E29:E30"/>
    <mergeCell ref="A54:A55"/>
    <mergeCell ref="B54:B55"/>
    <mergeCell ref="C54:C55"/>
    <mergeCell ref="D54:D55"/>
    <mergeCell ref="E54:E55"/>
    <mergeCell ref="S5:T5"/>
    <mergeCell ref="AM5:AM6"/>
    <mergeCell ref="AN5:AN6"/>
    <mergeCell ref="AE5:AE6"/>
    <mergeCell ref="AF5:AF6"/>
    <mergeCell ref="AH5:AH6"/>
    <mergeCell ref="AG5:AG6"/>
    <mergeCell ref="AI5:AI6"/>
    <mergeCell ref="AJ5:AJ6"/>
    <mergeCell ref="AK5:AK6"/>
    <mergeCell ref="AL5:AL6"/>
    <mergeCell ref="Z5:Z6"/>
    <mergeCell ref="AA5:AA6"/>
    <mergeCell ref="AB5:AB6"/>
    <mergeCell ref="AC5:AC6"/>
    <mergeCell ref="AD5:AD6"/>
    <mergeCell ref="F5:F6"/>
    <mergeCell ref="A5:A6"/>
    <mergeCell ref="B5:B6"/>
    <mergeCell ref="C5:C6"/>
    <mergeCell ref="D5:D6"/>
    <mergeCell ref="E5:E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BD5:BD6"/>
    <mergeCell ref="BE5:BE6"/>
    <mergeCell ref="BF5:BF6"/>
    <mergeCell ref="AY5:AY6"/>
    <mergeCell ref="AZ5:AZ6"/>
    <mergeCell ref="BA5:BA6"/>
    <mergeCell ref="BB5:BB6"/>
    <mergeCell ref="BC5:BC6"/>
  </mergeCells>
  <pageMargins left="0.22" right="0.70866141732283472" top="0.74803149606299213" bottom="0.74803149606299213" header="0.31496062992125984" footer="0.31496062992125984"/>
  <pageSetup paperSize="9" orientation="landscape" verticalDpi="0" r:id="rId1"/>
  <ignoredErrors>
    <ignoredError sqref="BD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9"/>
  <sheetViews>
    <sheetView topLeftCell="I1" workbookViewId="0">
      <selection activeCell="O21" sqref="O21:AB22"/>
    </sheetView>
  </sheetViews>
  <sheetFormatPr defaultRowHeight="15" x14ac:dyDescent="0.25"/>
  <cols>
    <col min="1" max="1" width="4.140625" customWidth="1"/>
    <col min="2" max="2" width="17.5703125" customWidth="1"/>
    <col min="3" max="3" width="9.85546875" customWidth="1"/>
    <col min="4" max="4" width="9.140625" customWidth="1"/>
    <col min="5" max="5" width="7.85546875" customWidth="1"/>
    <col min="6" max="6" width="9.42578125" customWidth="1"/>
    <col min="7" max="7" width="10.5703125" customWidth="1"/>
    <col min="8" max="8" width="9.85546875" customWidth="1"/>
    <col min="9" max="9" width="11.28515625" customWidth="1"/>
    <col min="10" max="10" width="12.28515625" customWidth="1"/>
    <col min="11" max="11" width="11.85546875" customWidth="1"/>
    <col min="12" max="13" width="11.7109375" customWidth="1"/>
    <col min="14" max="14" width="12.5703125" customWidth="1"/>
    <col min="15" max="15" width="12.42578125" customWidth="1"/>
    <col min="16" max="16" width="10.5703125" customWidth="1"/>
    <col min="17" max="18" width="10.28515625" customWidth="1"/>
    <col min="19" max="19" width="11.140625" customWidth="1"/>
    <col min="20" max="20" width="11" customWidth="1"/>
    <col min="21" max="21" width="10.42578125" customWidth="1"/>
    <col min="22" max="22" width="11.28515625" customWidth="1"/>
    <col min="23" max="23" width="10.5703125" customWidth="1"/>
    <col min="24" max="24" width="11" customWidth="1"/>
    <col min="25" max="26" width="10.85546875" customWidth="1"/>
    <col min="27" max="27" width="10.42578125" customWidth="1"/>
    <col min="28" max="28" width="10" customWidth="1"/>
    <col min="29" max="29" width="12" customWidth="1"/>
    <col min="30" max="30" width="11.28515625" customWidth="1"/>
    <col min="31" max="31" width="12.140625" customWidth="1"/>
    <col min="32" max="32" width="11.42578125" customWidth="1"/>
    <col min="33" max="34" width="8.7109375" customWidth="1"/>
    <col min="35" max="35" width="10" customWidth="1"/>
    <col min="36" max="36" width="9.5703125" customWidth="1"/>
    <col min="37" max="37" width="10.5703125" customWidth="1"/>
    <col min="38" max="38" width="12.5703125" customWidth="1"/>
  </cols>
  <sheetData>
    <row r="1" spans="1:42" ht="1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AF1" s="250"/>
      <c r="AG1" s="250"/>
      <c r="AH1" s="250"/>
      <c r="AI1" s="250"/>
      <c r="AJ1" s="250"/>
    </row>
    <row r="2" spans="1:42" ht="18.75" x14ac:dyDescent="0.3">
      <c r="B2" s="84" t="s">
        <v>312</v>
      </c>
      <c r="C2" s="84"/>
      <c r="D2" s="84"/>
      <c r="E2" s="84"/>
      <c r="F2" s="84"/>
      <c r="AF2" s="250"/>
      <c r="AG2" s="250"/>
      <c r="AH2" s="250"/>
      <c r="AI2" s="250"/>
      <c r="AJ2" s="250"/>
    </row>
    <row r="3" spans="1:42" ht="18.75" x14ac:dyDescent="0.3">
      <c r="B3" s="373" t="s">
        <v>626</v>
      </c>
      <c r="C3" s="374"/>
      <c r="D3" s="374"/>
      <c r="E3" s="374"/>
      <c r="F3" s="374"/>
      <c r="AF3" s="250"/>
      <c r="AG3" s="250"/>
      <c r="AH3" s="250"/>
      <c r="AI3" s="250"/>
      <c r="AJ3" s="250"/>
      <c r="AK3" s="250"/>
      <c r="AL3" s="250"/>
      <c r="AM3" s="250"/>
      <c r="AN3" s="250"/>
      <c r="AO3" s="250"/>
    </row>
    <row r="4" spans="1:42" x14ac:dyDescent="0.25">
      <c r="AF4" s="167"/>
      <c r="AG4" s="223"/>
      <c r="AH4" s="223"/>
      <c r="AI4" s="223"/>
      <c r="AJ4" s="167"/>
      <c r="AK4" s="250"/>
      <c r="AL4" s="250"/>
      <c r="AM4" s="250"/>
      <c r="AN4" s="250"/>
      <c r="AO4" s="250"/>
    </row>
    <row r="5" spans="1:42" ht="41.25" customHeight="1" x14ac:dyDescent="0.25">
      <c r="A5" s="1985" t="s">
        <v>0</v>
      </c>
      <c r="B5" s="1985" t="s">
        <v>184</v>
      </c>
      <c r="C5" s="1985" t="s">
        <v>54</v>
      </c>
      <c r="D5" s="1985" t="s">
        <v>55</v>
      </c>
      <c r="E5" s="1985" t="s">
        <v>56</v>
      </c>
      <c r="F5" s="1985" t="s">
        <v>57</v>
      </c>
      <c r="G5" s="1985" t="s">
        <v>6</v>
      </c>
      <c r="H5" s="1985" t="s">
        <v>288</v>
      </c>
      <c r="I5" s="1991" t="s">
        <v>593</v>
      </c>
      <c r="J5" s="1992"/>
      <c r="K5" s="1989" t="s">
        <v>310</v>
      </c>
      <c r="L5" s="1990"/>
      <c r="M5" s="2017" t="s">
        <v>598</v>
      </c>
      <c r="N5" s="2017"/>
      <c r="O5" s="1987" t="s">
        <v>186</v>
      </c>
      <c r="P5" s="1987" t="s">
        <v>332</v>
      </c>
      <c r="Q5" s="1987" t="s">
        <v>333</v>
      </c>
      <c r="R5" s="1997" t="s">
        <v>562</v>
      </c>
      <c r="S5" s="2003" t="s">
        <v>563</v>
      </c>
      <c r="T5" s="1987" t="s">
        <v>331</v>
      </c>
      <c r="U5" s="2003" t="s">
        <v>337</v>
      </c>
      <c r="V5" s="2003" t="s">
        <v>564</v>
      </c>
      <c r="W5" s="2003" t="s">
        <v>565</v>
      </c>
      <c r="X5" s="1987" t="s">
        <v>321</v>
      </c>
      <c r="Y5" s="1987" t="s">
        <v>554</v>
      </c>
      <c r="Z5" s="1997" t="s">
        <v>334</v>
      </c>
      <c r="AA5" s="1997" t="s">
        <v>336</v>
      </c>
      <c r="AB5" s="1997" t="s">
        <v>335</v>
      </c>
      <c r="AC5" s="1987" t="s">
        <v>338</v>
      </c>
      <c r="AD5" s="2007" t="s">
        <v>316</v>
      </c>
      <c r="AE5" s="2009" t="s">
        <v>369</v>
      </c>
      <c r="AF5" s="2009" t="s">
        <v>175</v>
      </c>
      <c r="AG5" s="2005" t="s">
        <v>610</v>
      </c>
      <c r="AH5" s="2005" t="s">
        <v>611</v>
      </c>
      <c r="AI5" s="2001" t="s">
        <v>182</v>
      </c>
      <c r="AJ5" s="1999" t="s">
        <v>544</v>
      </c>
      <c r="AK5" s="1995" t="s">
        <v>566</v>
      </c>
      <c r="AL5" s="250"/>
      <c r="AM5" s="250"/>
      <c r="AN5" s="250"/>
      <c r="AO5" s="250"/>
    </row>
    <row r="6" spans="1:42" ht="51.75" customHeight="1" x14ac:dyDescent="0.25">
      <c r="A6" s="1986"/>
      <c r="B6" s="1986"/>
      <c r="C6" s="1986"/>
      <c r="D6" s="1986"/>
      <c r="E6" s="1986"/>
      <c r="F6" s="1986"/>
      <c r="G6" s="1986"/>
      <c r="H6" s="1986"/>
      <c r="I6" s="150" t="s">
        <v>15</v>
      </c>
      <c r="J6" s="1178" t="s">
        <v>16</v>
      </c>
      <c r="K6" s="150" t="s">
        <v>15</v>
      </c>
      <c r="L6" s="1178" t="s">
        <v>16</v>
      </c>
      <c r="M6" s="150" t="s">
        <v>15</v>
      </c>
      <c r="N6" s="1178" t="s">
        <v>16</v>
      </c>
      <c r="O6" s="1988"/>
      <c r="P6" s="1988"/>
      <c r="Q6" s="1988"/>
      <c r="R6" s="1998"/>
      <c r="S6" s="2004"/>
      <c r="T6" s="1988"/>
      <c r="U6" s="2004"/>
      <c r="V6" s="2004"/>
      <c r="W6" s="2004"/>
      <c r="X6" s="1988"/>
      <c r="Y6" s="1988"/>
      <c r="Z6" s="1998"/>
      <c r="AA6" s="1998"/>
      <c r="AB6" s="1998"/>
      <c r="AC6" s="1988"/>
      <c r="AD6" s="2008"/>
      <c r="AE6" s="2009"/>
      <c r="AF6" s="2009"/>
      <c r="AG6" s="2006"/>
      <c r="AH6" s="2006"/>
      <c r="AI6" s="2002"/>
      <c r="AJ6" s="2000"/>
      <c r="AK6" s="1996"/>
      <c r="AL6" s="250"/>
      <c r="AM6" s="250"/>
      <c r="AN6" s="250"/>
      <c r="AO6" s="250"/>
    </row>
    <row r="7" spans="1:42" s="124" customFormat="1" x14ac:dyDescent="0.25">
      <c r="A7" s="2">
        <v>1</v>
      </c>
      <c r="B7" s="85" t="s">
        <v>17</v>
      </c>
      <c r="C7" s="908">
        <v>1977</v>
      </c>
      <c r="D7" s="908">
        <v>5</v>
      </c>
      <c r="E7" s="737">
        <v>45</v>
      </c>
      <c r="F7" s="909">
        <v>132</v>
      </c>
      <c r="G7" s="910">
        <v>2366.1999999999998</v>
      </c>
      <c r="H7" s="910">
        <v>210</v>
      </c>
      <c r="I7" s="911">
        <v>4836.26</v>
      </c>
      <c r="J7" s="911">
        <v>3869.61</v>
      </c>
      <c r="K7" s="912">
        <v>108109.08</v>
      </c>
      <c r="L7" s="912">
        <v>106772.21</v>
      </c>
      <c r="M7" s="912">
        <f>I7+K7</f>
        <v>112945.34</v>
      </c>
      <c r="N7" s="912">
        <f>J7+L7</f>
        <v>110641.82</v>
      </c>
      <c r="O7" s="912">
        <f>P7+Q7+R7+S7+T7+U7+V7+W7+X7+Y7+Z7+AA7+AB7+AC7+AD7+AE7</f>
        <v>121184.49546849572</v>
      </c>
      <c r="P7" s="912">
        <v>5084.87</v>
      </c>
      <c r="Q7" s="912">
        <f>2150/20417.9*G7</f>
        <v>249.16029562295827</v>
      </c>
      <c r="R7" s="913">
        <f>10408.6/20417.9*G7</f>
        <v>1206.2371409400573</v>
      </c>
      <c r="S7" s="855">
        <v>3206</v>
      </c>
      <c r="T7" s="855"/>
      <c r="U7" s="855">
        <v>2274.02</v>
      </c>
      <c r="V7" s="855">
        <f>750/20417.9*G7</f>
        <v>86.916382194055203</v>
      </c>
      <c r="W7" s="855">
        <f>750/20417.9*G7</f>
        <v>86.916382194055203</v>
      </c>
      <c r="X7" s="913">
        <f>435454.19/20417.9*G7</f>
        <v>50464.137074723643</v>
      </c>
      <c r="Y7" s="913">
        <f>X7*0.202</f>
        <v>10193.755689094176</v>
      </c>
      <c r="Z7" s="914"/>
      <c r="AA7" s="914"/>
      <c r="AB7" s="914"/>
      <c r="AC7" s="774">
        <f>38791.24/20417.9*G7</f>
        <v>4495.458988828429</v>
      </c>
      <c r="AD7" s="855">
        <f>325785.51/986747.266*K7</f>
        <v>35693.4069918475</v>
      </c>
      <c r="AE7" s="855">
        <f>70271.13/20417.9*G7</f>
        <v>8143.6165230508523</v>
      </c>
      <c r="AF7" s="915">
        <f>M7-O7</f>
        <v>-8239.1554684957227</v>
      </c>
      <c r="AG7" s="855">
        <f>L7/K7*100</f>
        <v>98.763406366976767</v>
      </c>
      <c r="AH7" s="855">
        <f>J7/I7*100</f>
        <v>80.012447635156093</v>
      </c>
      <c r="AI7" s="916">
        <f>O7/G7/6</f>
        <v>8.535802515178748</v>
      </c>
      <c r="AJ7" s="917">
        <v>7.61</v>
      </c>
      <c r="AK7" s="736">
        <f>M7-N7</f>
        <v>2303.5199999999895</v>
      </c>
      <c r="AL7" s="250"/>
      <c r="AM7" s="250"/>
      <c r="AN7" s="250"/>
      <c r="AO7" s="250"/>
    </row>
    <row r="8" spans="1:42" s="124" customFormat="1" x14ac:dyDescent="0.25">
      <c r="A8" s="5">
        <v>2</v>
      </c>
      <c r="B8" s="43" t="s">
        <v>18</v>
      </c>
      <c r="C8" s="737">
        <v>1977</v>
      </c>
      <c r="D8" s="737">
        <v>5</v>
      </c>
      <c r="E8" s="737">
        <v>45</v>
      </c>
      <c r="F8" s="909">
        <v>117</v>
      </c>
      <c r="G8" s="738">
        <v>2363.9</v>
      </c>
      <c r="H8" s="738">
        <v>210</v>
      </c>
      <c r="I8" s="911">
        <v>4346.84</v>
      </c>
      <c r="J8" s="911">
        <v>3698.7</v>
      </c>
      <c r="K8" s="912">
        <v>107670.3</v>
      </c>
      <c r="L8" s="912">
        <v>102641.64</v>
      </c>
      <c r="M8" s="912">
        <f t="shared" ref="M8:M13" si="0">I8+K8</f>
        <v>112017.14</v>
      </c>
      <c r="N8" s="912">
        <f t="shared" ref="N8:N13" si="1">J8+L8</f>
        <v>106340.34</v>
      </c>
      <c r="O8" s="912">
        <f t="shared" ref="O8:O13" si="2">P8+Q8+R8+S8+T8+U8+V8+W8+X8+Y8+Z8+AA8+AB8+AC8+AD8+AE8</f>
        <v>119271.03744232663</v>
      </c>
      <c r="P8" s="912">
        <v>5016.8900000000003</v>
      </c>
      <c r="Q8" s="912">
        <f t="shared" ref="Q8:Q13" si="3">2150/20417.9*G8</f>
        <v>248.91810617154556</v>
      </c>
      <c r="R8" s="913">
        <f t="shared" ref="R8:R13" si="4">10408.6/20417.9*G8</f>
        <v>1205.064651114953</v>
      </c>
      <c r="S8" s="855">
        <v>1946</v>
      </c>
      <c r="T8" s="855"/>
      <c r="U8" s="855">
        <v>1906.24</v>
      </c>
      <c r="V8" s="855">
        <f t="shared" ref="V8:V13" si="5">750/20417.9*G8</f>
        <v>86.831897501701931</v>
      </c>
      <c r="W8" s="855">
        <f t="shared" ref="W8:W13" si="6">750/20417.9*G8</f>
        <v>86.831897501701931</v>
      </c>
      <c r="X8" s="913">
        <f t="shared" ref="X8:X13" si="7">435454.19/20417.9*G8</f>
        <v>50415.084790355519</v>
      </c>
      <c r="Y8" s="913">
        <f t="shared" ref="Y8:Y13" si="8">X8*0.202</f>
        <v>10183.847127651816</v>
      </c>
      <c r="Z8" s="914"/>
      <c r="AA8" s="914"/>
      <c r="AB8" s="914"/>
      <c r="AC8" s="774">
        <f t="shared" ref="AC8:AC13" si="9">38791.24/20417.9*G8</f>
        <v>4491.0893008585599</v>
      </c>
      <c r="AD8" s="855">
        <f t="shared" ref="AD8:AD13" si="10">325785.51/986747.266*K8</f>
        <v>35548.538927852474</v>
      </c>
      <c r="AE8" s="855">
        <f t="shared" ref="AE8:AE13" si="11">70271.13/20417.9*G8</f>
        <v>8135.7007433183635</v>
      </c>
      <c r="AF8" s="915">
        <f t="shared" ref="AF8:AF13" si="12">M8-O8</f>
        <v>-7253.8974423266336</v>
      </c>
      <c r="AG8" s="855">
        <f t="shared" ref="AG8:AG14" si="13">L8/K8*100</f>
        <v>95.329575565406614</v>
      </c>
      <c r="AH8" s="855">
        <f t="shared" ref="AH8:AH14" si="14">J8/I8*100</f>
        <v>85.089398275528879</v>
      </c>
      <c r="AI8" s="916">
        <f t="shared" ref="AI8:AI13" si="15">O8/G8/6</f>
        <v>8.4091993063952675</v>
      </c>
      <c r="AJ8" s="917">
        <v>7.59</v>
      </c>
      <c r="AK8" s="736">
        <f t="shared" ref="AK8:AK14" si="16">M8-N8</f>
        <v>5676.8000000000029</v>
      </c>
      <c r="AL8" s="250"/>
      <c r="AM8" s="250"/>
      <c r="AN8" s="250"/>
      <c r="AO8" s="250"/>
    </row>
    <row r="9" spans="1:42" s="124" customFormat="1" x14ac:dyDescent="0.25">
      <c r="A9" s="5">
        <v>3</v>
      </c>
      <c r="B9" s="43" t="s">
        <v>19</v>
      </c>
      <c r="C9" s="737">
        <v>1986</v>
      </c>
      <c r="D9" s="737">
        <v>3</v>
      </c>
      <c r="E9" s="737">
        <v>24</v>
      </c>
      <c r="F9" s="909">
        <v>83</v>
      </c>
      <c r="G9" s="738">
        <v>1440.6</v>
      </c>
      <c r="H9" s="738">
        <v>174</v>
      </c>
      <c r="I9" s="911">
        <v>3602.14</v>
      </c>
      <c r="J9" s="911">
        <v>3114.52</v>
      </c>
      <c r="K9" s="912">
        <v>67247.34</v>
      </c>
      <c r="L9" s="912">
        <v>64218.89</v>
      </c>
      <c r="M9" s="912">
        <f t="shared" si="0"/>
        <v>70849.48</v>
      </c>
      <c r="N9" s="912">
        <f t="shared" si="1"/>
        <v>67333.41</v>
      </c>
      <c r="O9" s="912">
        <f t="shared" si="2"/>
        <v>73281.000632267998</v>
      </c>
      <c r="P9" s="912">
        <v>4267.67</v>
      </c>
      <c r="Q9" s="912">
        <f t="shared" si="3"/>
        <v>151.69483639355661</v>
      </c>
      <c r="R9" s="913">
        <f t="shared" si="4"/>
        <v>734.38645306324338</v>
      </c>
      <c r="S9" s="855"/>
      <c r="T9" s="855"/>
      <c r="U9" s="855">
        <v>1193.99</v>
      </c>
      <c r="V9" s="855">
        <f t="shared" si="5"/>
        <v>52.916803393101141</v>
      </c>
      <c r="W9" s="855">
        <f t="shared" si="6"/>
        <v>52.916803393101141</v>
      </c>
      <c r="X9" s="913">
        <f t="shared" si="7"/>
        <v>30723.791678576148</v>
      </c>
      <c r="Y9" s="913">
        <f t="shared" si="8"/>
        <v>6206.2059190723821</v>
      </c>
      <c r="Z9" s="914"/>
      <c r="AA9" s="914"/>
      <c r="AB9" s="914"/>
      <c r="AC9" s="774">
        <f t="shared" si="9"/>
        <v>2736.9445606061345</v>
      </c>
      <c r="AD9" s="855">
        <f t="shared" si="10"/>
        <v>22202.452150542264</v>
      </c>
      <c r="AE9" s="855">
        <f t="shared" si="11"/>
        <v>4958.0314272280693</v>
      </c>
      <c r="AF9" s="915">
        <f t="shared" si="12"/>
        <v>-2431.5206322680024</v>
      </c>
      <c r="AG9" s="855">
        <f t="shared" si="13"/>
        <v>95.496550495528894</v>
      </c>
      <c r="AH9" s="855">
        <f t="shared" si="14"/>
        <v>86.463046966525454</v>
      </c>
      <c r="AI9" s="916">
        <f t="shared" si="15"/>
        <v>8.4780647684145496</v>
      </c>
      <c r="AJ9" s="917">
        <v>7.78</v>
      </c>
      <c r="AK9" s="736">
        <f t="shared" si="16"/>
        <v>3516.0699999999924</v>
      </c>
      <c r="AL9" s="250"/>
      <c r="AM9" s="250"/>
      <c r="AN9" s="250"/>
      <c r="AO9" s="250"/>
    </row>
    <row r="10" spans="1:42" s="124" customFormat="1" x14ac:dyDescent="0.25">
      <c r="A10" s="5">
        <v>4</v>
      </c>
      <c r="B10" s="43" t="s">
        <v>20</v>
      </c>
      <c r="C10" s="737">
        <v>1992</v>
      </c>
      <c r="D10" s="737">
        <v>5</v>
      </c>
      <c r="E10" s="737">
        <v>60</v>
      </c>
      <c r="F10" s="909">
        <v>167</v>
      </c>
      <c r="G10" s="738">
        <v>3634.3</v>
      </c>
      <c r="H10" s="738">
        <v>320</v>
      </c>
      <c r="I10" s="911">
        <v>10253.32</v>
      </c>
      <c r="J10" s="911">
        <v>9146.18</v>
      </c>
      <c r="K10" s="912">
        <v>181677.42</v>
      </c>
      <c r="L10" s="912">
        <v>176146.73</v>
      </c>
      <c r="M10" s="912">
        <f t="shared" si="0"/>
        <v>191930.74000000002</v>
      </c>
      <c r="N10" s="912">
        <f t="shared" si="1"/>
        <v>185292.91</v>
      </c>
      <c r="O10" s="912">
        <f t="shared" si="2"/>
        <v>184936.80691280408</v>
      </c>
      <c r="P10" s="912">
        <v>4237.32</v>
      </c>
      <c r="Q10" s="912">
        <f t="shared" si="3"/>
        <v>382.69092316056009</v>
      </c>
      <c r="R10" s="913">
        <f t="shared" si="4"/>
        <v>1852.6868571204677</v>
      </c>
      <c r="S10" s="855"/>
      <c r="T10" s="855"/>
      <c r="U10" s="855">
        <v>5635.84</v>
      </c>
      <c r="V10" s="855">
        <f t="shared" si="5"/>
        <v>133.49683366066049</v>
      </c>
      <c r="W10" s="855">
        <f t="shared" si="6"/>
        <v>133.49683366066049</v>
      </c>
      <c r="X10" s="913">
        <f t="shared" si="7"/>
        <v>77509.007425690201</v>
      </c>
      <c r="Y10" s="913">
        <f t="shared" si="8"/>
        <v>15656.819499989422</v>
      </c>
      <c r="Z10" s="914"/>
      <c r="AA10" s="914"/>
      <c r="AB10" s="914"/>
      <c r="AC10" s="774">
        <f t="shared" si="9"/>
        <v>6904.6769516943459</v>
      </c>
      <c r="AD10" s="855">
        <f t="shared" si="10"/>
        <v>59982.80711748555</v>
      </c>
      <c r="AE10" s="855">
        <f t="shared" si="11"/>
        <v>12507.9644703422</v>
      </c>
      <c r="AF10" s="915">
        <f t="shared" si="12"/>
        <v>6993.9330871959392</v>
      </c>
      <c r="AG10" s="855">
        <f t="shared" si="13"/>
        <v>96.955763682685486</v>
      </c>
      <c r="AH10" s="855">
        <f t="shared" si="14"/>
        <v>89.202131602251768</v>
      </c>
      <c r="AI10" s="916">
        <f t="shared" si="15"/>
        <v>8.481083331627552</v>
      </c>
      <c r="AJ10" s="917">
        <v>8.33</v>
      </c>
      <c r="AK10" s="736">
        <f t="shared" si="16"/>
        <v>6637.8300000000163</v>
      </c>
      <c r="AL10" s="250"/>
      <c r="AM10" s="250"/>
      <c r="AN10" s="250"/>
      <c r="AO10" s="250"/>
    </row>
    <row r="11" spans="1:42" s="124" customFormat="1" x14ac:dyDescent="0.25">
      <c r="A11" s="5">
        <v>5</v>
      </c>
      <c r="B11" s="43" t="s">
        <v>22</v>
      </c>
      <c r="C11" s="737">
        <v>1994</v>
      </c>
      <c r="D11" s="737">
        <v>5</v>
      </c>
      <c r="E11" s="737">
        <v>60</v>
      </c>
      <c r="F11" s="909">
        <v>131</v>
      </c>
      <c r="G11" s="738">
        <v>3641.8</v>
      </c>
      <c r="H11" s="738">
        <v>320</v>
      </c>
      <c r="I11" s="911">
        <v>11540.21</v>
      </c>
      <c r="J11" s="911">
        <v>8964.2099999999991</v>
      </c>
      <c r="K11" s="912">
        <v>179783.74</v>
      </c>
      <c r="L11" s="912">
        <v>169205.26</v>
      </c>
      <c r="M11" s="912">
        <f t="shared" si="0"/>
        <v>191323.94999999998</v>
      </c>
      <c r="N11" s="912">
        <f t="shared" si="1"/>
        <v>178169.47</v>
      </c>
      <c r="O11" s="912">
        <f t="shared" si="2"/>
        <v>188134.72654930659</v>
      </c>
      <c r="P11" s="912">
        <v>4297.9799999999996</v>
      </c>
      <c r="Q11" s="912">
        <f t="shared" si="3"/>
        <v>383.48067137168857</v>
      </c>
      <c r="R11" s="913">
        <f t="shared" si="4"/>
        <v>1856.510193506678</v>
      </c>
      <c r="S11" s="855"/>
      <c r="T11" s="855"/>
      <c r="U11" s="855">
        <v>9160.83</v>
      </c>
      <c r="V11" s="855">
        <f t="shared" si="5"/>
        <v>133.77232722268207</v>
      </c>
      <c r="W11" s="855">
        <f t="shared" si="6"/>
        <v>133.77232722268207</v>
      </c>
      <c r="X11" s="913">
        <f t="shared" si="7"/>
        <v>77668.960526890616</v>
      </c>
      <c r="Y11" s="913">
        <f t="shared" si="8"/>
        <v>15689.130026431905</v>
      </c>
      <c r="Z11" s="914"/>
      <c r="AA11" s="914"/>
      <c r="AB11" s="914"/>
      <c r="AC11" s="774">
        <f t="shared" si="9"/>
        <v>6918.9259342047908</v>
      </c>
      <c r="AD11" s="855">
        <f t="shared" si="10"/>
        <v>59357.587746898709</v>
      </c>
      <c r="AE11" s="855">
        <f t="shared" si="11"/>
        <v>12533.776795556842</v>
      </c>
      <c r="AF11" s="915">
        <f t="shared" si="12"/>
        <v>3189.2234506933892</v>
      </c>
      <c r="AG11" s="855">
        <f t="shared" si="13"/>
        <v>94.115997364389031</v>
      </c>
      <c r="AH11" s="855">
        <f t="shared" si="14"/>
        <v>77.678049186279978</v>
      </c>
      <c r="AI11" s="916">
        <f t="shared" si="15"/>
        <v>8.60996972876538</v>
      </c>
      <c r="AJ11" s="917">
        <v>8.23</v>
      </c>
      <c r="AK11" s="736">
        <f t="shared" si="16"/>
        <v>13154.479999999981</v>
      </c>
      <c r="AL11" s="250"/>
      <c r="AM11" s="250"/>
      <c r="AN11" s="250"/>
      <c r="AO11" s="250"/>
    </row>
    <row r="12" spans="1:42" s="124" customFormat="1" x14ac:dyDescent="0.25">
      <c r="A12" s="5">
        <v>6</v>
      </c>
      <c r="B12" s="43" t="s">
        <v>21</v>
      </c>
      <c r="C12" s="737">
        <v>1981</v>
      </c>
      <c r="D12" s="737">
        <v>5</v>
      </c>
      <c r="E12" s="737">
        <v>60</v>
      </c>
      <c r="F12" s="909">
        <v>159</v>
      </c>
      <c r="G12" s="738">
        <v>3289.5</v>
      </c>
      <c r="H12" s="738">
        <v>496</v>
      </c>
      <c r="I12" s="911">
        <v>8488.5</v>
      </c>
      <c r="J12" s="911">
        <v>7508.08</v>
      </c>
      <c r="K12" s="912">
        <v>157823.34</v>
      </c>
      <c r="L12" s="912">
        <v>151192.82999999999</v>
      </c>
      <c r="M12" s="912">
        <f t="shared" si="0"/>
        <v>166311.84</v>
      </c>
      <c r="N12" s="912">
        <f t="shared" si="1"/>
        <v>158700.90999999997</v>
      </c>
      <c r="O12" s="912">
        <f t="shared" si="2"/>
        <v>168293.28761014863</v>
      </c>
      <c r="P12" s="912">
        <v>5680.26</v>
      </c>
      <c r="Q12" s="912">
        <f t="shared" si="3"/>
        <v>346.38356540094719</v>
      </c>
      <c r="R12" s="913">
        <f t="shared" si="4"/>
        <v>1676.9153389917669</v>
      </c>
      <c r="S12" s="855">
        <v>1948</v>
      </c>
      <c r="T12" s="855"/>
      <c r="U12" s="855">
        <v>4395.2299999999996</v>
      </c>
      <c r="V12" s="855">
        <f t="shared" si="5"/>
        <v>120.83147630265599</v>
      </c>
      <c r="W12" s="855">
        <f t="shared" si="6"/>
        <v>120.83147630265599</v>
      </c>
      <c r="X12" s="913">
        <f t="shared" si="7"/>
        <v>70155.430186503014</v>
      </c>
      <c r="Y12" s="913">
        <f t="shared" si="8"/>
        <v>14171.396897673611</v>
      </c>
      <c r="Z12" s="914"/>
      <c r="AA12" s="914"/>
      <c r="AB12" s="914"/>
      <c r="AC12" s="774">
        <f t="shared" si="9"/>
        <v>6249.6037290808554</v>
      </c>
      <c r="AD12" s="855">
        <f t="shared" si="10"/>
        <v>52107.119100751988</v>
      </c>
      <c r="AE12" s="855">
        <f t="shared" si="11"/>
        <v>11321.285839141146</v>
      </c>
      <c r="AF12" s="915">
        <f t="shared" si="12"/>
        <v>-1981.4476101486362</v>
      </c>
      <c r="AG12" s="855">
        <f t="shared" si="13"/>
        <v>95.798777291115485</v>
      </c>
      <c r="AH12" s="855">
        <f t="shared" si="14"/>
        <v>88.450020616127702</v>
      </c>
      <c r="AI12" s="916">
        <f t="shared" si="15"/>
        <v>8.5267916912473343</v>
      </c>
      <c r="AJ12" s="917">
        <v>7.99</v>
      </c>
      <c r="AK12" s="736">
        <f t="shared" si="16"/>
        <v>7610.9300000000221</v>
      </c>
      <c r="AL12" s="250"/>
      <c r="AM12" s="250"/>
      <c r="AN12" s="250"/>
      <c r="AO12" s="250"/>
    </row>
    <row r="13" spans="1:42" s="124" customFormat="1" x14ac:dyDescent="0.25">
      <c r="A13" s="260">
        <v>7</v>
      </c>
      <c r="B13" s="43" t="s">
        <v>311</v>
      </c>
      <c r="C13" s="737">
        <v>1993</v>
      </c>
      <c r="D13" s="737">
        <v>5</v>
      </c>
      <c r="E13" s="737">
        <v>60</v>
      </c>
      <c r="F13" s="909">
        <v>134</v>
      </c>
      <c r="G13" s="738">
        <v>3681.6</v>
      </c>
      <c r="H13" s="738"/>
      <c r="I13" s="911">
        <v>11549.01</v>
      </c>
      <c r="J13" s="911">
        <v>10675.21</v>
      </c>
      <c r="K13" s="912">
        <v>184436.04</v>
      </c>
      <c r="L13" s="912">
        <v>178846.97</v>
      </c>
      <c r="M13" s="912">
        <f t="shared" si="0"/>
        <v>195985.05000000002</v>
      </c>
      <c r="N13" s="912">
        <f t="shared" si="1"/>
        <v>189522.18</v>
      </c>
      <c r="O13" s="912">
        <f t="shared" si="2"/>
        <v>200009.52978368403</v>
      </c>
      <c r="P13" s="912">
        <v>4523.88</v>
      </c>
      <c r="Q13" s="912">
        <f t="shared" si="3"/>
        <v>387.67160187874362</v>
      </c>
      <c r="R13" s="913">
        <f t="shared" si="4"/>
        <v>1876.7993652628329</v>
      </c>
      <c r="S13" s="855"/>
      <c r="T13" s="855"/>
      <c r="U13" s="855">
        <v>18013.45</v>
      </c>
      <c r="V13" s="855">
        <f t="shared" si="5"/>
        <v>135.23427972514313</v>
      </c>
      <c r="W13" s="855">
        <f t="shared" si="6"/>
        <v>135.23427972514313</v>
      </c>
      <c r="X13" s="913">
        <f t="shared" si="7"/>
        <v>78517.778317260832</v>
      </c>
      <c r="Y13" s="913">
        <f t="shared" si="8"/>
        <v>15860.59122008669</v>
      </c>
      <c r="Z13" s="914"/>
      <c r="AA13" s="914"/>
      <c r="AB13" s="914"/>
      <c r="AC13" s="774">
        <f t="shared" si="9"/>
        <v>6994.5405347268807</v>
      </c>
      <c r="AD13" s="855">
        <f t="shared" si="10"/>
        <v>60893.595983655257</v>
      </c>
      <c r="AE13" s="855">
        <f t="shared" si="11"/>
        <v>12670.75420136253</v>
      </c>
      <c r="AF13" s="915">
        <f t="shared" si="12"/>
        <v>-4024.4797836840153</v>
      </c>
      <c r="AG13" s="855">
        <f t="shared" si="13"/>
        <v>96.969643243261999</v>
      </c>
      <c r="AH13" s="855">
        <f t="shared" si="14"/>
        <v>92.433983518933644</v>
      </c>
      <c r="AI13" s="916">
        <f t="shared" si="15"/>
        <v>9.0544658927134964</v>
      </c>
      <c r="AJ13" s="917">
        <v>8.35</v>
      </c>
      <c r="AK13" s="736">
        <f t="shared" si="16"/>
        <v>6462.8700000000244</v>
      </c>
      <c r="AL13" s="250"/>
      <c r="AM13" s="250"/>
      <c r="AN13" s="250"/>
      <c r="AO13" s="250"/>
    </row>
    <row r="14" spans="1:42" x14ac:dyDescent="0.25">
      <c r="A14" s="4"/>
      <c r="B14" s="4" t="s">
        <v>23</v>
      </c>
      <c r="C14" s="737"/>
      <c r="D14" s="737"/>
      <c r="E14" s="918">
        <f>SUM(E7:E13)</f>
        <v>354</v>
      </c>
      <c r="F14" s="918">
        <f>SUM(F7:F13)</f>
        <v>923</v>
      </c>
      <c r="G14" s="919">
        <f>SUM(G7:G13)</f>
        <v>20417.899999999998</v>
      </c>
      <c r="H14" s="919">
        <f>SUM(H7:H12)</f>
        <v>1730</v>
      </c>
      <c r="I14" s="919">
        <f>SUM(I7:I13)</f>
        <v>54616.28</v>
      </c>
      <c r="J14" s="919">
        <f>SUM(J7:J13)</f>
        <v>46976.51</v>
      </c>
      <c r="K14" s="920">
        <f t="shared" ref="K14:AD14" si="17">SUM(K7:K13)</f>
        <v>986747.26</v>
      </c>
      <c r="L14" s="920">
        <f t="shared" si="17"/>
        <v>949024.52999999991</v>
      </c>
      <c r="M14" s="920">
        <f t="shared" si="17"/>
        <v>1041363.5399999999</v>
      </c>
      <c r="N14" s="920">
        <f t="shared" si="17"/>
        <v>996001.0399999998</v>
      </c>
      <c r="O14" s="920">
        <f t="shared" si="17"/>
        <v>1055110.8843990336</v>
      </c>
      <c r="P14" s="920">
        <f t="shared" si="17"/>
        <v>33108.869999999995</v>
      </c>
      <c r="Q14" s="920">
        <f t="shared" si="17"/>
        <v>2150</v>
      </c>
      <c r="R14" s="920">
        <f t="shared" si="17"/>
        <v>10408.599999999999</v>
      </c>
      <c r="S14" s="920">
        <f t="shared" si="17"/>
        <v>7100</v>
      </c>
      <c r="T14" s="920">
        <f t="shared" si="17"/>
        <v>0</v>
      </c>
      <c r="U14" s="920">
        <f t="shared" si="17"/>
        <v>42579.6</v>
      </c>
      <c r="V14" s="920">
        <f t="shared" si="17"/>
        <v>749.99999999999989</v>
      </c>
      <c r="W14" s="920">
        <f t="shared" si="17"/>
        <v>749.99999999999989</v>
      </c>
      <c r="X14" s="920">
        <f t="shared" si="17"/>
        <v>435454.19</v>
      </c>
      <c r="Y14" s="920">
        <f t="shared" si="17"/>
        <v>87961.746379999997</v>
      </c>
      <c r="Z14" s="920">
        <f t="shared" si="17"/>
        <v>0</v>
      </c>
      <c r="AA14" s="920">
        <f t="shared" si="17"/>
        <v>0</v>
      </c>
      <c r="AB14" s="920">
        <f t="shared" si="17"/>
        <v>0</v>
      </c>
      <c r="AC14" s="920">
        <f t="shared" si="17"/>
        <v>38791.24</v>
      </c>
      <c r="AD14" s="920">
        <f t="shared" si="17"/>
        <v>325785.5080190337</v>
      </c>
      <c r="AE14" s="920">
        <f>SUM(AE7:AE13)</f>
        <v>70271.13</v>
      </c>
      <c r="AF14" s="920">
        <f t="shared" ref="AF14" si="18">SUM(AF7:AF13)</f>
        <v>-13747.344399033682</v>
      </c>
      <c r="AG14" s="56">
        <f t="shared" si="13"/>
        <v>96.17706260466332</v>
      </c>
      <c r="AH14" s="56">
        <f t="shared" si="14"/>
        <v>86.011918058132125</v>
      </c>
      <c r="AI14" s="921">
        <f>O14/G14/6</f>
        <v>8.6126298035794875</v>
      </c>
      <c r="AJ14" s="922"/>
      <c r="AK14" s="647">
        <f t="shared" si="16"/>
        <v>45362.500000000116</v>
      </c>
      <c r="AL14" s="250"/>
      <c r="AM14" s="250"/>
      <c r="AN14" s="250"/>
      <c r="AO14" s="250"/>
    </row>
    <row r="15" spans="1:42" x14ac:dyDescent="0.25">
      <c r="A15" s="8"/>
      <c r="B15" s="8"/>
      <c r="C15" s="923"/>
      <c r="D15" s="923"/>
      <c r="E15" s="923"/>
      <c r="F15" s="923"/>
      <c r="G15" s="923"/>
      <c r="H15" s="923"/>
      <c r="I15" s="923"/>
      <c r="J15" s="923"/>
      <c r="K15" s="923"/>
      <c r="L15" s="923"/>
      <c r="M15" s="923"/>
      <c r="N15" s="923"/>
      <c r="O15" s="923"/>
      <c r="P15" s="924">
        <f>P14+Q14</f>
        <v>35258.869999999995</v>
      </c>
      <c r="Q15" s="925"/>
      <c r="R15" s="923" t="s">
        <v>180</v>
      </c>
      <c r="S15" s="923" t="s">
        <v>180</v>
      </c>
      <c r="T15" s="923"/>
      <c r="U15" s="788" t="s">
        <v>180</v>
      </c>
      <c r="V15" s="788" t="s">
        <v>180</v>
      </c>
      <c r="W15" s="788" t="s">
        <v>180</v>
      </c>
      <c r="X15" s="926">
        <f>X14+Y14</f>
        <v>523415.93637999997</v>
      </c>
      <c r="Y15" s="788"/>
      <c r="Z15" s="788"/>
      <c r="AA15" s="788"/>
      <c r="AB15" s="788"/>
      <c r="AC15" s="788" t="s">
        <v>180</v>
      </c>
      <c r="AD15" s="788" t="s">
        <v>180</v>
      </c>
      <c r="AE15" s="349"/>
      <c r="AF15" s="749"/>
      <c r="AG15" s="749"/>
      <c r="AH15" s="749"/>
      <c r="AI15" s="749"/>
      <c r="AJ15" s="749"/>
      <c r="AK15" s="375"/>
      <c r="AL15" s="250"/>
      <c r="AM15" s="250"/>
      <c r="AN15" s="250"/>
      <c r="AO15" s="250"/>
    </row>
    <row r="16" spans="1:42" ht="15.7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 t="s">
        <v>180</v>
      </c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284" t="s">
        <v>628</v>
      </c>
      <c r="AE16" s="9"/>
      <c r="AF16" s="223"/>
      <c r="AG16" s="284" t="s">
        <v>628</v>
      </c>
      <c r="AH16" s="344" t="s">
        <v>629</v>
      </c>
      <c r="AI16" s="223"/>
      <c r="AJ16" s="223"/>
      <c r="AK16" s="9"/>
      <c r="AL16" s="9"/>
      <c r="AM16" s="9"/>
      <c r="AN16" s="9"/>
      <c r="AO16" s="9"/>
      <c r="AP16" s="9"/>
    </row>
    <row r="17" spans="1:42" ht="20.25" customHeight="1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9"/>
    </row>
    <row r="18" spans="1:42" ht="15.75" customHeight="1" x14ac:dyDescent="0.3">
      <c r="B18" s="84" t="s">
        <v>305</v>
      </c>
      <c r="C18" s="84"/>
      <c r="D18" s="84"/>
      <c r="E18" s="84"/>
      <c r="F18" s="84"/>
      <c r="AE18" s="250"/>
      <c r="AF18" s="250"/>
      <c r="AG18" s="250"/>
      <c r="AH18" s="250"/>
      <c r="AI18" s="250"/>
      <c r="AJ18" s="250"/>
      <c r="AO18" s="223"/>
      <c r="AP18" s="9"/>
    </row>
    <row r="19" spans="1:42" ht="18.75" x14ac:dyDescent="0.3">
      <c r="B19" s="1993" t="s">
        <v>627</v>
      </c>
      <c r="C19" s="1994"/>
      <c r="D19" s="1994"/>
      <c r="E19" s="1994"/>
      <c r="F19" s="1994"/>
      <c r="AE19" s="250"/>
      <c r="AF19" s="250"/>
      <c r="AG19" s="250"/>
      <c r="AH19" s="250"/>
      <c r="AI19" s="250"/>
      <c r="AJ19" s="250"/>
      <c r="AO19" s="223"/>
      <c r="AP19" s="9"/>
    </row>
    <row r="20" spans="1:42" ht="18" customHeight="1" x14ac:dyDescent="0.25">
      <c r="AB20" s="250"/>
      <c r="AC20" s="250"/>
      <c r="AD20" s="250"/>
      <c r="AE20" s="250"/>
      <c r="AF20" s="250"/>
      <c r="AG20" s="250"/>
      <c r="AH20" s="250"/>
      <c r="AI20" s="250"/>
      <c r="AJ20" s="250"/>
      <c r="AO20" s="223"/>
      <c r="AP20" s="9"/>
    </row>
    <row r="21" spans="1:42" ht="29.25" customHeight="1" x14ac:dyDescent="0.25">
      <c r="A21" s="1985" t="s">
        <v>0</v>
      </c>
      <c r="B21" s="1985" t="s">
        <v>184</v>
      </c>
      <c r="C21" s="1985" t="s">
        <v>54</v>
      </c>
      <c r="D21" s="1985" t="s">
        <v>55</v>
      </c>
      <c r="E21" s="1985" t="s">
        <v>56</v>
      </c>
      <c r="F21" s="1985" t="s">
        <v>57</v>
      </c>
      <c r="G21" s="1985" t="s">
        <v>6</v>
      </c>
      <c r="H21" s="1985" t="s">
        <v>288</v>
      </c>
      <c r="I21" s="1174"/>
      <c r="J21" s="1174"/>
      <c r="K21" s="1989" t="s">
        <v>284</v>
      </c>
      <c r="L21" s="1990"/>
      <c r="M21" s="937"/>
      <c r="N21" s="937"/>
      <c r="O21" s="1987" t="s">
        <v>186</v>
      </c>
      <c r="P21" s="1987" t="s">
        <v>370</v>
      </c>
      <c r="Q21" s="1987" t="s">
        <v>333</v>
      </c>
      <c r="R21" s="2003" t="s">
        <v>630</v>
      </c>
      <c r="S21" s="1987" t="s">
        <v>371</v>
      </c>
      <c r="T21" s="1987" t="s">
        <v>372</v>
      </c>
      <c r="U21" s="1999" t="s">
        <v>375</v>
      </c>
      <c r="V21" s="1987" t="s">
        <v>373</v>
      </c>
      <c r="W21" s="2001" t="s">
        <v>374</v>
      </c>
      <c r="X21" s="2009" t="s">
        <v>175</v>
      </c>
      <c r="Y21" s="2005" t="s">
        <v>176</v>
      </c>
      <c r="Z21" s="2001" t="s">
        <v>182</v>
      </c>
      <c r="AA21" s="1999" t="s">
        <v>544</v>
      </c>
      <c r="AB21" s="2010" t="s">
        <v>566</v>
      </c>
      <c r="AC21" s="250"/>
      <c r="AD21" s="250"/>
      <c r="AE21" s="250"/>
      <c r="AF21" s="250"/>
      <c r="AG21" s="250"/>
      <c r="AH21" s="250"/>
      <c r="AI21" s="250"/>
      <c r="AJ21" s="250"/>
      <c r="AK21" s="358"/>
      <c r="AL21" s="358"/>
      <c r="AM21" s="358"/>
      <c r="AN21" s="358"/>
      <c r="AO21" s="358"/>
      <c r="AP21" s="358"/>
    </row>
    <row r="22" spans="1:42" ht="47.25" customHeight="1" x14ac:dyDescent="0.25">
      <c r="A22" s="1986"/>
      <c r="B22" s="1986"/>
      <c r="C22" s="1986"/>
      <c r="D22" s="1986"/>
      <c r="E22" s="1986"/>
      <c r="F22" s="1986"/>
      <c r="G22" s="1986"/>
      <c r="H22" s="1986"/>
      <c r="I22" s="934"/>
      <c r="J22" s="934"/>
      <c r="K22" s="150" t="s">
        <v>15</v>
      </c>
      <c r="L22" s="1178" t="s">
        <v>16</v>
      </c>
      <c r="M22" s="938"/>
      <c r="N22" s="938"/>
      <c r="O22" s="1988"/>
      <c r="P22" s="1988"/>
      <c r="Q22" s="1988"/>
      <c r="R22" s="2004"/>
      <c r="S22" s="1988"/>
      <c r="T22" s="1988"/>
      <c r="U22" s="2000"/>
      <c r="V22" s="1988"/>
      <c r="W22" s="2002"/>
      <c r="X22" s="2009"/>
      <c r="Y22" s="2006"/>
      <c r="Z22" s="2002"/>
      <c r="AA22" s="2000"/>
      <c r="AB22" s="2011"/>
      <c r="AC22" s="250"/>
      <c r="AD22" s="250"/>
      <c r="AE22" s="250"/>
      <c r="AF22" s="250"/>
      <c r="AG22" s="250"/>
      <c r="AH22" s="250"/>
      <c r="AI22" s="250"/>
      <c r="AJ22" s="250"/>
      <c r="AK22" s="358"/>
      <c r="AL22" s="358"/>
      <c r="AM22" s="358"/>
      <c r="AN22" s="358"/>
      <c r="AO22" s="358"/>
      <c r="AP22" s="358"/>
    </row>
    <row r="23" spans="1:42" ht="15" customHeight="1" x14ac:dyDescent="0.25">
      <c r="A23" s="2">
        <v>1</v>
      </c>
      <c r="B23" s="85" t="s">
        <v>17</v>
      </c>
      <c r="C23" s="908">
        <v>1977</v>
      </c>
      <c r="D23" s="908">
        <v>5</v>
      </c>
      <c r="E23" s="908">
        <v>45</v>
      </c>
      <c r="F23" s="927">
        <v>132</v>
      </c>
      <c r="G23" s="910">
        <v>2366.1999999999998</v>
      </c>
      <c r="H23" s="910">
        <v>210</v>
      </c>
      <c r="I23" s="935"/>
      <c r="J23" s="935"/>
      <c r="K23" s="912">
        <v>71031</v>
      </c>
      <c r="L23" s="912">
        <v>69719.570000000007</v>
      </c>
      <c r="M23" s="939"/>
      <c r="N23" s="939"/>
      <c r="O23" s="912">
        <f>P23+Q23+R23+S23+T23+U23+V23+W23</f>
        <v>4137.6000000000004</v>
      </c>
      <c r="P23" s="928"/>
      <c r="Q23" s="912"/>
      <c r="R23" s="855">
        <v>4137.6000000000004</v>
      </c>
      <c r="S23" s="855"/>
      <c r="T23" s="855"/>
      <c r="U23" s="855"/>
      <c r="V23" s="855"/>
      <c r="W23" s="855"/>
      <c r="X23" s="855">
        <f>K23-O23</f>
        <v>66893.399999999994</v>
      </c>
      <c r="Y23" s="855">
        <f>L23/K23*100</f>
        <v>98.153721614506352</v>
      </c>
      <c r="Z23" s="855">
        <f>O23/G23/6</f>
        <v>0.29143774828839492</v>
      </c>
      <c r="AA23" s="855">
        <v>5</v>
      </c>
      <c r="AB23" s="736">
        <f>K23-L23</f>
        <v>1311.429999999993</v>
      </c>
      <c r="AC23" s="250"/>
      <c r="AD23" s="250"/>
      <c r="AE23" s="250"/>
      <c r="AF23" s="250"/>
      <c r="AG23" s="250"/>
      <c r="AH23" s="250"/>
      <c r="AI23" s="250"/>
      <c r="AJ23" s="250"/>
      <c r="AK23" s="358"/>
      <c r="AL23" s="358"/>
      <c r="AM23" s="358"/>
      <c r="AN23" s="358"/>
      <c r="AO23" s="358"/>
      <c r="AP23" s="358"/>
    </row>
    <row r="24" spans="1:42" ht="15" customHeight="1" x14ac:dyDescent="0.25">
      <c r="A24" s="5">
        <v>2</v>
      </c>
      <c r="B24" s="43" t="s">
        <v>18</v>
      </c>
      <c r="C24" s="737">
        <v>1977</v>
      </c>
      <c r="D24" s="737">
        <v>5</v>
      </c>
      <c r="E24" s="737">
        <v>45</v>
      </c>
      <c r="F24" s="929">
        <v>117</v>
      </c>
      <c r="G24" s="738">
        <v>2363.9</v>
      </c>
      <c r="H24" s="738">
        <v>210</v>
      </c>
      <c r="I24" s="935"/>
      <c r="J24" s="935"/>
      <c r="K24" s="912">
        <v>70929</v>
      </c>
      <c r="L24" s="912">
        <v>67517.509999999995</v>
      </c>
      <c r="M24" s="939"/>
      <c r="N24" s="939"/>
      <c r="O24" s="912">
        <f t="shared" ref="O24:O29" si="19">P24+Q24+R24+S24+T24+U24+V24+W24</f>
        <v>4137.6000000000004</v>
      </c>
      <c r="P24" s="928"/>
      <c r="Q24" s="912"/>
      <c r="R24" s="855">
        <v>4137.6000000000004</v>
      </c>
      <c r="S24" s="855"/>
      <c r="T24" s="855"/>
      <c r="U24" s="855"/>
      <c r="V24" s="855"/>
      <c r="W24" s="855"/>
      <c r="X24" s="855">
        <f t="shared" ref="X24:X29" si="20">K24-O24</f>
        <v>66791.399999999994</v>
      </c>
      <c r="Y24" s="855">
        <f t="shared" ref="Y24:Y30" si="21">L24/K24*100</f>
        <v>95.190274781824073</v>
      </c>
      <c r="Z24" s="855">
        <f t="shared" ref="Z24:Z30" si="22">O24/G24/6</f>
        <v>0.29172130800795298</v>
      </c>
      <c r="AA24" s="855">
        <v>5</v>
      </c>
      <c r="AB24" s="736">
        <f t="shared" ref="AB24:AB30" si="23">K24-L24</f>
        <v>3411.4900000000052</v>
      </c>
      <c r="AC24" s="250"/>
      <c r="AD24" s="250"/>
      <c r="AE24" s="250"/>
      <c r="AF24" s="250"/>
      <c r="AG24" s="250"/>
      <c r="AH24" s="250"/>
      <c r="AI24" s="250"/>
      <c r="AJ24" s="250"/>
      <c r="AK24" s="358"/>
      <c r="AL24" s="358"/>
      <c r="AM24" s="358"/>
      <c r="AN24" s="358"/>
      <c r="AO24" s="358"/>
      <c r="AP24" s="358"/>
    </row>
    <row r="25" spans="1:42" s="124" customFormat="1" ht="15" customHeight="1" x14ac:dyDescent="0.25">
      <c r="A25" s="5">
        <v>3</v>
      </c>
      <c r="B25" s="43" t="s">
        <v>19</v>
      </c>
      <c r="C25" s="737">
        <v>1986</v>
      </c>
      <c r="D25" s="737">
        <v>3</v>
      </c>
      <c r="E25" s="737">
        <v>24</v>
      </c>
      <c r="F25" s="927">
        <v>83</v>
      </c>
      <c r="G25" s="738">
        <v>1440.6</v>
      </c>
      <c r="H25" s="738">
        <v>174</v>
      </c>
      <c r="I25" s="935"/>
      <c r="J25" s="935"/>
      <c r="K25" s="912">
        <v>43218</v>
      </c>
      <c r="L25" s="912">
        <v>41303.19</v>
      </c>
      <c r="M25" s="939"/>
      <c r="N25" s="939"/>
      <c r="O25" s="912">
        <f t="shared" si="19"/>
        <v>2288.64</v>
      </c>
      <c r="P25" s="928">
        <v>2288.64</v>
      </c>
      <c r="Q25" s="912"/>
      <c r="R25" s="855"/>
      <c r="S25" s="855"/>
      <c r="T25" s="855"/>
      <c r="U25" s="855"/>
      <c r="V25" s="855"/>
      <c r="W25" s="855"/>
      <c r="X25" s="855">
        <f t="shared" si="20"/>
        <v>40929.360000000001</v>
      </c>
      <c r="Y25" s="855">
        <f t="shared" si="21"/>
        <v>95.569415521310574</v>
      </c>
      <c r="Z25" s="855">
        <f t="shared" si="22"/>
        <v>0.26477856448701931</v>
      </c>
      <c r="AA25" s="855">
        <v>5</v>
      </c>
      <c r="AB25" s="736">
        <f t="shared" si="23"/>
        <v>1914.8099999999977</v>
      </c>
      <c r="AC25" s="250"/>
      <c r="AD25" s="250"/>
      <c r="AE25" s="250"/>
      <c r="AF25" s="250"/>
      <c r="AG25" s="250"/>
      <c r="AH25" s="250"/>
      <c r="AI25" s="250"/>
      <c r="AJ25" s="250"/>
      <c r="AK25" s="358"/>
      <c r="AL25" s="358"/>
      <c r="AM25" s="358"/>
      <c r="AN25" s="358"/>
      <c r="AO25" s="358"/>
      <c r="AP25" s="358"/>
    </row>
    <row r="26" spans="1:42" s="124" customFormat="1" ht="15" customHeight="1" x14ac:dyDescent="0.25">
      <c r="A26" s="5">
        <v>4</v>
      </c>
      <c r="B26" s="43" t="s">
        <v>20</v>
      </c>
      <c r="C26" s="737">
        <v>1992</v>
      </c>
      <c r="D26" s="737">
        <v>5</v>
      </c>
      <c r="E26" s="737">
        <v>60</v>
      </c>
      <c r="F26" s="929">
        <v>167</v>
      </c>
      <c r="G26" s="738">
        <v>3634.3</v>
      </c>
      <c r="H26" s="738">
        <v>320</v>
      </c>
      <c r="I26" s="935"/>
      <c r="J26" s="935"/>
      <c r="K26" s="912">
        <v>109050</v>
      </c>
      <c r="L26" s="912">
        <v>105672.68</v>
      </c>
      <c r="M26" s="939"/>
      <c r="N26" s="939"/>
      <c r="O26" s="912">
        <f t="shared" si="19"/>
        <v>2073.52</v>
      </c>
      <c r="P26" s="928">
        <v>2073.52</v>
      </c>
      <c r="Q26" s="912"/>
      <c r="R26" s="855"/>
      <c r="S26" s="855"/>
      <c r="T26" s="855"/>
      <c r="U26" s="855"/>
      <c r="V26" s="855"/>
      <c r="W26" s="855"/>
      <c r="X26" s="855">
        <f t="shared" si="20"/>
        <v>106976.48</v>
      </c>
      <c r="Y26" s="855">
        <f t="shared" si="21"/>
        <v>96.902961944062355</v>
      </c>
      <c r="Z26" s="855">
        <f t="shared" si="22"/>
        <v>9.5090297076924471E-2</v>
      </c>
      <c r="AA26" s="855">
        <v>5</v>
      </c>
      <c r="AB26" s="736">
        <f t="shared" si="23"/>
        <v>3377.320000000007</v>
      </c>
      <c r="AC26" s="250"/>
      <c r="AD26" s="250"/>
      <c r="AE26" s="250"/>
      <c r="AF26" s="250"/>
      <c r="AG26" s="250"/>
      <c r="AH26" s="250"/>
      <c r="AI26" s="250"/>
      <c r="AJ26" s="250"/>
      <c r="AK26" s="358"/>
      <c r="AL26" s="358"/>
      <c r="AM26" s="358"/>
      <c r="AN26" s="358"/>
      <c r="AO26" s="358"/>
      <c r="AP26" s="358"/>
    </row>
    <row r="27" spans="1:42" s="124" customFormat="1" ht="15" customHeight="1" x14ac:dyDescent="0.25">
      <c r="A27" s="5">
        <v>5</v>
      </c>
      <c r="B27" s="43" t="s">
        <v>22</v>
      </c>
      <c r="C27" s="737">
        <v>1994</v>
      </c>
      <c r="D27" s="737">
        <v>5</v>
      </c>
      <c r="E27" s="737">
        <v>60</v>
      </c>
      <c r="F27" s="927">
        <v>131</v>
      </c>
      <c r="G27" s="738">
        <v>3641.8</v>
      </c>
      <c r="H27" s="738">
        <v>320</v>
      </c>
      <c r="I27" s="935"/>
      <c r="J27" s="935"/>
      <c r="K27" s="912">
        <v>109228</v>
      </c>
      <c r="L27" s="912">
        <v>102918.82</v>
      </c>
      <c r="M27" s="939"/>
      <c r="N27" s="939"/>
      <c r="O27" s="912">
        <f t="shared" si="19"/>
        <v>1991.21</v>
      </c>
      <c r="P27" s="928">
        <v>1991.21</v>
      </c>
      <c r="Q27" s="912"/>
      <c r="R27" s="855"/>
      <c r="S27" s="855"/>
      <c r="T27" s="855"/>
      <c r="U27" s="855"/>
      <c r="V27" s="855"/>
      <c r="W27" s="855"/>
      <c r="X27" s="855">
        <f t="shared" si="20"/>
        <v>107236.79</v>
      </c>
      <c r="Y27" s="855">
        <f t="shared" si="21"/>
        <v>94.223843703079808</v>
      </c>
      <c r="Z27" s="855">
        <f t="shared" si="22"/>
        <v>9.1127555970490784E-2</v>
      </c>
      <c r="AA27" s="855">
        <v>5</v>
      </c>
      <c r="AB27" s="736">
        <f t="shared" si="23"/>
        <v>6309.179999999993</v>
      </c>
      <c r="AC27" s="250"/>
      <c r="AD27" s="250"/>
      <c r="AE27" s="250"/>
      <c r="AF27" s="250"/>
      <c r="AG27" s="250"/>
      <c r="AH27" s="250"/>
      <c r="AI27" s="250"/>
      <c r="AJ27" s="250"/>
      <c r="AK27" s="358"/>
      <c r="AL27" s="358"/>
      <c r="AM27" s="358"/>
      <c r="AN27" s="358"/>
      <c r="AO27" s="358"/>
      <c r="AP27" s="358"/>
    </row>
    <row r="28" spans="1:42" s="124" customFormat="1" ht="15" customHeight="1" x14ac:dyDescent="0.25">
      <c r="A28" s="5">
        <v>6</v>
      </c>
      <c r="B28" s="43" t="s">
        <v>21</v>
      </c>
      <c r="C28" s="737">
        <v>1981</v>
      </c>
      <c r="D28" s="737">
        <v>5</v>
      </c>
      <c r="E28" s="737">
        <v>60</v>
      </c>
      <c r="F28" s="909">
        <v>159</v>
      </c>
      <c r="G28" s="738">
        <v>3289.5</v>
      </c>
      <c r="H28" s="738">
        <v>496</v>
      </c>
      <c r="I28" s="935"/>
      <c r="J28" s="935"/>
      <c r="K28" s="912">
        <v>98763</v>
      </c>
      <c r="L28" s="912">
        <v>94626.63</v>
      </c>
      <c r="M28" s="939"/>
      <c r="N28" s="939"/>
      <c r="O28" s="912">
        <f t="shared" si="19"/>
        <v>2219.5700000000002</v>
      </c>
      <c r="P28" s="928">
        <v>2219.5700000000002</v>
      </c>
      <c r="Q28" s="912"/>
      <c r="R28" s="855"/>
      <c r="S28" s="855"/>
      <c r="T28" s="855"/>
      <c r="U28" s="855"/>
      <c r="V28" s="855"/>
      <c r="W28" s="855"/>
      <c r="X28" s="855">
        <f t="shared" si="20"/>
        <v>96543.43</v>
      </c>
      <c r="Y28" s="855">
        <f t="shared" si="21"/>
        <v>95.811822241122684</v>
      </c>
      <c r="Z28" s="855">
        <f t="shared" si="22"/>
        <v>0.11245731367482394</v>
      </c>
      <c r="AA28" s="855">
        <v>5</v>
      </c>
      <c r="AB28" s="736">
        <f t="shared" si="23"/>
        <v>4136.3699999999953</v>
      </c>
      <c r="AC28" s="250"/>
      <c r="AD28" s="250"/>
      <c r="AE28" s="250"/>
      <c r="AF28" s="358"/>
      <c r="AG28" s="358"/>
      <c r="AH28" s="358"/>
      <c r="AI28" s="358"/>
      <c r="AJ28" s="358"/>
      <c r="AK28" s="358"/>
      <c r="AL28" s="358"/>
      <c r="AM28" s="358"/>
      <c r="AN28" s="358"/>
      <c r="AO28" s="358"/>
      <c r="AP28" s="358"/>
    </row>
    <row r="29" spans="1:42" s="124" customFormat="1" ht="15" customHeight="1" x14ac:dyDescent="0.25">
      <c r="A29" s="260">
        <v>7</v>
      </c>
      <c r="B29" s="43" t="s">
        <v>311</v>
      </c>
      <c r="C29" s="737">
        <v>1993</v>
      </c>
      <c r="D29" s="737">
        <v>5</v>
      </c>
      <c r="E29" s="737">
        <v>60</v>
      </c>
      <c r="F29" s="909">
        <v>134</v>
      </c>
      <c r="G29" s="738">
        <v>3681.6</v>
      </c>
      <c r="H29" s="738"/>
      <c r="I29" s="935"/>
      <c r="J29" s="935"/>
      <c r="K29" s="912">
        <v>110440.2</v>
      </c>
      <c r="L29" s="912">
        <v>107104.32000000001</v>
      </c>
      <c r="M29" s="939"/>
      <c r="N29" s="939"/>
      <c r="O29" s="912">
        <f t="shared" si="19"/>
        <v>0</v>
      </c>
      <c r="P29" s="928"/>
      <c r="Q29" s="912"/>
      <c r="R29" s="855"/>
      <c r="S29" s="855"/>
      <c r="T29" s="855"/>
      <c r="U29" s="855"/>
      <c r="V29" s="855"/>
      <c r="W29" s="855"/>
      <c r="X29" s="855">
        <f t="shared" si="20"/>
        <v>110440.2</v>
      </c>
      <c r="Y29" s="855">
        <f t="shared" si="21"/>
        <v>96.979469432326283</v>
      </c>
      <c r="Z29" s="855">
        <f t="shared" si="22"/>
        <v>0</v>
      </c>
      <c r="AA29" s="855">
        <v>5</v>
      </c>
      <c r="AB29" s="736">
        <f t="shared" si="23"/>
        <v>3335.8799999999901</v>
      </c>
      <c r="AC29" s="250"/>
      <c r="AD29" s="250"/>
      <c r="AE29" s="250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</row>
    <row r="30" spans="1:42" s="124" customFormat="1" ht="15" customHeight="1" x14ac:dyDescent="0.25">
      <c r="A30" s="4"/>
      <c r="B30" s="4" t="s">
        <v>23</v>
      </c>
      <c r="C30" s="737"/>
      <c r="D30" s="737"/>
      <c r="E30" s="918">
        <f>SUM(E23:E29)</f>
        <v>354</v>
      </c>
      <c r="F30" s="918">
        <f>SUM(F23:F29)</f>
        <v>923</v>
      </c>
      <c r="G30" s="919">
        <f>SUM(G23:G29)</f>
        <v>20417.899999999998</v>
      </c>
      <c r="H30" s="919">
        <f>SUM(H23:H28)</f>
        <v>1730</v>
      </c>
      <c r="I30" s="936"/>
      <c r="J30" s="936"/>
      <c r="K30" s="920">
        <f t="shared" ref="K30:X30" si="24">SUM(K23:K29)</f>
        <v>612659.19999999995</v>
      </c>
      <c r="L30" s="920">
        <f t="shared" si="24"/>
        <v>588862.71999999997</v>
      </c>
      <c r="M30" s="940"/>
      <c r="N30" s="940"/>
      <c r="O30" s="920">
        <f t="shared" si="24"/>
        <v>16848.14</v>
      </c>
      <c r="P30" s="56">
        <f t="shared" si="24"/>
        <v>8572.94</v>
      </c>
      <c r="Q30" s="56">
        <f t="shared" si="24"/>
        <v>0</v>
      </c>
      <c r="R30" s="56">
        <f t="shared" si="24"/>
        <v>8275.2000000000007</v>
      </c>
      <c r="S30" s="56">
        <f t="shared" si="24"/>
        <v>0</v>
      </c>
      <c r="T30" s="56">
        <f t="shared" si="24"/>
        <v>0</v>
      </c>
      <c r="U30" s="56">
        <f t="shared" si="24"/>
        <v>0</v>
      </c>
      <c r="V30" s="56">
        <f t="shared" si="24"/>
        <v>0</v>
      </c>
      <c r="W30" s="56">
        <f t="shared" si="24"/>
        <v>0</v>
      </c>
      <c r="X30" s="56">
        <f t="shared" si="24"/>
        <v>595811.05999999994</v>
      </c>
      <c r="Y30" s="56">
        <f t="shared" si="21"/>
        <v>96.115869964900554</v>
      </c>
      <c r="Z30" s="56">
        <f t="shared" si="22"/>
        <v>0.13752752894927164</v>
      </c>
      <c r="AA30" s="56"/>
      <c r="AB30" s="762">
        <f t="shared" si="23"/>
        <v>23796.479999999981</v>
      </c>
      <c r="AC30" s="250"/>
      <c r="AD30" s="250"/>
      <c r="AE30" s="250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</row>
    <row r="31" spans="1:42" s="124" customFormat="1" ht="15" customHeight="1" x14ac:dyDescent="0.25">
      <c r="A31" s="8"/>
      <c r="B31" s="8"/>
      <c r="C31" s="8"/>
      <c r="D31" s="8"/>
      <c r="E31" s="278"/>
      <c r="F31" s="278"/>
      <c r="G31" s="279"/>
      <c r="H31" s="279"/>
      <c r="I31" s="279"/>
      <c r="J31" s="279"/>
      <c r="K31" s="280"/>
      <c r="L31" s="280"/>
      <c r="M31" s="280"/>
      <c r="N31" s="280"/>
      <c r="O31" s="280"/>
      <c r="P31" s="369" t="s">
        <v>180</v>
      </c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50"/>
      <c r="AC31" s="250"/>
      <c r="AD31" s="250"/>
      <c r="AE31" s="250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</row>
    <row r="32" spans="1:42" s="124" customFormat="1" ht="15" customHeight="1" x14ac:dyDescent="0.25">
      <c r="A32" s="8"/>
      <c r="B32" s="8"/>
      <c r="C32" s="8"/>
      <c r="D32" s="8"/>
      <c r="E32" s="278"/>
      <c r="F32" s="278"/>
      <c r="G32" s="279"/>
      <c r="H32" s="279"/>
      <c r="I32" s="279"/>
      <c r="J32" s="279"/>
      <c r="K32" s="280"/>
      <c r="L32" s="280"/>
      <c r="M32" s="280"/>
      <c r="N32" s="280"/>
      <c r="O32" s="280"/>
      <c r="P32" s="280"/>
      <c r="Q32" s="280"/>
      <c r="R32" s="280"/>
      <c r="S32" s="280"/>
      <c r="T32" s="398"/>
      <c r="U32" s="398"/>
      <c r="V32" s="398"/>
      <c r="W32" s="280"/>
      <c r="X32" s="280"/>
      <c r="Y32" s="280"/>
      <c r="Z32" s="280"/>
      <c r="AA32" s="280"/>
      <c r="AB32" s="250"/>
      <c r="AC32" s="250"/>
      <c r="AD32" s="250"/>
      <c r="AE32" s="250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</row>
    <row r="33" spans="1:42" s="124" customFormat="1" ht="18" customHeight="1" x14ac:dyDescent="0.25">
      <c r="A33" s="223"/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82"/>
      <c r="P33" s="223"/>
      <c r="Q33" s="223"/>
      <c r="R33" s="223"/>
      <c r="S33" s="234"/>
      <c r="T33" s="234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340"/>
      <c r="AG33" s="340"/>
      <c r="AH33" s="340"/>
      <c r="AI33" s="340"/>
      <c r="AJ33" s="340"/>
      <c r="AK33" s="223"/>
      <c r="AL33" s="223"/>
      <c r="AM33" s="223"/>
      <c r="AN33" s="223"/>
      <c r="AO33" s="223"/>
      <c r="AP33" s="30"/>
    </row>
    <row r="34" spans="1:42" ht="18" customHeight="1" x14ac:dyDescent="0.25">
      <c r="A34" s="223"/>
      <c r="B34" s="223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86"/>
      <c r="P34" s="286"/>
      <c r="Q34" s="286"/>
      <c r="R34" s="286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340"/>
      <c r="AG34" s="340"/>
      <c r="AH34" s="340"/>
      <c r="AI34" s="340"/>
      <c r="AJ34" s="340"/>
      <c r="AK34" s="223"/>
      <c r="AL34" s="223"/>
      <c r="AM34" s="223"/>
      <c r="AN34" s="223"/>
      <c r="AO34" s="223"/>
      <c r="AP34" s="9"/>
    </row>
    <row r="35" spans="1:42" x14ac:dyDescent="0.25">
      <c r="A35" s="223"/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340"/>
      <c r="AG35" s="340"/>
      <c r="AH35" s="340"/>
      <c r="AI35" s="340"/>
      <c r="AJ35" s="340"/>
      <c r="AK35" s="223"/>
      <c r="AL35" s="223"/>
      <c r="AM35" s="223"/>
      <c r="AN35" s="223"/>
      <c r="AO35" s="223"/>
      <c r="AP35" s="9"/>
    </row>
    <row r="36" spans="1:42" ht="18.75" x14ac:dyDescent="0.3">
      <c r="B36" s="84" t="s">
        <v>550</v>
      </c>
      <c r="C36" s="84"/>
      <c r="D36" s="84"/>
      <c r="E36" s="84"/>
      <c r="F36" s="84"/>
      <c r="AO36" s="223"/>
      <c r="AP36" s="9"/>
    </row>
    <row r="37" spans="1:42" ht="18.75" x14ac:dyDescent="0.3">
      <c r="B37" s="1993" t="s">
        <v>627</v>
      </c>
      <c r="C37" s="1994"/>
      <c r="D37" s="1994"/>
      <c r="E37" s="1994"/>
      <c r="F37" s="1994"/>
      <c r="AO37" s="223"/>
      <c r="AP37" s="9"/>
    </row>
    <row r="38" spans="1:42" x14ac:dyDescent="0.25">
      <c r="X38" s="250"/>
      <c r="Y38" s="250"/>
      <c r="Z38" s="250"/>
      <c r="AA38" s="250"/>
      <c r="AB38" s="250"/>
      <c r="AC38" s="250"/>
      <c r="AD38" s="250"/>
      <c r="AE38" s="250"/>
      <c r="AF38" s="250"/>
      <c r="AG38" s="250"/>
      <c r="AH38" s="250"/>
      <c r="AI38" s="250"/>
      <c r="AJ38" s="250"/>
      <c r="AK38" s="250"/>
      <c r="AL38" s="250"/>
      <c r="AM38" s="250"/>
      <c r="AN38" s="250"/>
      <c r="AO38" s="250"/>
      <c r="AP38" s="250"/>
    </row>
    <row r="39" spans="1:42" ht="27" customHeight="1" x14ac:dyDescent="0.25">
      <c r="A39" s="1985" t="s">
        <v>0</v>
      </c>
      <c r="B39" s="1985" t="s">
        <v>184</v>
      </c>
      <c r="C39" s="1985" t="s">
        <v>54</v>
      </c>
      <c r="D39" s="1985" t="s">
        <v>55</v>
      </c>
      <c r="E39" s="1985" t="s">
        <v>56</v>
      </c>
      <c r="F39" s="1985" t="s">
        <v>57</v>
      </c>
      <c r="G39" s="1985" t="s">
        <v>6</v>
      </c>
      <c r="H39" s="1985" t="s">
        <v>288</v>
      </c>
      <c r="I39" s="1174"/>
      <c r="J39" s="1174"/>
      <c r="K39" s="1989" t="s">
        <v>290</v>
      </c>
      <c r="L39" s="1990"/>
      <c r="M39" s="937"/>
      <c r="N39" s="937"/>
      <c r="O39" s="1987" t="s">
        <v>376</v>
      </c>
      <c r="P39" s="1987" t="s">
        <v>332</v>
      </c>
      <c r="Q39" s="1987" t="s">
        <v>333</v>
      </c>
      <c r="R39" s="2003" t="s">
        <v>313</v>
      </c>
      <c r="S39" s="1987" t="s">
        <v>554</v>
      </c>
      <c r="T39" s="1987" t="s">
        <v>175</v>
      </c>
      <c r="U39" s="1987" t="s">
        <v>176</v>
      </c>
      <c r="V39" s="2001" t="s">
        <v>182</v>
      </c>
      <c r="W39" s="1999" t="s">
        <v>544</v>
      </c>
      <c r="X39" s="2010" t="s">
        <v>566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250"/>
      <c r="AL39" s="250"/>
      <c r="AM39" s="250"/>
      <c r="AN39" s="250"/>
      <c r="AO39" s="250"/>
      <c r="AP39" s="250"/>
    </row>
    <row r="40" spans="1:42" ht="21" customHeight="1" x14ac:dyDescent="0.25">
      <c r="A40" s="1986"/>
      <c r="B40" s="1986"/>
      <c r="C40" s="1986"/>
      <c r="D40" s="1986"/>
      <c r="E40" s="1986"/>
      <c r="F40" s="1986"/>
      <c r="G40" s="1986"/>
      <c r="H40" s="1986"/>
      <c r="I40" s="934"/>
      <c r="J40" s="934"/>
      <c r="K40" s="150" t="s">
        <v>15</v>
      </c>
      <c r="L40" s="1178" t="s">
        <v>16</v>
      </c>
      <c r="M40" s="938"/>
      <c r="N40" s="938"/>
      <c r="O40" s="1988"/>
      <c r="P40" s="1988"/>
      <c r="Q40" s="1988"/>
      <c r="R40" s="2004"/>
      <c r="S40" s="1988"/>
      <c r="T40" s="1988"/>
      <c r="U40" s="1988"/>
      <c r="V40" s="2002"/>
      <c r="W40" s="2000"/>
      <c r="X40" s="2011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</row>
    <row r="41" spans="1:42" x14ac:dyDescent="0.25">
      <c r="A41" s="2">
        <v>1</v>
      </c>
      <c r="B41" s="85" t="s">
        <v>17</v>
      </c>
      <c r="C41" s="908">
        <v>1977</v>
      </c>
      <c r="D41" s="908">
        <v>5</v>
      </c>
      <c r="E41" s="908">
        <v>45</v>
      </c>
      <c r="F41" s="927">
        <v>132</v>
      </c>
      <c r="G41" s="910">
        <v>2366.1999999999998</v>
      </c>
      <c r="H41" s="910">
        <v>207.4</v>
      </c>
      <c r="I41" s="935"/>
      <c r="J41" s="935"/>
      <c r="K41" s="912">
        <v>53557.38</v>
      </c>
      <c r="L41" s="912">
        <v>52895.09</v>
      </c>
      <c r="M41" s="939"/>
      <c r="N41" s="939"/>
      <c r="O41" s="912">
        <f>P41+Q41+R41+S41</f>
        <v>26392.753698130764</v>
      </c>
      <c r="P41" s="912"/>
      <c r="Q41" s="912"/>
      <c r="R41" s="855">
        <f>254870.6/2407.4*H41</f>
        <v>21957.365805433248</v>
      </c>
      <c r="S41" s="855">
        <f>R41*0.202</f>
        <v>4435.3878926975167</v>
      </c>
      <c r="T41" s="855">
        <f>K41-O41</f>
        <v>27164.626301869233</v>
      </c>
      <c r="U41" s="855">
        <f>L41/K41*100</f>
        <v>98.763401047624058</v>
      </c>
      <c r="V41" s="855">
        <f>O41/G41/6</f>
        <v>1.8590111922161248</v>
      </c>
      <c r="W41" s="855">
        <v>3.77</v>
      </c>
      <c r="X41" s="736">
        <f>K41-L41</f>
        <v>662.29000000000087</v>
      </c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250"/>
      <c r="AL41" s="250"/>
      <c r="AM41" s="250"/>
      <c r="AN41" s="250"/>
      <c r="AO41" s="250"/>
      <c r="AP41" s="250"/>
    </row>
    <row r="42" spans="1:42" x14ac:dyDescent="0.25">
      <c r="A42" s="5">
        <v>2</v>
      </c>
      <c r="B42" s="43" t="s">
        <v>18</v>
      </c>
      <c r="C42" s="737">
        <v>1977</v>
      </c>
      <c r="D42" s="737">
        <v>5</v>
      </c>
      <c r="E42" s="737">
        <v>45</v>
      </c>
      <c r="F42" s="929">
        <v>117</v>
      </c>
      <c r="G42" s="738">
        <v>2363.9</v>
      </c>
      <c r="H42" s="738">
        <v>207.4</v>
      </c>
      <c r="I42" s="935"/>
      <c r="J42" s="935"/>
      <c r="K42" s="912">
        <v>53480.34</v>
      </c>
      <c r="L42" s="912">
        <v>50982.6</v>
      </c>
      <c r="M42" s="939"/>
      <c r="N42" s="939"/>
      <c r="O42" s="912">
        <f t="shared" ref="O42:O47" si="25">P42+Q42+R42+S42</f>
        <v>26392.753698130764</v>
      </c>
      <c r="P42" s="912"/>
      <c r="Q42" s="912"/>
      <c r="R42" s="855">
        <f t="shared" ref="R42:R47" si="26">254870.6/2407.4*H42</f>
        <v>21957.365805433248</v>
      </c>
      <c r="S42" s="855">
        <f t="shared" ref="S42:S47" si="27">R42*0.202</f>
        <v>4435.3878926975167</v>
      </c>
      <c r="T42" s="855">
        <f t="shared" ref="T42:T47" si="28">K42-O42</f>
        <v>27087.586301869233</v>
      </c>
      <c r="U42" s="855">
        <f t="shared" ref="U42:U47" si="29">L42/K42*100</f>
        <v>95.329610843910118</v>
      </c>
      <c r="V42" s="855">
        <f t="shared" ref="V42:V48" si="30">O42/G42/6</f>
        <v>1.8608199513607995</v>
      </c>
      <c r="W42" s="855">
        <v>3.77</v>
      </c>
      <c r="X42" s="736">
        <f t="shared" ref="X42:X48" si="31">K42-L42</f>
        <v>2497.739999999998</v>
      </c>
      <c r="Y42" s="250"/>
      <c r="Z42" s="250"/>
      <c r="AA42" s="250"/>
      <c r="AB42" s="250"/>
      <c r="AC42" s="250"/>
      <c r="AD42" s="250"/>
      <c r="AE42" s="250"/>
      <c r="AF42" s="250"/>
      <c r="AG42" s="250"/>
      <c r="AH42" s="250"/>
      <c r="AI42" s="250"/>
      <c r="AJ42" s="250"/>
      <c r="AK42" s="250"/>
      <c r="AL42" s="250"/>
      <c r="AM42" s="250"/>
      <c r="AN42" s="250"/>
      <c r="AO42" s="250"/>
      <c r="AP42" s="250"/>
    </row>
    <row r="43" spans="1:42" x14ac:dyDescent="0.25">
      <c r="A43" s="5">
        <v>3</v>
      </c>
      <c r="B43" s="43" t="s">
        <v>19</v>
      </c>
      <c r="C43" s="737">
        <v>1986</v>
      </c>
      <c r="D43" s="737">
        <v>3</v>
      </c>
      <c r="E43" s="737">
        <v>24</v>
      </c>
      <c r="F43" s="927">
        <v>83</v>
      </c>
      <c r="G43" s="738">
        <v>1440.6</v>
      </c>
      <c r="H43" s="738">
        <v>174</v>
      </c>
      <c r="I43" s="935"/>
      <c r="J43" s="935"/>
      <c r="K43" s="912">
        <v>21263.279999999999</v>
      </c>
      <c r="L43" s="912">
        <v>20343.59</v>
      </c>
      <c r="M43" s="939"/>
      <c r="N43" s="939"/>
      <c r="O43" s="912">
        <f t="shared" si="25"/>
        <v>22142.425956966021</v>
      </c>
      <c r="P43" s="912"/>
      <c r="Q43" s="912"/>
      <c r="R43" s="855">
        <f t="shared" si="26"/>
        <v>18421.319431752097</v>
      </c>
      <c r="S43" s="855">
        <f t="shared" si="27"/>
        <v>3721.1065252139238</v>
      </c>
      <c r="T43" s="855">
        <f t="shared" si="28"/>
        <v>-879.14595696602191</v>
      </c>
      <c r="U43" s="855">
        <f t="shared" si="29"/>
        <v>95.674750085593573</v>
      </c>
      <c r="V43" s="855">
        <f t="shared" si="30"/>
        <v>2.5617134014723058</v>
      </c>
      <c r="W43" s="855">
        <v>2.46</v>
      </c>
      <c r="X43" s="736">
        <f t="shared" si="31"/>
        <v>919.68999999999869</v>
      </c>
      <c r="Y43" s="250"/>
      <c r="Z43" s="250"/>
      <c r="AA43" s="250"/>
      <c r="AB43" s="250"/>
      <c r="AC43" s="250"/>
      <c r="AD43" s="250"/>
      <c r="AE43" s="250"/>
      <c r="AF43" s="250"/>
      <c r="AG43" s="250"/>
      <c r="AH43" s="250"/>
      <c r="AI43" s="250"/>
      <c r="AJ43" s="250"/>
      <c r="AK43" s="250"/>
      <c r="AL43" s="250"/>
      <c r="AM43" s="250"/>
      <c r="AN43" s="250"/>
      <c r="AO43" s="250"/>
      <c r="AP43" s="250"/>
    </row>
    <row r="44" spans="1:42" x14ac:dyDescent="0.25">
      <c r="A44" s="5">
        <v>4</v>
      </c>
      <c r="B44" s="43" t="s">
        <v>20</v>
      </c>
      <c r="C44" s="737">
        <v>1992</v>
      </c>
      <c r="D44" s="737">
        <v>5</v>
      </c>
      <c r="E44" s="737">
        <v>60</v>
      </c>
      <c r="F44" s="929">
        <v>167</v>
      </c>
      <c r="G44" s="738">
        <v>3634.3</v>
      </c>
      <c r="H44" s="738">
        <v>468.3</v>
      </c>
      <c r="I44" s="935"/>
      <c r="J44" s="935"/>
      <c r="K44" s="912">
        <v>52998.42</v>
      </c>
      <c r="L44" s="912">
        <v>51413.93</v>
      </c>
      <c r="M44" s="939"/>
      <c r="N44" s="939"/>
      <c r="O44" s="912">
        <f t="shared" si="25"/>
        <v>59593.667101420622</v>
      </c>
      <c r="P44" s="912"/>
      <c r="Q44" s="912"/>
      <c r="R44" s="855">
        <f t="shared" si="26"/>
        <v>49578.757987870733</v>
      </c>
      <c r="S44" s="855">
        <f t="shared" si="27"/>
        <v>10014.909113549889</v>
      </c>
      <c r="T44" s="855">
        <f t="shared" si="28"/>
        <v>-6595.2471014206239</v>
      </c>
      <c r="U44" s="855">
        <f t="shared" si="29"/>
        <v>97.010307099721089</v>
      </c>
      <c r="V44" s="855">
        <f t="shared" si="30"/>
        <v>2.7329273450834464</v>
      </c>
      <c r="W44" s="855">
        <v>2.4300000000000002</v>
      </c>
      <c r="X44" s="736">
        <f t="shared" si="31"/>
        <v>1584.489999999998</v>
      </c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  <c r="AI44" s="250"/>
      <c r="AJ44" s="250"/>
      <c r="AK44" s="250"/>
      <c r="AL44" s="250"/>
      <c r="AM44" s="250"/>
      <c r="AN44" s="250"/>
      <c r="AO44" s="250"/>
      <c r="AP44" s="250"/>
    </row>
    <row r="45" spans="1:42" x14ac:dyDescent="0.25">
      <c r="A45" s="5">
        <v>5</v>
      </c>
      <c r="B45" s="43" t="s">
        <v>22</v>
      </c>
      <c r="C45" s="737">
        <v>1994</v>
      </c>
      <c r="D45" s="737">
        <v>5</v>
      </c>
      <c r="E45" s="737">
        <v>60</v>
      </c>
      <c r="F45" s="909">
        <v>131</v>
      </c>
      <c r="G45" s="738">
        <v>3641.8</v>
      </c>
      <c r="H45" s="738">
        <v>468.3</v>
      </c>
      <c r="I45" s="935"/>
      <c r="J45" s="935"/>
      <c r="K45" s="912">
        <v>53301.42</v>
      </c>
      <c r="L45" s="912">
        <v>50284.160000000003</v>
      </c>
      <c r="M45" s="939"/>
      <c r="N45" s="939"/>
      <c r="O45" s="912">
        <f t="shared" si="25"/>
        <v>59593.667101420622</v>
      </c>
      <c r="P45" s="912"/>
      <c r="Q45" s="912"/>
      <c r="R45" s="855">
        <f t="shared" si="26"/>
        <v>49578.757987870733</v>
      </c>
      <c r="S45" s="855">
        <f t="shared" si="27"/>
        <v>10014.909113549889</v>
      </c>
      <c r="T45" s="855">
        <f t="shared" si="28"/>
        <v>-6292.2471014206239</v>
      </c>
      <c r="U45" s="855">
        <f t="shared" si="29"/>
        <v>94.339250248867685</v>
      </c>
      <c r="V45" s="855">
        <f t="shared" si="30"/>
        <v>2.7272990966655968</v>
      </c>
      <c r="W45" s="855">
        <v>2.44</v>
      </c>
      <c r="X45" s="736">
        <f t="shared" si="31"/>
        <v>3017.2599999999948</v>
      </c>
      <c r="Y45" s="250"/>
      <c r="Z45" s="250"/>
      <c r="AA45" s="250"/>
      <c r="AB45" s="250"/>
      <c r="AC45" s="250"/>
      <c r="AD45" s="250"/>
      <c r="AE45" s="250"/>
      <c r="AF45" s="250"/>
      <c r="AG45" s="250"/>
      <c r="AH45" s="250"/>
      <c r="AI45" s="250"/>
      <c r="AJ45" s="250"/>
      <c r="AK45" s="250"/>
      <c r="AL45" s="250"/>
      <c r="AM45" s="250"/>
      <c r="AN45" s="250"/>
      <c r="AO45" s="250"/>
      <c r="AP45" s="250"/>
    </row>
    <row r="46" spans="1:42" x14ac:dyDescent="0.25">
      <c r="A46" s="5">
        <v>6</v>
      </c>
      <c r="B46" s="43" t="s">
        <v>21</v>
      </c>
      <c r="C46" s="737">
        <v>1981</v>
      </c>
      <c r="D46" s="737">
        <v>5</v>
      </c>
      <c r="E46" s="737">
        <v>60</v>
      </c>
      <c r="F46" s="909">
        <v>159</v>
      </c>
      <c r="G46" s="738">
        <v>3289.5</v>
      </c>
      <c r="H46" s="738">
        <v>397</v>
      </c>
      <c r="I46" s="935"/>
      <c r="J46" s="935"/>
      <c r="K46" s="912">
        <v>63406.12</v>
      </c>
      <c r="L46" s="912">
        <v>60707.9</v>
      </c>
      <c r="M46" s="939"/>
      <c r="N46" s="939"/>
      <c r="O46" s="912">
        <f t="shared" si="25"/>
        <v>50520.362671928218</v>
      </c>
      <c r="P46" s="912"/>
      <c r="Q46" s="912"/>
      <c r="R46" s="855">
        <f t="shared" si="26"/>
        <v>42030.251806928631</v>
      </c>
      <c r="S46" s="855">
        <f t="shared" si="27"/>
        <v>8490.110864999584</v>
      </c>
      <c r="T46" s="855">
        <f t="shared" si="28"/>
        <v>12885.757328071784</v>
      </c>
      <c r="U46" s="855">
        <f t="shared" si="29"/>
        <v>95.744543271217353</v>
      </c>
      <c r="V46" s="855">
        <f t="shared" si="30"/>
        <v>2.5596778979545127</v>
      </c>
      <c r="W46" s="855">
        <v>3.21</v>
      </c>
      <c r="X46" s="736">
        <f t="shared" si="31"/>
        <v>2698.2200000000012</v>
      </c>
      <c r="Y46" s="250"/>
      <c r="Z46" s="250"/>
      <c r="AA46" s="250"/>
      <c r="AB46" s="250"/>
      <c r="AC46" s="250"/>
      <c r="AD46" s="250"/>
      <c r="AE46" s="250"/>
      <c r="AF46" s="250"/>
      <c r="AG46" s="250"/>
      <c r="AH46" s="250"/>
      <c r="AI46" s="250"/>
      <c r="AJ46" s="250"/>
      <c r="AK46" s="250"/>
      <c r="AL46" s="250"/>
      <c r="AM46" s="250"/>
      <c r="AN46" s="250"/>
      <c r="AO46" s="250"/>
      <c r="AP46" s="250"/>
    </row>
    <row r="47" spans="1:42" x14ac:dyDescent="0.25">
      <c r="A47" s="260">
        <v>7</v>
      </c>
      <c r="B47" s="43" t="s">
        <v>311</v>
      </c>
      <c r="C47" s="737">
        <v>1993</v>
      </c>
      <c r="D47" s="737">
        <v>5</v>
      </c>
      <c r="E47" s="737">
        <v>60</v>
      </c>
      <c r="F47" s="909">
        <v>134</v>
      </c>
      <c r="G47" s="738">
        <v>3681.6</v>
      </c>
      <c r="H47" s="738">
        <v>485</v>
      </c>
      <c r="I47" s="935"/>
      <c r="J47" s="935"/>
      <c r="K47" s="912">
        <v>70019.39</v>
      </c>
      <c r="L47" s="912">
        <v>67724.509999999995</v>
      </c>
      <c r="M47" s="939"/>
      <c r="N47" s="939"/>
      <c r="O47" s="912">
        <f t="shared" si="25"/>
        <v>61718.830972002987</v>
      </c>
      <c r="P47" s="912"/>
      <c r="Q47" s="912"/>
      <c r="R47" s="855">
        <f t="shared" si="26"/>
        <v>51346.781174711301</v>
      </c>
      <c r="S47" s="855">
        <f t="shared" si="27"/>
        <v>10372.049797291684</v>
      </c>
      <c r="T47" s="855">
        <f t="shared" si="28"/>
        <v>8300.5590279970129</v>
      </c>
      <c r="U47" s="855">
        <f t="shared" si="29"/>
        <v>96.72250786532129</v>
      </c>
      <c r="V47" s="855">
        <f t="shared" si="30"/>
        <v>2.7940221177387996</v>
      </c>
      <c r="W47" s="855">
        <v>3.17</v>
      </c>
      <c r="X47" s="736">
        <f t="shared" si="31"/>
        <v>2294.8800000000047</v>
      </c>
      <c r="Y47" s="250"/>
      <c r="Z47" s="250"/>
      <c r="AA47" s="250"/>
      <c r="AB47" s="250"/>
      <c r="AC47" s="250"/>
      <c r="AD47" s="250"/>
      <c r="AE47" s="250"/>
      <c r="AF47" s="250"/>
      <c r="AG47" s="250"/>
      <c r="AH47" s="250"/>
      <c r="AI47" s="250"/>
      <c r="AJ47" s="250"/>
      <c r="AK47" s="250"/>
      <c r="AL47" s="250"/>
      <c r="AM47" s="250"/>
      <c r="AN47" s="250"/>
      <c r="AO47" s="250"/>
      <c r="AP47" s="250"/>
    </row>
    <row r="48" spans="1:42" x14ac:dyDescent="0.25">
      <c r="A48" s="4"/>
      <c r="B48" s="4" t="s">
        <v>23</v>
      </c>
      <c r="C48" s="737"/>
      <c r="D48" s="737"/>
      <c r="E48" s="918">
        <f>SUM(E41:E47)</f>
        <v>354</v>
      </c>
      <c r="F48" s="918">
        <f>SUM(F41:F47)</f>
        <v>923</v>
      </c>
      <c r="G48" s="919">
        <f>SUM(G41:G47)</f>
        <v>20417.899999999998</v>
      </c>
      <c r="H48" s="919">
        <f>SUM(H41:H47)</f>
        <v>2407.3999999999996</v>
      </c>
      <c r="I48" s="936"/>
      <c r="J48" s="936"/>
      <c r="K48" s="920">
        <f t="shared" ref="K48:T48" si="32">SUM(K41:K47)</f>
        <v>368026.35</v>
      </c>
      <c r="L48" s="920">
        <f t="shared" si="32"/>
        <v>354351.78</v>
      </c>
      <c r="M48" s="940"/>
      <c r="N48" s="940"/>
      <c r="O48" s="920">
        <f t="shared" si="32"/>
        <v>306354.46119999996</v>
      </c>
      <c r="P48" s="56">
        <f t="shared" si="32"/>
        <v>0</v>
      </c>
      <c r="Q48" s="920">
        <f t="shared" si="32"/>
        <v>0</v>
      </c>
      <c r="R48" s="56">
        <f t="shared" si="32"/>
        <v>254870.6</v>
      </c>
      <c r="S48" s="56">
        <f t="shared" si="32"/>
        <v>51483.861200000007</v>
      </c>
      <c r="T48" s="56">
        <f t="shared" si="32"/>
        <v>61671.888799999993</v>
      </c>
      <c r="U48" s="56">
        <f>L48/K48*100</f>
        <v>96.284350291765804</v>
      </c>
      <c r="V48" s="56">
        <f t="shared" si="30"/>
        <v>2.5007016816943302</v>
      </c>
      <c r="W48" s="56"/>
      <c r="X48" s="762">
        <f t="shared" si="31"/>
        <v>13674.569999999949</v>
      </c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0"/>
      <c r="AL48" s="250"/>
      <c r="AM48" s="250"/>
      <c r="AN48" s="250"/>
      <c r="AO48" s="250"/>
      <c r="AP48" s="250"/>
    </row>
    <row r="49" spans="1:42" x14ac:dyDescent="0.25">
      <c r="A49" s="134"/>
      <c r="B49" s="223"/>
      <c r="C49" s="349"/>
      <c r="D49" s="349"/>
      <c r="E49" s="349"/>
      <c r="F49" s="349"/>
      <c r="G49" s="349"/>
      <c r="H49" s="349"/>
      <c r="I49" s="349"/>
      <c r="J49" s="349"/>
      <c r="K49" s="349"/>
      <c r="L49" s="349"/>
      <c r="M49" s="349"/>
      <c r="N49" s="349"/>
      <c r="O49" s="349"/>
      <c r="P49" s="930"/>
      <c r="Q49" s="931"/>
      <c r="R49" s="932">
        <f>R48+S48</f>
        <v>306354.46120000002</v>
      </c>
      <c r="S49" s="349"/>
      <c r="T49" s="749"/>
      <c r="U49" s="749"/>
      <c r="V49" s="349"/>
      <c r="W49" s="349"/>
      <c r="X49" s="375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  <c r="AO49" s="250"/>
      <c r="AP49" s="250"/>
    </row>
    <row r="50" spans="1:42" x14ac:dyDescent="0.25">
      <c r="A50" s="134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0"/>
      <c r="AN50" s="250"/>
      <c r="AO50" s="250"/>
      <c r="AP50" s="250"/>
    </row>
    <row r="51" spans="1:42" x14ac:dyDescent="0.25">
      <c r="A51" s="134"/>
      <c r="B51" s="223"/>
      <c r="C51" s="223"/>
      <c r="D51" s="223"/>
      <c r="E51" s="223"/>
      <c r="F51" s="223"/>
      <c r="G51" s="223"/>
      <c r="H51" s="223"/>
      <c r="I51" s="223"/>
      <c r="J51" s="223"/>
      <c r="K51" s="344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50"/>
      <c r="Y51" s="250"/>
      <c r="Z51" s="250"/>
      <c r="AA51" s="250"/>
      <c r="AB51" s="250"/>
      <c r="AC51" s="250"/>
      <c r="AD51" s="250"/>
      <c r="AE51" s="250"/>
      <c r="AF51" s="250"/>
      <c r="AG51" s="250"/>
      <c r="AH51" s="250"/>
      <c r="AI51" s="250"/>
      <c r="AJ51" s="250"/>
      <c r="AK51" s="250"/>
      <c r="AL51" s="250"/>
      <c r="AM51" s="250"/>
      <c r="AN51" s="250"/>
      <c r="AO51" s="250"/>
      <c r="AP51" s="250"/>
    </row>
    <row r="52" spans="1:42" x14ac:dyDescent="0.25">
      <c r="A52" s="223"/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343"/>
      <c r="AA52" s="343"/>
      <c r="AB52" s="343"/>
      <c r="AC52" s="343"/>
      <c r="AD52" s="343"/>
      <c r="AE52" s="343"/>
      <c r="AF52" s="343"/>
      <c r="AG52" s="343"/>
      <c r="AH52" s="343"/>
      <c r="AI52" s="223"/>
    </row>
    <row r="53" spans="1:42" ht="18.75" customHeight="1" x14ac:dyDescent="0.25">
      <c r="A53" s="223"/>
      <c r="B53" s="223"/>
      <c r="C53" s="223"/>
      <c r="D53" s="223"/>
      <c r="E53" s="22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3"/>
      <c r="Q53" s="343"/>
      <c r="R53" s="343"/>
      <c r="S53" s="223"/>
      <c r="T53" s="223"/>
      <c r="U53" s="223"/>
      <c r="V53" s="223"/>
      <c r="W53" s="223"/>
      <c r="X53" s="223"/>
      <c r="Y53" s="223"/>
      <c r="Z53" s="223"/>
      <c r="AA53" s="223"/>
      <c r="AB53" s="223"/>
      <c r="AC53" s="223"/>
      <c r="AD53" s="223"/>
      <c r="AE53" s="223"/>
      <c r="AF53" s="223"/>
      <c r="AG53" s="223"/>
      <c r="AH53" s="223"/>
      <c r="AI53" s="223"/>
    </row>
    <row r="54" spans="1:42" ht="18.75" customHeight="1" x14ac:dyDescent="0.25">
      <c r="A54" s="223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</row>
    <row r="55" spans="1:42" x14ac:dyDescent="0.25">
      <c r="A55" s="223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</row>
    <row r="56" spans="1:42" x14ac:dyDescent="0.25">
      <c r="A56" s="223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</row>
    <row r="57" spans="1:42" ht="38.25" customHeight="1" x14ac:dyDescent="0.3">
      <c r="B57" s="84" t="s">
        <v>551</v>
      </c>
      <c r="C57" s="84"/>
      <c r="D57" s="84"/>
      <c r="E57" s="84"/>
      <c r="F57" s="84"/>
      <c r="X57" s="223"/>
      <c r="Y57" s="223"/>
      <c r="Z57" s="223"/>
      <c r="AA57" s="223"/>
      <c r="AB57" s="223"/>
      <c r="AC57" s="223"/>
      <c r="AD57" s="223"/>
      <c r="AE57" s="223"/>
      <c r="AF57" s="223"/>
      <c r="AG57" s="223"/>
      <c r="AH57" s="223"/>
      <c r="AI57" s="223"/>
    </row>
    <row r="58" spans="1:42" ht="23.25" customHeight="1" x14ac:dyDescent="0.3">
      <c r="B58" s="1993" t="s">
        <v>627</v>
      </c>
      <c r="C58" s="1994"/>
      <c r="D58" s="1994"/>
      <c r="E58" s="1994"/>
      <c r="F58" s="1994"/>
      <c r="X58" s="223"/>
      <c r="Y58" s="223"/>
      <c r="Z58" s="223"/>
      <c r="AA58" s="223"/>
      <c r="AB58" s="223"/>
      <c r="AC58" s="223"/>
      <c r="AD58" s="223"/>
      <c r="AE58" s="223"/>
      <c r="AF58" s="223"/>
      <c r="AG58" s="223"/>
      <c r="AH58" s="223"/>
      <c r="AI58" s="223"/>
    </row>
    <row r="59" spans="1:42" x14ac:dyDescent="0.25">
      <c r="X59" s="223"/>
      <c r="Y59" s="223"/>
      <c r="Z59" s="223"/>
      <c r="AA59" s="223"/>
      <c r="AB59" s="223"/>
      <c r="AC59" s="223"/>
      <c r="AD59" s="223"/>
      <c r="AE59" s="223"/>
      <c r="AF59" s="223"/>
      <c r="AG59" s="223"/>
      <c r="AH59" s="223"/>
      <c r="AI59" s="223"/>
    </row>
    <row r="60" spans="1:42" ht="30" customHeight="1" x14ac:dyDescent="0.25">
      <c r="A60" s="1985" t="s">
        <v>0</v>
      </c>
      <c r="B60" s="1985" t="s">
        <v>184</v>
      </c>
      <c r="C60" s="1985" t="s">
        <v>54</v>
      </c>
      <c r="D60" s="1985" t="s">
        <v>55</v>
      </c>
      <c r="E60" s="1985" t="s">
        <v>56</v>
      </c>
      <c r="F60" s="1985" t="s">
        <v>57</v>
      </c>
      <c r="G60" s="1985" t="s">
        <v>6</v>
      </c>
      <c r="H60" s="1985" t="s">
        <v>288</v>
      </c>
      <c r="I60" s="2018"/>
      <c r="J60" s="2019"/>
      <c r="K60" s="1989" t="s">
        <v>552</v>
      </c>
      <c r="L60" s="1990"/>
      <c r="M60" s="2016"/>
      <c r="N60" s="2016"/>
      <c r="O60" s="1987" t="s">
        <v>376</v>
      </c>
      <c r="P60" s="1987" t="s">
        <v>332</v>
      </c>
      <c r="Q60" s="1987" t="s">
        <v>555</v>
      </c>
      <c r="R60" s="2003" t="s">
        <v>553</v>
      </c>
      <c r="S60" s="1987" t="s">
        <v>554</v>
      </c>
      <c r="T60" s="1987" t="s">
        <v>175</v>
      </c>
      <c r="U60" s="1987" t="s">
        <v>176</v>
      </c>
      <c r="V60" s="1999" t="s">
        <v>544</v>
      </c>
      <c r="W60" s="2010" t="s">
        <v>566</v>
      </c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</row>
    <row r="61" spans="1:42" x14ac:dyDescent="0.25">
      <c r="A61" s="1986"/>
      <c r="B61" s="1986"/>
      <c r="C61" s="1986"/>
      <c r="D61" s="1986"/>
      <c r="E61" s="1986"/>
      <c r="F61" s="1986"/>
      <c r="G61" s="1986"/>
      <c r="H61" s="1986"/>
      <c r="I61" s="941"/>
      <c r="J61" s="942"/>
      <c r="K61" s="150" t="s">
        <v>15</v>
      </c>
      <c r="L61" s="1178" t="s">
        <v>16</v>
      </c>
      <c r="M61" s="941"/>
      <c r="N61" s="942"/>
      <c r="O61" s="1988"/>
      <c r="P61" s="1988"/>
      <c r="Q61" s="1988"/>
      <c r="R61" s="2004"/>
      <c r="S61" s="1988"/>
      <c r="T61" s="1988"/>
      <c r="U61" s="1988"/>
      <c r="V61" s="2000"/>
      <c r="W61" s="2011"/>
      <c r="X61" s="223"/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</row>
    <row r="62" spans="1:42" x14ac:dyDescent="0.25">
      <c r="A62" s="2">
        <v>1</v>
      </c>
      <c r="B62" s="85" t="s">
        <v>17</v>
      </c>
      <c r="C62" s="908">
        <v>1977</v>
      </c>
      <c r="D62" s="908">
        <v>5</v>
      </c>
      <c r="E62" s="908">
        <v>45</v>
      </c>
      <c r="F62" s="927">
        <v>132</v>
      </c>
      <c r="G62" s="910">
        <v>2366.1999999999998</v>
      </c>
      <c r="H62" s="910">
        <v>207.4</v>
      </c>
      <c r="I62" s="935"/>
      <c r="J62" s="935"/>
      <c r="K62" s="912">
        <v>14206.2</v>
      </c>
      <c r="L62" s="912">
        <v>14030.5</v>
      </c>
      <c r="M62" s="939"/>
      <c r="N62" s="939"/>
      <c r="O62" s="912">
        <f>P62+Q62+R62+S62</f>
        <v>1671.5758623560696</v>
      </c>
      <c r="P62" s="912"/>
      <c r="Q62" s="912"/>
      <c r="R62" s="855">
        <f>12000/20417.9*G62</f>
        <v>1390.6621151048832</v>
      </c>
      <c r="S62" s="855">
        <f>R62*0.202</f>
        <v>280.91374725118641</v>
      </c>
      <c r="T62" s="855">
        <f>K62-O62</f>
        <v>12534.624137643932</v>
      </c>
      <c r="U62" s="855">
        <f>L62/K62*100</f>
        <v>98.763216060593265</v>
      </c>
      <c r="V62" s="855">
        <v>1</v>
      </c>
      <c r="W62" s="855">
        <f>K62-L62</f>
        <v>175.70000000000073</v>
      </c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</row>
    <row r="63" spans="1:42" x14ac:dyDescent="0.25">
      <c r="A63" s="5">
        <v>2</v>
      </c>
      <c r="B63" s="43" t="s">
        <v>18</v>
      </c>
      <c r="C63" s="737">
        <v>1977</v>
      </c>
      <c r="D63" s="737">
        <v>5</v>
      </c>
      <c r="E63" s="737">
        <v>45</v>
      </c>
      <c r="F63" s="929">
        <v>117</v>
      </c>
      <c r="G63" s="738">
        <v>2363.9</v>
      </c>
      <c r="H63" s="738">
        <v>207.4</v>
      </c>
      <c r="I63" s="935"/>
      <c r="J63" s="935"/>
      <c r="K63" s="912">
        <v>14185.8</v>
      </c>
      <c r="L63" s="912">
        <v>13523.25</v>
      </c>
      <c r="M63" s="939"/>
      <c r="N63" s="939"/>
      <c r="O63" s="912">
        <f t="shared" ref="O63:O68" si="33">P63+Q63+R63+S63</f>
        <v>1669.9510527527316</v>
      </c>
      <c r="P63" s="912"/>
      <c r="Q63" s="912"/>
      <c r="R63" s="855">
        <f t="shared" ref="R63:R68" si="34">12000/20417.9*G63</f>
        <v>1389.3103600272309</v>
      </c>
      <c r="S63" s="855">
        <f t="shared" ref="S63:S68" si="35">R63*0.202</f>
        <v>280.64069272550068</v>
      </c>
      <c r="T63" s="855">
        <f t="shared" ref="T63:T68" si="36">K63-O63</f>
        <v>12515.848947247268</v>
      </c>
      <c r="U63" s="855">
        <f t="shared" ref="U63:U69" si="37">L63/K63*100</f>
        <v>95.329484413991466</v>
      </c>
      <c r="V63" s="855">
        <v>1</v>
      </c>
      <c r="W63" s="855">
        <f t="shared" ref="W63:W69" si="38">K63-L63</f>
        <v>662.54999999999927</v>
      </c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</row>
    <row r="64" spans="1:42" x14ac:dyDescent="0.25">
      <c r="A64" s="5">
        <v>3</v>
      </c>
      <c r="B64" s="43" t="s">
        <v>19</v>
      </c>
      <c r="C64" s="737">
        <v>1986</v>
      </c>
      <c r="D64" s="737">
        <v>3</v>
      </c>
      <c r="E64" s="737">
        <v>24</v>
      </c>
      <c r="F64" s="927">
        <v>83</v>
      </c>
      <c r="G64" s="738">
        <v>1440.6</v>
      </c>
      <c r="H64" s="738">
        <v>174</v>
      </c>
      <c r="I64" s="935"/>
      <c r="J64" s="935"/>
      <c r="K64" s="912">
        <v>8643.6</v>
      </c>
      <c r="L64" s="912">
        <v>8269.7199999999993</v>
      </c>
      <c r="M64" s="939"/>
      <c r="N64" s="939"/>
      <c r="O64" s="912">
        <f t="shared" si="33"/>
        <v>1017.6959628561211</v>
      </c>
      <c r="P64" s="912"/>
      <c r="Q64" s="912"/>
      <c r="R64" s="855">
        <f t="shared" si="34"/>
        <v>846.66885428961825</v>
      </c>
      <c r="S64" s="855">
        <f t="shared" si="35"/>
        <v>171.0271085665029</v>
      </c>
      <c r="T64" s="855">
        <f t="shared" si="36"/>
        <v>7625.9040371438796</v>
      </c>
      <c r="U64" s="855">
        <f t="shared" si="37"/>
        <v>95.674487482067647</v>
      </c>
      <c r="V64" s="855">
        <v>1</v>
      </c>
      <c r="W64" s="855">
        <f t="shared" si="38"/>
        <v>373.88000000000102</v>
      </c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</row>
    <row r="65" spans="1:35" x14ac:dyDescent="0.25">
      <c r="A65" s="5">
        <v>4</v>
      </c>
      <c r="B65" s="43" t="s">
        <v>20</v>
      </c>
      <c r="C65" s="737">
        <v>1992</v>
      </c>
      <c r="D65" s="737">
        <v>5</v>
      </c>
      <c r="E65" s="737">
        <v>60</v>
      </c>
      <c r="F65" s="929">
        <v>167</v>
      </c>
      <c r="G65" s="738">
        <v>3634.3</v>
      </c>
      <c r="H65" s="738">
        <v>468.3</v>
      </c>
      <c r="I65" s="935"/>
      <c r="J65" s="935"/>
      <c r="K65" s="912">
        <v>21810</v>
      </c>
      <c r="L65" s="912">
        <v>21001.58</v>
      </c>
      <c r="M65" s="939"/>
      <c r="N65" s="939"/>
      <c r="O65" s="912">
        <f t="shared" si="33"/>
        <v>2567.4111049618223</v>
      </c>
      <c r="P65" s="912"/>
      <c r="Q65" s="912"/>
      <c r="R65" s="855">
        <f t="shared" si="34"/>
        <v>2135.9493385705678</v>
      </c>
      <c r="S65" s="855">
        <f t="shared" si="35"/>
        <v>431.46176639125474</v>
      </c>
      <c r="T65" s="855">
        <f t="shared" si="36"/>
        <v>19242.588895038178</v>
      </c>
      <c r="U65" s="855">
        <f t="shared" si="37"/>
        <v>96.293351673544265</v>
      </c>
      <c r="V65" s="855">
        <v>1</v>
      </c>
      <c r="W65" s="855">
        <f t="shared" si="38"/>
        <v>808.41999999999825</v>
      </c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</row>
    <row r="66" spans="1:35" x14ac:dyDescent="0.25">
      <c r="A66" s="5">
        <v>5</v>
      </c>
      <c r="B66" s="43" t="s">
        <v>22</v>
      </c>
      <c r="C66" s="737">
        <v>1994</v>
      </c>
      <c r="D66" s="737">
        <v>5</v>
      </c>
      <c r="E66" s="737">
        <v>60</v>
      </c>
      <c r="F66" s="909">
        <v>131</v>
      </c>
      <c r="G66" s="738">
        <v>3641.8</v>
      </c>
      <c r="H66" s="738">
        <v>468.3</v>
      </c>
      <c r="I66" s="935"/>
      <c r="J66" s="935"/>
      <c r="K66" s="912">
        <v>21844.9</v>
      </c>
      <c r="L66" s="912">
        <v>20607.509999999998</v>
      </c>
      <c r="M66" s="939"/>
      <c r="N66" s="939"/>
      <c r="O66" s="912">
        <f t="shared" si="33"/>
        <v>2572.7093971466215</v>
      </c>
      <c r="P66" s="912"/>
      <c r="Q66" s="912"/>
      <c r="R66" s="855">
        <f t="shared" si="34"/>
        <v>2140.357235562913</v>
      </c>
      <c r="S66" s="855">
        <f t="shared" si="35"/>
        <v>432.35216158370844</v>
      </c>
      <c r="T66" s="855">
        <f t="shared" si="36"/>
        <v>19272.190602853381</v>
      </c>
      <c r="U66" s="855">
        <f t="shared" si="37"/>
        <v>94.335565738456111</v>
      </c>
      <c r="V66" s="855">
        <v>1</v>
      </c>
      <c r="W66" s="855">
        <f t="shared" si="38"/>
        <v>1237.3900000000031</v>
      </c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</row>
    <row r="67" spans="1:35" x14ac:dyDescent="0.25">
      <c r="A67" s="5">
        <v>6</v>
      </c>
      <c r="B67" s="43" t="s">
        <v>21</v>
      </c>
      <c r="C67" s="737">
        <v>1981</v>
      </c>
      <c r="D67" s="737">
        <v>5</v>
      </c>
      <c r="E67" s="737">
        <v>60</v>
      </c>
      <c r="F67" s="909">
        <v>159</v>
      </c>
      <c r="G67" s="738">
        <v>3289.5</v>
      </c>
      <c r="H67" s="738">
        <v>397</v>
      </c>
      <c r="I67" s="935"/>
      <c r="J67" s="935"/>
      <c r="K67" s="912">
        <v>19752.599999999999</v>
      </c>
      <c r="L67" s="912">
        <v>18932.12</v>
      </c>
      <c r="M67" s="939"/>
      <c r="N67" s="939"/>
      <c r="O67" s="912">
        <f t="shared" si="33"/>
        <v>2323.8309522526797</v>
      </c>
      <c r="P67" s="912"/>
      <c r="Q67" s="912"/>
      <c r="R67" s="855">
        <f t="shared" si="34"/>
        <v>1933.3036208424958</v>
      </c>
      <c r="S67" s="855">
        <f t="shared" si="35"/>
        <v>390.52733141018416</v>
      </c>
      <c r="T67" s="855">
        <f t="shared" si="36"/>
        <v>17428.769047747319</v>
      </c>
      <c r="U67" s="855">
        <f t="shared" si="37"/>
        <v>95.846217713111187</v>
      </c>
      <c r="V67" s="855">
        <v>1</v>
      </c>
      <c r="W67" s="855">
        <f t="shared" si="38"/>
        <v>820.47999999999956</v>
      </c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</row>
    <row r="68" spans="1:35" x14ac:dyDescent="0.25">
      <c r="A68" s="260">
        <v>7</v>
      </c>
      <c r="B68" s="43" t="s">
        <v>311</v>
      </c>
      <c r="C68" s="737">
        <v>1993</v>
      </c>
      <c r="D68" s="737">
        <v>5</v>
      </c>
      <c r="E68" s="737">
        <v>60</v>
      </c>
      <c r="F68" s="909">
        <v>134</v>
      </c>
      <c r="G68" s="738">
        <v>3681.6</v>
      </c>
      <c r="H68" s="738">
        <v>485</v>
      </c>
      <c r="I68" s="935"/>
      <c r="J68" s="935"/>
      <c r="K68" s="912">
        <v>22088.04</v>
      </c>
      <c r="L68" s="912">
        <v>21364.16</v>
      </c>
      <c r="M68" s="939"/>
      <c r="N68" s="939"/>
      <c r="O68" s="912">
        <f t="shared" si="33"/>
        <v>2600.8256676739525</v>
      </c>
      <c r="P68" s="912"/>
      <c r="Q68" s="912"/>
      <c r="R68" s="855">
        <f t="shared" si="34"/>
        <v>2163.74847560229</v>
      </c>
      <c r="S68" s="855">
        <f t="shared" si="35"/>
        <v>437.07719207166258</v>
      </c>
      <c r="T68" s="855">
        <f t="shared" si="36"/>
        <v>19487.21433232605</v>
      </c>
      <c r="U68" s="855">
        <f t="shared" si="37"/>
        <v>96.72275131700232</v>
      </c>
      <c r="V68" s="855">
        <v>1</v>
      </c>
      <c r="W68" s="855">
        <f t="shared" si="38"/>
        <v>723.88000000000102</v>
      </c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</row>
    <row r="69" spans="1:35" x14ac:dyDescent="0.25">
      <c r="A69" s="4"/>
      <c r="B69" s="4" t="s">
        <v>23</v>
      </c>
      <c r="C69" s="737"/>
      <c r="D69" s="737"/>
      <c r="E69" s="918">
        <f>SUM(E62:E68)</f>
        <v>354</v>
      </c>
      <c r="F69" s="918">
        <f>SUM(F62:F68)</f>
        <v>923</v>
      </c>
      <c r="G69" s="919">
        <f>SUM(G62:G68)</f>
        <v>20417.899999999998</v>
      </c>
      <c r="H69" s="919">
        <f>SUM(H62:H68)</f>
        <v>2407.3999999999996</v>
      </c>
      <c r="I69" s="936"/>
      <c r="J69" s="936"/>
      <c r="K69" s="920">
        <f t="shared" ref="K69:T69" si="39">SUM(K62:K68)</f>
        <v>122531.14000000001</v>
      </c>
      <c r="L69" s="920">
        <f t="shared" si="39"/>
        <v>117728.84</v>
      </c>
      <c r="M69" s="940"/>
      <c r="N69" s="940"/>
      <c r="O69" s="920">
        <f t="shared" si="39"/>
        <v>14423.999999999998</v>
      </c>
      <c r="P69" s="56">
        <f t="shared" si="39"/>
        <v>0</v>
      </c>
      <c r="Q69" s="920">
        <f t="shared" si="39"/>
        <v>0</v>
      </c>
      <c r="R69" s="56">
        <f t="shared" si="39"/>
        <v>11999.999999999998</v>
      </c>
      <c r="S69" s="56">
        <f t="shared" si="39"/>
        <v>2424</v>
      </c>
      <c r="T69" s="56">
        <f t="shared" si="39"/>
        <v>108107.14000000001</v>
      </c>
      <c r="U69" s="56">
        <f t="shared" si="37"/>
        <v>96.080751391034141</v>
      </c>
      <c r="V69" s="56"/>
      <c r="W69" s="56">
        <f t="shared" si="38"/>
        <v>4802.3000000000175</v>
      </c>
      <c r="X69" s="223"/>
      <c r="Y69" s="223"/>
      <c r="Z69" s="223"/>
      <c r="AA69" s="223"/>
      <c r="AB69" s="223"/>
      <c r="AC69" s="223"/>
      <c r="AD69" s="223"/>
      <c r="AE69" s="223"/>
      <c r="AF69" s="223"/>
      <c r="AG69" s="223"/>
      <c r="AH69" s="223"/>
      <c r="AI69" s="223"/>
    </row>
    <row r="70" spans="1:35" x14ac:dyDescent="0.25">
      <c r="A70" s="223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346">
        <f>R69+S69</f>
        <v>14423.999999999998</v>
      </c>
      <c r="S70" s="223"/>
      <c r="T70" s="223"/>
      <c r="U70" s="223"/>
      <c r="V70" s="223"/>
      <c r="W70" s="223"/>
      <c r="X70" s="223"/>
      <c r="Y70" s="223"/>
      <c r="Z70" s="223"/>
      <c r="AA70" s="223"/>
      <c r="AB70" s="223"/>
      <c r="AC70" s="223"/>
      <c r="AD70" s="223"/>
      <c r="AE70" s="223"/>
      <c r="AF70" s="223"/>
      <c r="AG70" s="223"/>
      <c r="AH70" s="223"/>
      <c r="AI70" s="223"/>
    </row>
    <row r="71" spans="1:35" x14ac:dyDescent="0.25">
      <c r="A71" s="223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  <c r="AA71" s="223"/>
      <c r="AB71" s="223"/>
      <c r="AC71" s="223"/>
      <c r="AD71" s="223"/>
      <c r="AE71" s="223"/>
      <c r="AF71" s="223"/>
      <c r="AG71" s="223"/>
      <c r="AH71" s="223"/>
      <c r="AI71" s="223"/>
    </row>
    <row r="72" spans="1:35" x14ac:dyDescent="0.25">
      <c r="A72" s="223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  <c r="AA72" s="223"/>
      <c r="AB72" s="223"/>
      <c r="AC72" s="223"/>
      <c r="AD72" s="223"/>
      <c r="AE72" s="223"/>
      <c r="AF72" s="223"/>
      <c r="AG72" s="223"/>
      <c r="AH72" s="223"/>
      <c r="AI72" s="223"/>
    </row>
    <row r="73" spans="1:35" x14ac:dyDescent="0.25">
      <c r="A73" s="223"/>
      <c r="B73" s="223"/>
      <c r="C73" s="223"/>
      <c r="D73" s="223"/>
      <c r="E73" s="223"/>
      <c r="F73" s="223"/>
      <c r="G73" s="344"/>
      <c r="H73" s="223"/>
      <c r="I73" s="223"/>
      <c r="J73" s="223"/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  <c r="AA73" s="223"/>
      <c r="AB73" s="223"/>
      <c r="AC73" s="223"/>
      <c r="AD73" s="223"/>
      <c r="AE73" s="223"/>
      <c r="AF73" s="223"/>
      <c r="AG73" s="223"/>
      <c r="AH73" s="223"/>
      <c r="AI73" s="223"/>
    </row>
    <row r="74" spans="1:35" x14ac:dyDescent="0.25">
      <c r="A74" s="223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  <c r="AA74" s="223"/>
      <c r="AB74" s="223"/>
      <c r="AC74" s="223"/>
      <c r="AD74" s="223"/>
      <c r="AE74" s="223"/>
      <c r="AF74" s="223"/>
      <c r="AG74" s="223"/>
      <c r="AH74" s="223"/>
      <c r="AI74" s="223"/>
    </row>
    <row r="75" spans="1:35" x14ac:dyDescent="0.25">
      <c r="A75" s="223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223"/>
      <c r="Z75" s="223"/>
      <c r="AA75" s="223"/>
      <c r="AB75" s="223"/>
      <c r="AC75" s="223"/>
      <c r="AD75" s="223"/>
      <c r="AE75" s="223"/>
      <c r="AF75" s="223"/>
      <c r="AG75" s="223"/>
      <c r="AH75" s="223"/>
      <c r="AI75" s="223"/>
    </row>
    <row r="76" spans="1:35" x14ac:dyDescent="0.25">
      <c r="A76" s="223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  <c r="AI76" s="223"/>
    </row>
    <row r="77" spans="1:35" x14ac:dyDescent="0.25">
      <c r="A77" s="223"/>
      <c r="B77" s="223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3"/>
      <c r="AB77" s="223"/>
      <c r="AC77" s="223"/>
      <c r="AD77" s="223"/>
      <c r="AE77" s="223"/>
      <c r="AF77" s="223"/>
      <c r="AG77" s="223"/>
      <c r="AH77" s="223"/>
      <c r="AI77" s="223"/>
    </row>
    <row r="78" spans="1:35" x14ac:dyDescent="0.25">
      <c r="A78" s="223"/>
      <c r="B78" s="608" t="s">
        <v>595</v>
      </c>
      <c r="C78" s="609"/>
      <c r="D78" s="609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</row>
    <row r="79" spans="1:35" x14ac:dyDescent="0.25">
      <c r="A79" s="223"/>
      <c r="B79" s="608" t="s">
        <v>599</v>
      </c>
      <c r="C79" s="608"/>
      <c r="D79" s="608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</row>
    <row r="80" spans="1:35" x14ac:dyDescent="0.25">
      <c r="A80" s="223"/>
      <c r="B80" s="608" t="s">
        <v>596</v>
      </c>
      <c r="C80" s="608"/>
      <c r="D80" s="608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</row>
    <row r="81" spans="1:35" x14ac:dyDescent="0.25">
      <c r="A81" s="223"/>
      <c r="B81" s="608" t="s">
        <v>597</v>
      </c>
      <c r="C81" s="608"/>
      <c r="D81" s="608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</row>
    <row r="82" spans="1:35" x14ac:dyDescent="0.25">
      <c r="A82" s="223"/>
      <c r="B82" s="223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</row>
    <row r="83" spans="1:35" x14ac:dyDescent="0.25">
      <c r="A83" s="223"/>
      <c r="B83" s="223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</row>
    <row r="84" spans="1:35" x14ac:dyDescent="0.25">
      <c r="A84" s="223"/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</row>
    <row r="85" spans="1:35" x14ac:dyDescent="0.25">
      <c r="A85" s="223"/>
      <c r="B85" s="223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</row>
    <row r="86" spans="1:35" x14ac:dyDescent="0.25">
      <c r="A86" s="223"/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</row>
    <row r="87" spans="1:35" x14ac:dyDescent="0.25">
      <c r="A87" s="223"/>
      <c r="B87" s="223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</row>
    <row r="88" spans="1:35" x14ac:dyDescent="0.25">
      <c r="A88" s="223"/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</row>
    <row r="89" spans="1:35" x14ac:dyDescent="0.25">
      <c r="A89" s="223"/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</row>
    <row r="90" spans="1:35" x14ac:dyDescent="0.25">
      <c r="A90" s="223"/>
      <c r="B90" s="223"/>
      <c r="C90" s="223"/>
      <c r="D90" s="223"/>
      <c r="E90" s="223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</row>
    <row r="91" spans="1:35" x14ac:dyDescent="0.25">
      <c r="A91" s="223"/>
      <c r="B91" s="223"/>
      <c r="C91" s="223"/>
      <c r="D91" s="223"/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</row>
    <row r="92" spans="1:35" x14ac:dyDescent="0.25">
      <c r="A92" s="223"/>
      <c r="B92" s="223"/>
      <c r="C92" s="223"/>
      <c r="D92" s="223"/>
      <c r="E92" s="223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</row>
    <row r="93" spans="1:35" x14ac:dyDescent="0.25">
      <c r="A93" s="223"/>
      <c r="B93" s="223"/>
      <c r="C93" s="223"/>
      <c r="D93" s="223"/>
      <c r="E93" s="223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</row>
    <row r="94" spans="1:35" x14ac:dyDescent="0.25">
      <c r="A94" s="223"/>
      <c r="B94" s="223"/>
      <c r="C94" s="223"/>
      <c r="D94" s="223"/>
      <c r="E94" s="223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</row>
    <row r="95" spans="1:35" x14ac:dyDescent="0.25">
      <c r="A95" s="223"/>
      <c r="B95" s="223"/>
      <c r="C95" s="223"/>
      <c r="D95" s="223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</row>
    <row r="96" spans="1:35" x14ac:dyDescent="0.25">
      <c r="A96" s="223"/>
      <c r="B96" s="223"/>
      <c r="C96" s="223"/>
      <c r="D96" s="223"/>
      <c r="E96" s="223"/>
      <c r="F96" s="223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</row>
    <row r="97" spans="1:41" x14ac:dyDescent="0.25">
      <c r="A97" s="223"/>
      <c r="B97" s="223"/>
      <c r="C97" s="223"/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</row>
    <row r="98" spans="1:41" x14ac:dyDescent="0.25">
      <c r="A98" s="223"/>
      <c r="B98" s="223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</row>
    <row r="99" spans="1:41" x14ac:dyDescent="0.25">
      <c r="A99" s="223"/>
      <c r="B99" s="223"/>
      <c r="C99" s="223"/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</row>
    <row r="100" spans="1:41" x14ac:dyDescent="0.25">
      <c r="A100" s="223"/>
      <c r="B100" s="223"/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</row>
    <row r="101" spans="1:41" x14ac:dyDescent="0.25">
      <c r="A101" s="223"/>
      <c r="B101" s="223"/>
      <c r="C101" s="223"/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</row>
    <row r="102" spans="1:41" ht="18.75" customHeight="1" x14ac:dyDescent="0.25">
      <c r="A102" s="223"/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</row>
    <row r="103" spans="1:41" ht="18.75" x14ac:dyDescent="0.3">
      <c r="B103" s="1993"/>
      <c r="C103" s="1994"/>
      <c r="D103" s="1994"/>
      <c r="E103" s="1994"/>
      <c r="F103" s="1994"/>
    </row>
    <row r="104" spans="1:41" x14ac:dyDescent="0.25"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  <c r="AK104" s="250"/>
      <c r="AL104" s="250"/>
      <c r="AM104" s="250"/>
      <c r="AN104" s="250"/>
      <c r="AO104" s="250"/>
    </row>
    <row r="105" spans="1:41" x14ac:dyDescent="0.25">
      <c r="A105" s="1985"/>
      <c r="B105" s="1985"/>
      <c r="C105" s="1985"/>
      <c r="D105" s="1985"/>
      <c r="E105" s="1985"/>
      <c r="F105" s="1985"/>
      <c r="G105" s="1985"/>
      <c r="H105" s="1985"/>
      <c r="I105" s="1176"/>
      <c r="J105" s="1176"/>
      <c r="K105" s="1989"/>
      <c r="L105" s="1990"/>
      <c r="M105" s="1177"/>
      <c r="N105" s="1177"/>
      <c r="O105" s="1987"/>
      <c r="P105" s="2014"/>
      <c r="Q105" s="2014"/>
      <c r="R105" s="2012"/>
      <c r="S105" s="2012"/>
      <c r="T105" s="2012"/>
      <c r="U105" s="2012"/>
      <c r="V105" s="2012"/>
      <c r="W105" s="2012"/>
      <c r="X105" s="276"/>
      <c r="Y105" s="277"/>
      <c r="Z105" s="277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50"/>
      <c r="AL105" s="250"/>
      <c r="AM105" s="250"/>
      <c r="AN105" s="250"/>
      <c r="AO105" s="250"/>
    </row>
    <row r="106" spans="1:41" x14ac:dyDescent="0.25">
      <c r="A106" s="1986"/>
      <c r="B106" s="1986"/>
      <c r="C106" s="1986"/>
      <c r="D106" s="1986"/>
      <c r="E106" s="1986"/>
      <c r="F106" s="1986"/>
      <c r="G106" s="1986"/>
      <c r="H106" s="1986"/>
      <c r="I106" s="605"/>
      <c r="J106" s="605"/>
      <c r="K106" s="150"/>
      <c r="L106" s="1178"/>
      <c r="M106" s="1175"/>
      <c r="N106" s="1175"/>
      <c r="O106" s="1988"/>
      <c r="P106" s="2015"/>
      <c r="Q106" s="2015"/>
      <c r="R106" s="2013"/>
      <c r="S106" s="2013"/>
      <c r="T106" s="2013"/>
      <c r="U106" s="2013"/>
      <c r="V106" s="2013"/>
      <c r="W106" s="2013"/>
      <c r="X106" s="221"/>
      <c r="Y106" s="221"/>
      <c r="Z106" s="221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50"/>
      <c r="AL106" s="250"/>
      <c r="AM106" s="250"/>
      <c r="AN106" s="250"/>
      <c r="AO106" s="250"/>
    </row>
    <row r="107" spans="1:41" x14ac:dyDescent="0.25">
      <c r="A107" s="2"/>
      <c r="B107" s="85"/>
      <c r="C107" s="3"/>
      <c r="D107" s="3"/>
      <c r="E107" s="6"/>
      <c r="F107" s="261"/>
      <c r="G107" s="31"/>
      <c r="H107" s="31"/>
      <c r="I107" s="606"/>
      <c r="J107" s="606"/>
      <c r="K107" s="91"/>
      <c r="L107" s="91"/>
      <c r="M107" s="91"/>
      <c r="N107" s="91"/>
      <c r="O107" s="91"/>
      <c r="P107" s="91"/>
      <c r="Q107" s="91"/>
      <c r="R107" s="23"/>
      <c r="S107" s="23"/>
      <c r="T107" s="23"/>
      <c r="U107" s="23"/>
      <c r="V107" s="23"/>
      <c r="W107" s="23"/>
      <c r="X107" s="274"/>
      <c r="Y107" s="274"/>
      <c r="Z107" s="341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50"/>
      <c r="AL107" s="250"/>
      <c r="AM107" s="250"/>
      <c r="AN107" s="250"/>
      <c r="AO107" s="250"/>
    </row>
    <row r="108" spans="1:41" x14ac:dyDescent="0.25">
      <c r="A108" s="5"/>
      <c r="B108" s="43"/>
      <c r="C108" s="6"/>
      <c r="D108" s="6"/>
      <c r="E108" s="6"/>
      <c r="F108" s="261"/>
      <c r="G108" s="18"/>
      <c r="H108" s="18"/>
      <c r="I108" s="606"/>
      <c r="J108" s="606"/>
      <c r="K108" s="91"/>
      <c r="L108" s="91"/>
      <c r="M108" s="91"/>
      <c r="N108" s="91"/>
      <c r="O108" s="91"/>
      <c r="P108" s="91"/>
      <c r="Q108" s="91"/>
      <c r="R108" s="23"/>
      <c r="S108" s="23"/>
      <c r="T108" s="23"/>
      <c r="U108" s="23"/>
      <c r="V108" s="23"/>
      <c r="W108" s="23"/>
      <c r="X108" s="274"/>
      <c r="Y108" s="274"/>
      <c r="Z108" s="341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  <c r="AK108" s="250"/>
      <c r="AL108" s="250"/>
      <c r="AM108" s="250"/>
      <c r="AN108" s="250"/>
      <c r="AO108" s="250"/>
    </row>
    <row r="109" spans="1:41" x14ac:dyDescent="0.25">
      <c r="A109" s="5"/>
      <c r="B109" s="43"/>
      <c r="C109" s="6"/>
      <c r="D109" s="6"/>
      <c r="E109" s="6"/>
      <c r="F109" s="261"/>
      <c r="G109" s="18"/>
      <c r="H109" s="18"/>
      <c r="I109" s="606"/>
      <c r="J109" s="606"/>
      <c r="K109" s="91"/>
      <c r="L109" s="91"/>
      <c r="M109" s="91"/>
      <c r="N109" s="91"/>
      <c r="O109" s="91"/>
      <c r="P109" s="91"/>
      <c r="Q109" s="91"/>
      <c r="R109" s="23"/>
      <c r="S109" s="23"/>
      <c r="T109" s="23"/>
      <c r="U109" s="23"/>
      <c r="V109" s="23"/>
      <c r="W109" s="23"/>
      <c r="X109" s="274"/>
      <c r="Y109" s="274"/>
      <c r="Z109" s="341"/>
      <c r="AA109" s="250"/>
      <c r="AB109" s="250"/>
      <c r="AC109" s="250"/>
      <c r="AD109" s="250"/>
      <c r="AE109" s="250"/>
      <c r="AF109" s="250"/>
      <c r="AG109" s="250"/>
      <c r="AH109" s="250"/>
      <c r="AI109" s="250"/>
      <c r="AJ109" s="250"/>
      <c r="AK109" s="250"/>
      <c r="AL109" s="250"/>
      <c r="AM109" s="250"/>
      <c r="AN109" s="250"/>
      <c r="AO109" s="250"/>
    </row>
    <row r="110" spans="1:41" x14ac:dyDescent="0.25">
      <c r="A110" s="5"/>
      <c r="B110" s="43"/>
      <c r="C110" s="6"/>
      <c r="D110" s="6"/>
      <c r="E110" s="6"/>
      <c r="F110" s="261"/>
      <c r="G110" s="18"/>
      <c r="H110" s="18"/>
      <c r="I110" s="606"/>
      <c r="J110" s="606"/>
      <c r="K110" s="91"/>
      <c r="L110" s="91"/>
      <c r="M110" s="91"/>
      <c r="N110" s="91"/>
      <c r="O110" s="91"/>
      <c r="P110" s="91"/>
      <c r="Q110" s="91"/>
      <c r="R110" s="23"/>
      <c r="S110" s="23"/>
      <c r="T110" s="23"/>
      <c r="U110" s="23"/>
      <c r="V110" s="23"/>
      <c r="W110" s="23"/>
      <c r="X110" s="274"/>
      <c r="Y110" s="274"/>
      <c r="Z110" s="341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  <c r="AK110" s="250"/>
      <c r="AL110" s="250"/>
      <c r="AM110" s="250"/>
      <c r="AN110" s="250"/>
      <c r="AO110" s="250"/>
    </row>
    <row r="111" spans="1:41" x14ac:dyDescent="0.25">
      <c r="A111" s="5"/>
      <c r="B111" s="43"/>
      <c r="C111" s="6"/>
      <c r="D111" s="6"/>
      <c r="E111" s="6"/>
      <c r="F111" s="261"/>
      <c r="G111" s="18"/>
      <c r="H111" s="18"/>
      <c r="I111" s="606"/>
      <c r="J111" s="606"/>
      <c r="K111" s="91"/>
      <c r="L111" s="91"/>
      <c r="M111" s="91"/>
      <c r="N111" s="91"/>
      <c r="O111" s="91"/>
      <c r="P111" s="91"/>
      <c r="Q111" s="91"/>
      <c r="R111" s="23"/>
      <c r="S111" s="23"/>
      <c r="T111" s="23"/>
      <c r="U111" s="23"/>
      <c r="V111" s="23"/>
      <c r="W111" s="23"/>
      <c r="X111" s="274"/>
      <c r="Y111" s="274"/>
      <c r="Z111" s="341"/>
      <c r="AA111" s="250"/>
      <c r="AB111" s="250"/>
      <c r="AC111" s="250"/>
      <c r="AD111" s="250"/>
      <c r="AE111" s="250"/>
      <c r="AF111" s="250"/>
      <c r="AG111" s="250"/>
      <c r="AH111" s="250"/>
      <c r="AI111" s="250"/>
      <c r="AJ111" s="250"/>
      <c r="AK111" s="250"/>
      <c r="AL111" s="250"/>
      <c r="AM111" s="250"/>
      <c r="AN111" s="250"/>
      <c r="AO111" s="250"/>
    </row>
    <row r="112" spans="1:41" x14ac:dyDescent="0.25">
      <c r="A112" s="5"/>
      <c r="B112" s="43"/>
      <c r="C112" s="6"/>
      <c r="D112" s="6"/>
      <c r="E112" s="6"/>
      <c r="F112" s="261"/>
      <c r="G112" s="18"/>
      <c r="H112" s="18"/>
      <c r="I112" s="606"/>
      <c r="J112" s="606"/>
      <c r="K112" s="91"/>
      <c r="L112" s="91"/>
      <c r="M112" s="91"/>
      <c r="N112" s="91"/>
      <c r="O112" s="91"/>
      <c r="P112" s="91"/>
      <c r="Q112" s="91"/>
      <c r="R112" s="23"/>
      <c r="S112" s="23"/>
      <c r="T112" s="23"/>
      <c r="U112" s="23"/>
      <c r="V112" s="23"/>
      <c r="W112" s="23"/>
      <c r="X112" s="274"/>
      <c r="Y112" s="274"/>
      <c r="Z112" s="341"/>
      <c r="AA112" s="250"/>
      <c r="AB112" s="250"/>
      <c r="AC112" s="250"/>
      <c r="AD112" s="250"/>
      <c r="AE112" s="250"/>
      <c r="AF112" s="250"/>
      <c r="AG112" s="250"/>
      <c r="AH112" s="250"/>
      <c r="AI112" s="250"/>
      <c r="AJ112" s="250"/>
      <c r="AK112" s="250"/>
      <c r="AL112" s="250"/>
      <c r="AM112" s="250"/>
      <c r="AN112" s="250"/>
      <c r="AO112" s="250"/>
    </row>
    <row r="113" spans="1:41" x14ac:dyDescent="0.25">
      <c r="A113" s="260"/>
      <c r="B113" s="43"/>
      <c r="C113" s="6"/>
      <c r="D113" s="6"/>
      <c r="E113" s="6"/>
      <c r="F113" s="261"/>
      <c r="G113" s="18"/>
      <c r="H113" s="18"/>
      <c r="I113" s="606"/>
      <c r="J113" s="606"/>
      <c r="K113" s="91"/>
      <c r="L113" s="91"/>
      <c r="M113" s="91"/>
      <c r="N113" s="91"/>
      <c r="O113" s="91"/>
      <c r="P113" s="91"/>
      <c r="Q113" s="91"/>
      <c r="R113" s="23"/>
      <c r="S113" s="23"/>
      <c r="T113" s="23"/>
      <c r="U113" s="23"/>
      <c r="V113" s="23"/>
      <c r="W113" s="23"/>
      <c r="X113" s="274"/>
      <c r="Y113" s="274"/>
      <c r="Z113" s="341"/>
      <c r="AA113" s="250"/>
      <c r="AB113" s="250"/>
      <c r="AC113" s="250"/>
      <c r="AD113" s="250"/>
      <c r="AE113" s="250"/>
      <c r="AF113" s="250"/>
      <c r="AG113" s="250"/>
      <c r="AH113" s="250"/>
      <c r="AI113" s="250"/>
      <c r="AJ113" s="250"/>
      <c r="AK113" s="250"/>
      <c r="AL113" s="250"/>
      <c r="AM113" s="250"/>
      <c r="AN113" s="250"/>
      <c r="AO113" s="250"/>
    </row>
    <row r="114" spans="1:41" x14ac:dyDescent="0.25">
      <c r="A114" s="4"/>
      <c r="B114" s="4"/>
      <c r="C114" s="4"/>
      <c r="D114" s="4"/>
      <c r="E114" s="57"/>
      <c r="F114" s="57"/>
      <c r="G114" s="156"/>
      <c r="H114" s="156"/>
      <c r="I114" s="607"/>
      <c r="J114" s="607"/>
      <c r="K114" s="132"/>
      <c r="L114" s="132"/>
      <c r="M114" s="132"/>
      <c r="N114" s="132"/>
      <c r="O114" s="132"/>
      <c r="P114" s="49"/>
      <c r="Q114" s="132"/>
      <c r="R114" s="49"/>
      <c r="S114" s="56"/>
      <c r="T114" s="49"/>
      <c r="U114" s="49"/>
      <c r="V114" s="49"/>
      <c r="W114" s="49"/>
      <c r="X114" s="275"/>
      <c r="Y114" s="275"/>
      <c r="Z114" s="342"/>
      <c r="AA114" s="250"/>
      <c r="AB114" s="250"/>
      <c r="AC114" s="250"/>
      <c r="AD114" s="250"/>
      <c r="AE114" s="250"/>
      <c r="AF114" s="250"/>
      <c r="AG114" s="250"/>
      <c r="AH114" s="250"/>
      <c r="AI114" s="250"/>
      <c r="AJ114" s="250"/>
      <c r="AK114" s="250"/>
      <c r="AL114" s="250"/>
      <c r="AM114" s="250"/>
      <c r="AN114" s="250"/>
      <c r="AO114" s="250"/>
    </row>
    <row r="115" spans="1:4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158"/>
      <c r="V115" s="158"/>
      <c r="W115" s="158"/>
      <c r="X115" s="158"/>
      <c r="Y115" s="158"/>
      <c r="Z115" s="158"/>
      <c r="AA115" s="250"/>
      <c r="AB115" s="250"/>
      <c r="AC115" s="250"/>
      <c r="AD115" s="250"/>
      <c r="AE115" s="250"/>
      <c r="AF115" s="250"/>
      <c r="AG115" s="250"/>
      <c r="AH115" s="250"/>
      <c r="AI115" s="250"/>
      <c r="AJ115" s="250"/>
      <c r="AK115" s="250"/>
      <c r="AL115" s="250"/>
      <c r="AM115" s="250"/>
      <c r="AN115" s="250"/>
      <c r="AO115" s="250"/>
    </row>
    <row r="116" spans="1:41" x14ac:dyDescent="0.25">
      <c r="A116" s="285"/>
      <c r="B116" s="284"/>
      <c r="C116" s="284"/>
      <c r="D116" s="9"/>
      <c r="E116" s="285"/>
      <c r="F116" s="9"/>
      <c r="G116" s="9"/>
      <c r="H116" s="9"/>
      <c r="I116" s="9"/>
      <c r="J116" s="9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</row>
    <row r="117" spans="1:41" x14ac:dyDescent="0.25">
      <c r="A117" s="9"/>
      <c r="B117" s="9"/>
      <c r="C117" s="9"/>
      <c r="D117" s="9"/>
      <c r="E117" s="223"/>
      <c r="F117" s="223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</row>
    <row r="118" spans="1:4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</row>
    <row r="119" spans="1:41" x14ac:dyDescent="0.25">
      <c r="A119" s="9"/>
      <c r="B119" s="9"/>
      <c r="C119" s="9"/>
      <c r="D119" s="9"/>
      <c r="E119" s="1977"/>
      <c r="F119" s="1977"/>
      <c r="G119" s="1977"/>
      <c r="H119" s="1977"/>
      <c r="I119" s="1173"/>
      <c r="J119" s="117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</row>
    <row r="120" spans="1:4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</row>
    <row r="121" spans="1:4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</row>
    <row r="122" spans="1:41" x14ac:dyDescent="0.25">
      <c r="A122" s="9"/>
      <c r="B122" s="9"/>
      <c r="C122" s="9"/>
      <c r="D122" s="9"/>
      <c r="E122" s="1977"/>
      <c r="F122" s="1977"/>
      <c r="G122" s="1977"/>
      <c r="H122" s="1977"/>
      <c r="I122" s="1173"/>
      <c r="J122" s="117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</row>
    <row r="123" spans="1:41" x14ac:dyDescent="0.25">
      <c r="A123" s="9"/>
      <c r="B123" s="108"/>
      <c r="C123" s="9"/>
      <c r="D123" s="9"/>
      <c r="E123" s="1977"/>
      <c r="F123" s="1977"/>
      <c r="G123" s="1977"/>
      <c r="H123" s="1977"/>
      <c r="I123" s="1173"/>
      <c r="J123" s="1173"/>
      <c r="K123" s="223"/>
      <c r="L123" s="223"/>
      <c r="M123" s="223"/>
      <c r="N123" s="223"/>
      <c r="O123" s="223"/>
      <c r="P123" s="223"/>
      <c r="Q123" s="223"/>
      <c r="R123" s="223"/>
      <c r="S123" s="223"/>
      <c r="T123" s="223"/>
      <c r="U123" s="223"/>
      <c r="V123" s="223"/>
      <c r="W123" s="223"/>
    </row>
    <row r="124" spans="1:41" x14ac:dyDescent="0.25">
      <c r="A124" s="9"/>
      <c r="B124" s="9"/>
      <c r="C124" s="9"/>
      <c r="D124" s="9"/>
      <c r="E124" s="1977"/>
      <c r="F124" s="1977"/>
      <c r="G124" s="1977"/>
      <c r="H124" s="1977"/>
      <c r="I124" s="1173"/>
      <c r="J124" s="1173"/>
      <c r="K124" s="223"/>
      <c r="L124" s="223"/>
      <c r="M124" s="223"/>
      <c r="N124" s="223"/>
      <c r="O124" s="223"/>
      <c r="P124" s="223"/>
      <c r="Q124" s="223"/>
      <c r="R124" s="223"/>
      <c r="S124" s="223"/>
      <c r="T124" s="223"/>
      <c r="U124" s="223"/>
      <c r="V124" s="223"/>
      <c r="W124" s="223"/>
    </row>
    <row r="125" spans="1:41" x14ac:dyDescent="0.25">
      <c r="A125" s="9"/>
      <c r="B125" s="9"/>
      <c r="C125" s="9"/>
      <c r="D125" s="9"/>
      <c r="E125" s="1977"/>
      <c r="F125" s="1977"/>
      <c r="G125" s="1977"/>
      <c r="H125" s="1977"/>
      <c r="I125" s="1173"/>
      <c r="J125" s="1173"/>
      <c r="K125" s="223"/>
      <c r="L125" s="223"/>
      <c r="M125" s="223"/>
      <c r="N125" s="223"/>
      <c r="O125" s="223"/>
      <c r="P125" s="223"/>
      <c r="Q125" s="223"/>
      <c r="R125" s="223"/>
      <c r="S125" s="223"/>
      <c r="T125" s="223"/>
      <c r="U125" s="223"/>
      <c r="V125" s="223"/>
      <c r="W125" s="223"/>
    </row>
    <row r="126" spans="1:41" x14ac:dyDescent="0.25">
      <c r="A126" s="9"/>
      <c r="B126" s="9"/>
      <c r="C126" s="9"/>
      <c r="D126" s="9"/>
      <c r="E126" s="1977"/>
      <c r="F126" s="1977"/>
      <c r="G126" s="1977"/>
      <c r="H126" s="1977"/>
      <c r="I126" s="1173"/>
      <c r="J126" s="1173"/>
      <c r="K126" s="223"/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</row>
    <row r="127" spans="1:41" x14ac:dyDescent="0.25">
      <c r="A127" s="9"/>
      <c r="B127" s="9"/>
      <c r="C127" s="9"/>
      <c r="D127" s="9"/>
      <c r="E127" s="1977"/>
      <c r="F127" s="1977"/>
      <c r="G127" s="1977"/>
      <c r="H127" s="1977"/>
      <c r="I127" s="1173"/>
      <c r="J127" s="117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</row>
    <row r="128" spans="1:41" x14ac:dyDescent="0.25">
      <c r="A128" s="9"/>
      <c r="B128" s="9"/>
      <c r="C128" s="9"/>
      <c r="D128" s="9"/>
      <c r="E128" s="1977"/>
      <c r="F128" s="1977"/>
      <c r="G128" s="1977"/>
      <c r="H128" s="1977"/>
      <c r="I128" s="1173"/>
      <c r="J128" s="1173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</row>
    <row r="129" spans="1:23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223"/>
      <c r="L129" s="223"/>
      <c r="M129" s="223"/>
      <c r="N129" s="223"/>
      <c r="O129" s="223"/>
      <c r="P129" s="223"/>
      <c r="Q129" s="223"/>
      <c r="R129" s="223"/>
      <c r="S129" s="223"/>
      <c r="T129" s="223"/>
      <c r="U129" s="223"/>
      <c r="V129" s="223"/>
      <c r="W129" s="223"/>
    </row>
    <row r="130" spans="1:23" x14ac:dyDescent="0.25">
      <c r="A130" s="9"/>
      <c r="B130" s="9"/>
      <c r="C130" s="9"/>
      <c r="D130" s="9"/>
      <c r="E130" s="1977"/>
      <c r="F130" s="1977"/>
      <c r="G130" s="1977"/>
      <c r="H130" s="1977"/>
      <c r="I130" s="1173"/>
      <c r="J130" s="1173"/>
      <c r="K130" s="223"/>
      <c r="L130" s="223"/>
      <c r="M130" s="223"/>
      <c r="N130" s="223"/>
      <c r="O130" s="223"/>
      <c r="P130" s="223"/>
      <c r="Q130" s="223"/>
      <c r="R130" s="223"/>
      <c r="S130" s="223"/>
      <c r="T130" s="223"/>
      <c r="U130" s="223"/>
      <c r="V130" s="223"/>
      <c r="W130" s="223"/>
    </row>
    <row r="131" spans="1:23" x14ac:dyDescent="0.25">
      <c r="A131" s="9"/>
      <c r="B131" s="9"/>
      <c r="C131" s="9"/>
      <c r="D131" s="9"/>
      <c r="E131" s="1977"/>
      <c r="F131" s="1977"/>
      <c r="G131" s="1977"/>
      <c r="H131" s="1977"/>
      <c r="I131" s="1173"/>
      <c r="J131" s="1173"/>
      <c r="K131" s="223"/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</row>
    <row r="132" spans="1:23" x14ac:dyDescent="0.25">
      <c r="A132" s="9"/>
      <c r="B132" s="9"/>
      <c r="C132" s="9"/>
      <c r="D132" s="9"/>
      <c r="E132" s="1977"/>
      <c r="F132" s="1977"/>
      <c r="G132" s="1977"/>
      <c r="H132" s="1977"/>
      <c r="I132" s="1173"/>
      <c r="J132" s="1173"/>
      <c r="K132" s="223"/>
      <c r="L132" s="223"/>
      <c r="M132" s="223"/>
      <c r="N132" s="223"/>
      <c r="O132" s="223"/>
      <c r="P132" s="223"/>
      <c r="Q132" s="223"/>
      <c r="R132" s="223"/>
      <c r="S132" s="223"/>
      <c r="T132" s="223"/>
      <c r="U132" s="223"/>
      <c r="V132" s="223"/>
      <c r="W132" s="223"/>
    </row>
    <row r="133" spans="1:23" x14ac:dyDescent="0.25">
      <c r="A133" s="9"/>
      <c r="B133" s="9"/>
      <c r="C133" s="9"/>
      <c r="D133" s="9"/>
      <c r="E133" s="1977"/>
      <c r="F133" s="1977"/>
      <c r="G133" s="1977"/>
      <c r="H133" s="1977"/>
      <c r="I133" s="1173"/>
      <c r="J133" s="1173"/>
      <c r="K133" s="223"/>
      <c r="L133" s="223"/>
      <c r="M133" s="223"/>
      <c r="N133" s="223"/>
      <c r="O133" s="223"/>
      <c r="P133" s="223"/>
      <c r="Q133" s="223"/>
      <c r="R133" s="223"/>
      <c r="S133" s="223"/>
      <c r="T133" s="223"/>
      <c r="U133" s="223"/>
      <c r="V133" s="223"/>
      <c r="W133" s="223"/>
    </row>
    <row r="134" spans="1:23" x14ac:dyDescent="0.25">
      <c r="A134" s="9"/>
      <c r="B134" s="9"/>
      <c r="C134" s="9"/>
      <c r="D134" s="9"/>
      <c r="E134" s="1977"/>
      <c r="F134" s="1977"/>
      <c r="G134" s="1977"/>
      <c r="H134" s="1977"/>
      <c r="I134" s="1173"/>
      <c r="J134" s="117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</row>
    <row r="135" spans="1:23" x14ac:dyDescent="0.25">
      <c r="A135" s="9"/>
      <c r="B135" s="9"/>
      <c r="C135" s="9"/>
      <c r="D135" s="9"/>
      <c r="E135" s="1977"/>
      <c r="F135" s="1977"/>
      <c r="G135" s="1977"/>
      <c r="H135" s="1977"/>
      <c r="I135" s="1173"/>
      <c r="J135" s="1173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</row>
    <row r="136" spans="1:23" x14ac:dyDescent="0.25">
      <c r="A136" s="9"/>
      <c r="B136" s="9"/>
      <c r="C136" s="9"/>
      <c r="D136" s="9"/>
      <c r="E136" s="1977"/>
      <c r="F136" s="1977"/>
      <c r="G136" s="1977"/>
      <c r="H136" s="1977"/>
      <c r="I136" s="1173"/>
      <c r="J136" s="1173"/>
      <c r="K136" s="223"/>
      <c r="L136" s="223"/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</row>
    <row r="137" spans="1:23" x14ac:dyDescent="0.25">
      <c r="A137" s="9"/>
      <c r="B137" s="9"/>
      <c r="C137" s="9"/>
      <c r="D137" s="9"/>
      <c r="E137" s="1977"/>
      <c r="F137" s="1977"/>
      <c r="G137" s="1977"/>
      <c r="H137" s="1977"/>
      <c r="I137" s="1173"/>
      <c r="J137" s="1173"/>
      <c r="K137" s="223"/>
      <c r="L137" s="223"/>
      <c r="M137" s="223"/>
      <c r="N137" s="223"/>
      <c r="O137" s="223"/>
      <c r="P137" s="223"/>
      <c r="Q137" s="223"/>
      <c r="R137" s="223"/>
      <c r="S137" s="223"/>
      <c r="T137" s="223"/>
      <c r="U137" s="223"/>
      <c r="V137" s="223"/>
      <c r="W137" s="223"/>
    </row>
    <row r="138" spans="1:23" x14ac:dyDescent="0.25">
      <c r="A138" s="9"/>
      <c r="B138" s="9"/>
      <c r="C138" s="9"/>
      <c r="D138" s="9"/>
      <c r="E138" s="1977"/>
      <c r="F138" s="1977"/>
      <c r="G138" s="1977"/>
      <c r="H138" s="1977"/>
      <c r="I138" s="1173"/>
      <c r="J138" s="117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3"/>
      <c r="U138" s="223"/>
      <c r="V138" s="223"/>
      <c r="W138" s="223"/>
    </row>
    <row r="139" spans="1:23" x14ac:dyDescent="0.25">
      <c r="A139" s="9"/>
      <c r="B139" s="9"/>
      <c r="C139" s="9"/>
      <c r="D139" s="9"/>
      <c r="E139" s="1977"/>
      <c r="F139" s="1977"/>
      <c r="G139" s="1977"/>
      <c r="H139" s="1977"/>
      <c r="I139" s="1173"/>
      <c r="J139" s="1173"/>
      <c r="K139" s="223"/>
      <c r="L139" s="223"/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</row>
    <row r="140" spans="1:23" x14ac:dyDescent="0.25">
      <c r="A140" s="9"/>
      <c r="B140" s="9"/>
      <c r="C140" s="9"/>
      <c r="D140" s="9"/>
      <c r="E140" s="1977"/>
      <c r="F140" s="1977"/>
      <c r="G140" s="1977"/>
      <c r="H140" s="1977"/>
      <c r="I140" s="1173"/>
      <c r="J140" s="1173"/>
      <c r="K140" s="223"/>
      <c r="L140" s="223"/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</row>
    <row r="141" spans="1:23" x14ac:dyDescent="0.25">
      <c r="A141" s="223"/>
      <c r="B141" s="223"/>
      <c r="C141" s="223"/>
      <c r="D141" s="223"/>
      <c r="E141" s="223"/>
      <c r="F141" s="223"/>
      <c r="G141" s="223"/>
      <c r="H141" s="223"/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</row>
    <row r="142" spans="1:23" x14ac:dyDescent="0.25">
      <c r="A142" s="223"/>
      <c r="B142" s="223"/>
      <c r="C142" s="223"/>
      <c r="D142" s="223"/>
      <c r="E142" s="223"/>
      <c r="F142" s="223"/>
      <c r="G142" s="223"/>
      <c r="H142" s="223"/>
      <c r="I142" s="223"/>
      <c r="J142" s="223"/>
      <c r="K142" s="223"/>
      <c r="L142" s="223"/>
      <c r="M142" s="223"/>
      <c r="N142" s="223"/>
      <c r="O142" s="223"/>
      <c r="P142" s="223"/>
      <c r="Q142" s="223"/>
      <c r="R142" s="223"/>
      <c r="S142" s="223"/>
      <c r="T142" s="223"/>
      <c r="U142" s="223"/>
      <c r="V142" s="223"/>
      <c r="W142" s="223"/>
    </row>
    <row r="143" spans="1:23" x14ac:dyDescent="0.25">
      <c r="A143" s="223"/>
      <c r="B143" s="223"/>
      <c r="C143" s="223"/>
      <c r="D143" s="223"/>
      <c r="E143" s="223"/>
      <c r="F143" s="223"/>
      <c r="G143" s="223"/>
      <c r="H143" s="223"/>
      <c r="I143" s="223"/>
      <c r="J143" s="223"/>
      <c r="K143" s="223"/>
      <c r="L143" s="223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</row>
    <row r="144" spans="1:23" x14ac:dyDescent="0.25">
      <c r="A144" s="223"/>
      <c r="B144" s="223"/>
      <c r="C144" s="223"/>
      <c r="D144" s="223"/>
      <c r="E144" s="223"/>
      <c r="F144" s="223"/>
      <c r="G144" s="223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3"/>
      <c r="U144" s="223"/>
      <c r="V144" s="223"/>
      <c r="W144" s="223"/>
    </row>
    <row r="145" spans="1:23" x14ac:dyDescent="0.25">
      <c r="A145" s="223"/>
      <c r="B145" s="223"/>
      <c r="C145" s="223"/>
      <c r="D145" s="223"/>
      <c r="E145" s="223"/>
      <c r="F145" s="223"/>
      <c r="G145" s="223"/>
      <c r="H145" s="223"/>
      <c r="I145" s="223"/>
      <c r="J145" s="223"/>
      <c r="K145" s="223"/>
      <c r="L145" s="223"/>
      <c r="M145" s="223"/>
      <c r="N145" s="223"/>
      <c r="O145" s="223"/>
      <c r="P145" s="223"/>
      <c r="Q145" s="223"/>
      <c r="R145" s="223"/>
      <c r="S145" s="223"/>
      <c r="T145" s="223"/>
      <c r="U145" s="223"/>
      <c r="V145" s="223"/>
      <c r="W145" s="223"/>
    </row>
    <row r="146" spans="1:23" x14ac:dyDescent="0.25">
      <c r="A146" s="223"/>
      <c r="B146" s="223"/>
      <c r="C146" s="223"/>
      <c r="D146" s="223"/>
      <c r="E146" s="223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</row>
    <row r="147" spans="1:23" x14ac:dyDescent="0.25">
      <c r="A147" s="134"/>
      <c r="B147" s="223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</row>
    <row r="148" spans="1:23" x14ac:dyDescent="0.25">
      <c r="A148" s="134"/>
      <c r="B148" s="223"/>
      <c r="C148" s="223"/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</row>
    <row r="149" spans="1:23" x14ac:dyDescent="0.25">
      <c r="A149" s="134"/>
      <c r="B149" s="223"/>
      <c r="C149" s="223"/>
      <c r="D149" s="223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</row>
    <row r="150" spans="1:23" x14ac:dyDescent="0.25">
      <c r="A150" s="134"/>
      <c r="B150" s="223"/>
      <c r="C150" s="223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</row>
    <row r="151" spans="1:23" x14ac:dyDescent="0.25">
      <c r="A151" s="134"/>
      <c r="B151" s="223"/>
      <c r="C151" s="223"/>
      <c r="D151" s="223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3"/>
      <c r="U151" s="223"/>
      <c r="V151" s="223"/>
      <c r="W151" s="223"/>
    </row>
    <row r="152" spans="1:23" x14ac:dyDescent="0.25">
      <c r="A152" s="134"/>
      <c r="B152" s="223"/>
      <c r="C152" s="223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</row>
    <row r="153" spans="1:23" x14ac:dyDescent="0.25">
      <c r="A153" s="134"/>
      <c r="B153" s="223"/>
      <c r="C153" s="223"/>
      <c r="D153" s="223"/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223"/>
      <c r="R153" s="223"/>
      <c r="S153" s="223"/>
      <c r="T153" s="223"/>
      <c r="U153" s="223"/>
      <c r="V153" s="223"/>
      <c r="W153" s="223"/>
    </row>
    <row r="154" spans="1:23" x14ac:dyDescent="0.25">
      <c r="A154" s="134"/>
      <c r="B154" s="223"/>
      <c r="C154" s="223"/>
      <c r="D154" s="223"/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3"/>
      <c r="P154" s="223"/>
      <c r="Q154" s="223"/>
      <c r="R154" s="223"/>
      <c r="S154" s="223"/>
      <c r="T154" s="223"/>
      <c r="U154" s="223"/>
      <c r="V154" s="223"/>
      <c r="W154" s="223"/>
    </row>
    <row r="155" spans="1:23" x14ac:dyDescent="0.25">
      <c r="A155" s="134"/>
      <c r="B155" s="223"/>
      <c r="C155" s="223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</row>
    <row r="156" spans="1:23" x14ac:dyDescent="0.25">
      <c r="A156" s="134"/>
      <c r="B156" s="223"/>
      <c r="C156" s="223"/>
      <c r="D156" s="223"/>
      <c r="E156" s="223"/>
      <c r="F156" s="223"/>
      <c r="G156" s="223"/>
      <c r="H156" s="223"/>
      <c r="I156" s="223"/>
      <c r="J156" s="223"/>
      <c r="K156" s="223"/>
      <c r="L156" s="223"/>
      <c r="M156" s="223"/>
      <c r="N156" s="223"/>
      <c r="O156" s="223"/>
      <c r="P156" s="223"/>
      <c r="Q156" s="223"/>
      <c r="R156" s="223"/>
      <c r="S156" s="223"/>
      <c r="T156" s="223"/>
      <c r="U156" s="223"/>
      <c r="V156" s="223"/>
      <c r="W156" s="223"/>
    </row>
    <row r="157" spans="1:23" x14ac:dyDescent="0.25">
      <c r="A157" s="134"/>
      <c r="B157" s="223"/>
      <c r="C157" s="223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</row>
    <row r="158" spans="1:23" x14ac:dyDescent="0.25">
      <c r="A158" s="134"/>
      <c r="B158" s="223"/>
      <c r="C158" s="223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</row>
    <row r="159" spans="1:23" x14ac:dyDescent="0.25">
      <c r="A159" s="134"/>
      <c r="B159" s="223"/>
      <c r="C159" s="223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</row>
    <row r="160" spans="1:23" x14ac:dyDescent="0.25">
      <c r="A160" s="134"/>
      <c r="B160" s="223"/>
      <c r="C160" s="223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</row>
    <row r="161" spans="1:23" x14ac:dyDescent="0.25">
      <c r="A161" s="134"/>
      <c r="B161" s="223"/>
      <c r="C161" s="223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</row>
    <row r="162" spans="1:23" x14ac:dyDescent="0.25">
      <c r="A162" s="134"/>
      <c r="B162" s="223"/>
      <c r="C162" s="223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</row>
    <row r="163" spans="1:23" x14ac:dyDescent="0.25">
      <c r="A163" s="134"/>
      <c r="B163" s="223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</row>
    <row r="164" spans="1:23" x14ac:dyDescent="0.25">
      <c r="A164" s="134"/>
      <c r="B164" s="223"/>
      <c r="C164" s="223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</row>
    <row r="165" spans="1:23" x14ac:dyDescent="0.25">
      <c r="A165" s="134"/>
      <c r="B165" s="223"/>
      <c r="C165" s="223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</row>
    <row r="166" spans="1:23" x14ac:dyDescent="0.25">
      <c r="A166" s="134"/>
      <c r="B166" s="223"/>
      <c r="C166" s="223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  <c r="S166" s="223"/>
      <c r="T166" s="165"/>
    </row>
    <row r="167" spans="1:23" x14ac:dyDescent="0.25">
      <c r="A167" s="134"/>
      <c r="B167" s="223"/>
      <c r="C167" s="223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165"/>
    </row>
    <row r="168" spans="1:23" x14ac:dyDescent="0.25">
      <c r="A168" s="134"/>
      <c r="B168" s="223"/>
      <c r="C168" s="223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165"/>
    </row>
    <row r="169" spans="1:23" x14ac:dyDescent="0.25">
      <c r="A169" s="166"/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8"/>
    </row>
  </sheetData>
  <mergeCells count="137">
    <mergeCell ref="E140:H140"/>
    <mergeCell ref="E134:H134"/>
    <mergeCell ref="E135:H135"/>
    <mergeCell ref="E136:H136"/>
    <mergeCell ref="E137:H137"/>
    <mergeCell ref="E138:H138"/>
    <mergeCell ref="E139:H139"/>
    <mergeCell ref="E127:H127"/>
    <mergeCell ref="E128:H128"/>
    <mergeCell ref="E130:H130"/>
    <mergeCell ref="E131:H131"/>
    <mergeCell ref="E132:H132"/>
    <mergeCell ref="E133:H133"/>
    <mergeCell ref="E119:H119"/>
    <mergeCell ref="E122:H122"/>
    <mergeCell ref="E123:H123"/>
    <mergeCell ref="E124:H124"/>
    <mergeCell ref="E125:H125"/>
    <mergeCell ref="E126:H126"/>
    <mergeCell ref="R105:R106"/>
    <mergeCell ref="S105:S106"/>
    <mergeCell ref="T105:T106"/>
    <mergeCell ref="U105:U106"/>
    <mergeCell ref="V105:V106"/>
    <mergeCell ref="W105:W106"/>
    <mergeCell ref="G105:G106"/>
    <mergeCell ref="H105:H106"/>
    <mergeCell ref="K105:L105"/>
    <mergeCell ref="O105:O106"/>
    <mergeCell ref="P105:P106"/>
    <mergeCell ref="Q105:Q106"/>
    <mergeCell ref="B103:F103"/>
    <mergeCell ref="A105:A106"/>
    <mergeCell ref="B105:B106"/>
    <mergeCell ref="C105:C106"/>
    <mergeCell ref="D105:D106"/>
    <mergeCell ref="E105:E106"/>
    <mergeCell ref="F105:F106"/>
    <mergeCell ref="R60:R61"/>
    <mergeCell ref="S60:S61"/>
    <mergeCell ref="O39:O40"/>
    <mergeCell ref="P39:P40"/>
    <mergeCell ref="Q39:Q40"/>
    <mergeCell ref="T60:T61"/>
    <mergeCell ref="U60:U61"/>
    <mergeCell ref="V60:V61"/>
    <mergeCell ref="W60:W61"/>
    <mergeCell ref="I60:J60"/>
    <mergeCell ref="K60:L60"/>
    <mergeCell ref="M60:N60"/>
    <mergeCell ref="O60:O61"/>
    <mergeCell ref="P60:P61"/>
    <mergeCell ref="Q60:Q61"/>
    <mergeCell ref="B58:F58"/>
    <mergeCell ref="A60:A61"/>
    <mergeCell ref="B60:B61"/>
    <mergeCell ref="C60:C61"/>
    <mergeCell ref="D60:D61"/>
    <mergeCell ref="E60:E61"/>
    <mergeCell ref="F60:F61"/>
    <mergeCell ref="G60:G61"/>
    <mergeCell ref="H60:H61"/>
    <mergeCell ref="A39:A40"/>
    <mergeCell ref="B39:B40"/>
    <mergeCell ref="C39:C40"/>
    <mergeCell ref="D39:D40"/>
    <mergeCell ref="E39:E40"/>
    <mergeCell ref="F39:F40"/>
    <mergeCell ref="W21:W22"/>
    <mergeCell ref="X21:X22"/>
    <mergeCell ref="F21:F22"/>
    <mergeCell ref="G21:G22"/>
    <mergeCell ref="H21:H22"/>
    <mergeCell ref="K21:L21"/>
    <mergeCell ref="O21:O22"/>
    <mergeCell ref="P21:P22"/>
    <mergeCell ref="X39:X40"/>
    <mergeCell ref="R39:R40"/>
    <mergeCell ref="S39:S40"/>
    <mergeCell ref="T39:T40"/>
    <mergeCell ref="U39:U40"/>
    <mergeCell ref="V39:V40"/>
    <mergeCell ref="W39:W40"/>
    <mergeCell ref="G39:G40"/>
    <mergeCell ref="H39:H40"/>
    <mergeCell ref="K39:L39"/>
    <mergeCell ref="AA21:AA22"/>
    <mergeCell ref="AB21:AB22"/>
    <mergeCell ref="Q21:Q22"/>
    <mergeCell ref="R21:R22"/>
    <mergeCell ref="S21:S22"/>
    <mergeCell ref="T21:T22"/>
    <mergeCell ref="U21:U22"/>
    <mergeCell ref="V21:V22"/>
    <mergeCell ref="B37:F37"/>
    <mergeCell ref="AJ5:AJ6"/>
    <mergeCell ref="AK5:AK6"/>
    <mergeCell ref="B19:F19"/>
    <mergeCell ref="A21:A22"/>
    <mergeCell ref="B21:B22"/>
    <mergeCell ref="C21:C22"/>
    <mergeCell ref="D21:D22"/>
    <mergeCell ref="E21:E22"/>
    <mergeCell ref="AB5:AB6"/>
    <mergeCell ref="AC5:AC6"/>
    <mergeCell ref="AD5:AD6"/>
    <mergeCell ref="AE5:AE6"/>
    <mergeCell ref="AF5:AF6"/>
    <mergeCell ref="AG5:AG6"/>
    <mergeCell ref="V5:V6"/>
    <mergeCell ref="W5:W6"/>
    <mergeCell ref="X5:X6"/>
    <mergeCell ref="Y5:Y6"/>
    <mergeCell ref="Z5:Z6"/>
    <mergeCell ref="AA5:AA6"/>
    <mergeCell ref="P5:P6"/>
    <mergeCell ref="Q5:Q6"/>
    <mergeCell ref="Y21:Y22"/>
    <mergeCell ref="Z21:Z22"/>
    <mergeCell ref="U5:U6"/>
    <mergeCell ref="G5:G6"/>
    <mergeCell ref="H5:H6"/>
    <mergeCell ref="I5:J5"/>
    <mergeCell ref="K5:L5"/>
    <mergeCell ref="M5:N5"/>
    <mergeCell ref="O5:O6"/>
    <mergeCell ref="AH5:AH6"/>
    <mergeCell ref="AI5:AI6"/>
    <mergeCell ref="A5:A6"/>
    <mergeCell ref="B5:B6"/>
    <mergeCell ref="C5:C6"/>
    <mergeCell ref="D5:D6"/>
    <mergeCell ref="E5:E6"/>
    <mergeCell ref="F5:F6"/>
    <mergeCell ref="R5:R6"/>
    <mergeCell ref="S5:S6"/>
    <mergeCell ref="T5:T6"/>
  </mergeCells>
  <pageMargins left="0.17" right="0" top="0.74803149606299213" bottom="0.74803149606299213" header="0.31496062992125984" footer="0.31496062992125984"/>
  <pageSetup paperSize="9" scale="91" orientation="landscape" horizontalDpi="180" verticalDpi="180" r:id="rId1"/>
  <ignoredErrors>
    <ignoredError sqref="H14" formula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4"/>
  <sheetViews>
    <sheetView topLeftCell="AE13" workbookViewId="0">
      <selection activeCell="W5" sqref="W5:W6"/>
    </sheetView>
  </sheetViews>
  <sheetFormatPr defaultRowHeight="15" x14ac:dyDescent="0.25"/>
  <cols>
    <col min="1" max="1" width="3.85546875" customWidth="1"/>
    <col min="2" max="2" width="18" customWidth="1"/>
    <col min="3" max="3" width="6.85546875" hidden="1" customWidth="1"/>
    <col min="4" max="4" width="7.28515625" hidden="1" customWidth="1"/>
    <col min="5" max="5" width="8.140625" hidden="1" customWidth="1"/>
    <col min="6" max="6" width="8.28515625" hidden="1" customWidth="1"/>
    <col min="7" max="7" width="9.85546875" customWidth="1"/>
    <col min="8" max="8" width="9.5703125" hidden="1" customWidth="1"/>
    <col min="9" max="9" width="12.7109375" hidden="1" customWidth="1"/>
    <col min="10" max="10" width="12.28515625" hidden="1" customWidth="1"/>
    <col min="11" max="11" width="13" customWidth="1"/>
    <col min="12" max="12" width="10.85546875" customWidth="1"/>
    <col min="13" max="13" width="12" customWidth="1"/>
    <col min="14" max="14" width="11.7109375" customWidth="1"/>
    <col min="15" max="15" width="12.42578125" customWidth="1"/>
    <col min="16" max="16" width="13.42578125" customWidth="1"/>
    <col min="17" max="17" width="11.85546875" customWidth="1"/>
    <col min="18" max="18" width="12" customWidth="1"/>
    <col min="19" max="19" width="11.7109375" customWidth="1"/>
    <col min="20" max="20" width="10.28515625" customWidth="1"/>
    <col min="21" max="21" width="14.7109375" customWidth="1"/>
    <col min="22" max="22" width="11.5703125" customWidth="1"/>
    <col min="23" max="23" width="12" customWidth="1"/>
    <col min="24" max="24" width="10" customWidth="1"/>
    <col min="25" max="25" width="11.28515625" customWidth="1"/>
    <col min="26" max="26" width="11.140625" customWidth="1"/>
    <col min="27" max="28" width="10.5703125" customWidth="1"/>
    <col min="29" max="29" width="11.140625" customWidth="1"/>
    <col min="30" max="30" width="10.5703125" customWidth="1"/>
    <col min="31" max="31" width="11.140625" customWidth="1"/>
    <col min="32" max="32" width="11.5703125" customWidth="1"/>
    <col min="33" max="33" width="12" customWidth="1"/>
    <col min="34" max="34" width="11.5703125" customWidth="1"/>
    <col min="35" max="36" width="9.140625" hidden="1" customWidth="1"/>
    <col min="37" max="37" width="10.42578125" customWidth="1"/>
    <col min="38" max="38" width="10.5703125" customWidth="1"/>
    <col min="39" max="40" width="9.140625" customWidth="1"/>
    <col min="41" max="41" width="10.28515625" customWidth="1"/>
    <col min="42" max="42" width="10.85546875" customWidth="1"/>
    <col min="43" max="44" width="9.140625" customWidth="1"/>
    <col min="45" max="45" width="10.140625" customWidth="1"/>
    <col min="46" max="46" width="11.28515625" customWidth="1"/>
    <col min="47" max="47" width="11.7109375" customWidth="1"/>
  </cols>
  <sheetData>
    <row r="1" spans="1:48" ht="18.75" x14ac:dyDescent="0.3">
      <c r="B1" s="74" t="s">
        <v>805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AH1" s="34"/>
    </row>
    <row r="2" spans="1:48" ht="18.75" x14ac:dyDescent="0.3">
      <c r="A2" s="17"/>
      <c r="B2" s="74"/>
      <c r="C2" s="149"/>
      <c r="D2" s="74"/>
      <c r="E2" s="74"/>
      <c r="F2" s="74"/>
      <c r="G2" s="613"/>
      <c r="H2" s="74"/>
      <c r="I2" s="74"/>
      <c r="J2" s="74"/>
      <c r="K2" s="74"/>
      <c r="L2" s="7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AH2" s="34"/>
    </row>
    <row r="3" spans="1:48" ht="18" x14ac:dyDescent="0.25">
      <c r="A3" s="1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AH3" s="34"/>
    </row>
    <row r="4" spans="1:48" ht="18" x14ac:dyDescent="0.25">
      <c r="A4" s="17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AH4" s="34"/>
      <c r="AU4" s="250"/>
      <c r="AV4" s="250"/>
    </row>
    <row r="5" spans="1:48" ht="42.75" customHeight="1" x14ac:dyDescent="0.25">
      <c r="A5" s="2017" t="s">
        <v>0</v>
      </c>
      <c r="B5" s="2017" t="s">
        <v>184</v>
      </c>
      <c r="C5" s="2017" t="s">
        <v>54</v>
      </c>
      <c r="D5" s="2017" t="s">
        <v>55</v>
      </c>
      <c r="E5" s="2017" t="s">
        <v>56</v>
      </c>
      <c r="F5" s="2017" t="s">
        <v>57</v>
      </c>
      <c r="G5" s="2017" t="s">
        <v>6</v>
      </c>
      <c r="H5" s="2264" t="s">
        <v>281</v>
      </c>
      <c r="I5" s="2017" t="s">
        <v>834</v>
      </c>
      <c r="J5" s="2017"/>
      <c r="K5" s="1989" t="s">
        <v>656</v>
      </c>
      <c r="L5" s="1990"/>
      <c r="M5" s="1989" t="s">
        <v>657</v>
      </c>
      <c r="N5" s="1990"/>
      <c r="O5" s="1989" t="s">
        <v>658</v>
      </c>
      <c r="P5" s="1990"/>
      <c r="Q5" s="1989" t="s">
        <v>310</v>
      </c>
      <c r="R5" s="1990"/>
      <c r="S5" s="2249" t="s">
        <v>593</v>
      </c>
      <c r="T5" s="2250"/>
      <c r="U5" s="1989" t="s">
        <v>745</v>
      </c>
      <c r="V5" s="1990"/>
      <c r="W5" s="2041" t="s">
        <v>457</v>
      </c>
      <c r="X5" s="2147" t="s">
        <v>496</v>
      </c>
      <c r="Y5" s="2274" t="s">
        <v>377</v>
      </c>
      <c r="Z5" s="2132" t="s">
        <v>497</v>
      </c>
      <c r="AA5" s="2132" t="s">
        <v>609</v>
      </c>
      <c r="AB5" s="2132" t="s">
        <v>578</v>
      </c>
      <c r="AC5" s="2181" t="s">
        <v>503</v>
      </c>
      <c r="AD5" s="2071" t="s">
        <v>316</v>
      </c>
      <c r="AE5" s="2071" t="s">
        <v>369</v>
      </c>
      <c r="AF5" s="2049" t="s">
        <v>845</v>
      </c>
      <c r="AG5" s="2183" t="s">
        <v>866</v>
      </c>
      <c r="AH5" s="2069" t="s">
        <v>688</v>
      </c>
      <c r="AI5" s="2071" t="s">
        <v>727</v>
      </c>
      <c r="AJ5" s="2071" t="s">
        <v>690</v>
      </c>
      <c r="AK5" s="2049" t="s">
        <v>862</v>
      </c>
      <c r="AL5" s="2262" t="s">
        <v>692</v>
      </c>
      <c r="AM5" s="2041" t="s">
        <v>693</v>
      </c>
      <c r="AN5" s="2041" t="s">
        <v>656</v>
      </c>
      <c r="AO5" s="2041" t="s">
        <v>694</v>
      </c>
      <c r="AP5" s="2041" t="s">
        <v>735</v>
      </c>
      <c r="AQ5" s="2134" t="s">
        <v>724</v>
      </c>
      <c r="AR5" s="2043" t="s">
        <v>182</v>
      </c>
      <c r="AS5" s="2043" t="s">
        <v>736</v>
      </c>
      <c r="AT5" s="2045" t="s">
        <v>715</v>
      </c>
      <c r="AU5" s="250"/>
      <c r="AV5" s="250"/>
    </row>
    <row r="6" spans="1:48" ht="48.75" customHeight="1" x14ac:dyDescent="0.25">
      <c r="A6" s="2017"/>
      <c r="B6" s="2017"/>
      <c r="C6" s="2017"/>
      <c r="D6" s="2017"/>
      <c r="E6" s="2017"/>
      <c r="F6" s="2017"/>
      <c r="G6" s="2017"/>
      <c r="H6" s="2265"/>
      <c r="I6" s="150" t="s">
        <v>15</v>
      </c>
      <c r="J6" s="1723" t="s">
        <v>16</v>
      </c>
      <c r="K6" s="150" t="s">
        <v>15</v>
      </c>
      <c r="L6" s="1671" t="s">
        <v>16</v>
      </c>
      <c r="M6" s="150" t="s">
        <v>15</v>
      </c>
      <c r="N6" s="1671" t="s">
        <v>16</v>
      </c>
      <c r="O6" s="150" t="s">
        <v>15</v>
      </c>
      <c r="P6" s="1671" t="s">
        <v>16</v>
      </c>
      <c r="Q6" s="150" t="s">
        <v>15</v>
      </c>
      <c r="R6" s="1671" t="s">
        <v>16</v>
      </c>
      <c r="S6" s="150" t="s">
        <v>15</v>
      </c>
      <c r="T6" s="1671" t="s">
        <v>16</v>
      </c>
      <c r="U6" s="150" t="s">
        <v>15</v>
      </c>
      <c r="V6" s="1671" t="s">
        <v>16</v>
      </c>
      <c r="W6" s="2042"/>
      <c r="X6" s="2147"/>
      <c r="Y6" s="2274"/>
      <c r="Z6" s="2133"/>
      <c r="AA6" s="2133"/>
      <c r="AB6" s="2133"/>
      <c r="AC6" s="2181"/>
      <c r="AD6" s="2071"/>
      <c r="AE6" s="2182"/>
      <c r="AF6" s="2050"/>
      <c r="AG6" s="2068"/>
      <c r="AH6" s="2070"/>
      <c r="AI6" s="2071"/>
      <c r="AJ6" s="2071"/>
      <c r="AK6" s="2050"/>
      <c r="AL6" s="2263"/>
      <c r="AM6" s="2042"/>
      <c r="AN6" s="2042"/>
      <c r="AO6" s="2042"/>
      <c r="AP6" s="2042"/>
      <c r="AQ6" s="2135"/>
      <c r="AR6" s="2044"/>
      <c r="AS6" s="2044"/>
      <c r="AT6" s="2046"/>
      <c r="AU6" s="250"/>
      <c r="AV6" s="250"/>
    </row>
    <row r="7" spans="1:48" x14ac:dyDescent="0.25">
      <c r="A7" s="331">
        <v>1</v>
      </c>
      <c r="B7" s="332" t="s">
        <v>267</v>
      </c>
      <c r="C7" s="990">
        <v>1964</v>
      </c>
      <c r="D7" s="990">
        <v>2</v>
      </c>
      <c r="E7" s="990">
        <v>16</v>
      </c>
      <c r="F7" s="991">
        <v>27</v>
      </c>
      <c r="G7" s="990">
        <v>635.25</v>
      </c>
      <c r="H7" s="990"/>
      <c r="I7" s="990"/>
      <c r="J7" s="990"/>
      <c r="K7" s="993">
        <v>609.9</v>
      </c>
      <c r="L7" s="993">
        <v>783.39</v>
      </c>
      <c r="M7" s="992">
        <v>0</v>
      </c>
      <c r="N7" s="992">
        <v>0</v>
      </c>
      <c r="O7" s="992">
        <v>6784.44</v>
      </c>
      <c r="P7" s="992">
        <v>8655.5499999999993</v>
      </c>
      <c r="Q7" s="992">
        <v>73409.52</v>
      </c>
      <c r="R7" s="992">
        <v>71365.05</v>
      </c>
      <c r="S7" s="992">
        <v>1828.85</v>
      </c>
      <c r="T7" s="992">
        <v>1717.49</v>
      </c>
      <c r="U7" s="992">
        <f>I7+K7+M7+O7+Q7+S7</f>
        <v>82632.710000000006</v>
      </c>
      <c r="V7" s="992">
        <f>J7+L7+N7+P7+R7+T7</f>
        <v>82521.48000000001</v>
      </c>
      <c r="W7" s="993">
        <f>AH7+AL7+AM7+AN7+AO7</f>
        <v>68683.125896556594</v>
      </c>
      <c r="X7" s="993">
        <v>396.1</v>
      </c>
      <c r="Y7" s="994">
        <f>15852.33/19301.57*G7</f>
        <v>521.72919780618884</v>
      </c>
      <c r="Z7" s="995">
        <v>2485.56</v>
      </c>
      <c r="AA7" s="995">
        <f>1000/19301.57*G7</f>
        <v>32.911830488400689</v>
      </c>
      <c r="AB7" s="995">
        <f>9839.34/19301.57*G7</f>
        <v>323.83069019774041</v>
      </c>
      <c r="AC7" s="995">
        <f>61655.72/19301.57*G7</f>
        <v>2029.202605280296</v>
      </c>
      <c r="AD7" s="995">
        <f>641092.47/19301.57*G7</f>
        <v>21099.526700030099</v>
      </c>
      <c r="AE7" s="995">
        <f>294515.34/19301.57*G7</f>
        <v>9693.0389463136944</v>
      </c>
      <c r="AF7" s="995">
        <f>528278.64/19301.57*G7</f>
        <v>17386.61705032285</v>
      </c>
      <c r="AG7" s="996">
        <f>4000/19301.57*G7</f>
        <v>131.64732195360276</v>
      </c>
      <c r="AH7" s="881">
        <f>AG7+AF7+AE7+AD7+AC7+AB7+AA7+Z7+Y7+X7</f>
        <v>54100.164342392869</v>
      </c>
      <c r="AI7" s="47"/>
      <c r="AJ7" s="47"/>
      <c r="AK7" s="47"/>
      <c r="AL7" s="47">
        <f>AK7+AJ7+AI7</f>
        <v>0</v>
      </c>
      <c r="AM7" s="47"/>
      <c r="AN7" s="47">
        <f>30799.08/19301.57*G7</f>
        <v>1013.6541001586919</v>
      </c>
      <c r="AO7" s="47">
        <f>412292.7/19301.57*G7</f>
        <v>13569.307454005038</v>
      </c>
      <c r="AP7" s="47">
        <f>U7-W7</f>
        <v>13949.584103443412</v>
      </c>
      <c r="AQ7" s="47">
        <f>V7/U7*100</f>
        <v>99.865392288356517</v>
      </c>
      <c r="AR7" s="47">
        <f t="shared" ref="AR7:AR21" si="0">W7/G7/9</f>
        <v>12.013315124676478</v>
      </c>
      <c r="AS7" s="47">
        <f>U7-V7</f>
        <v>111.22999999999593</v>
      </c>
      <c r="AT7" s="47">
        <v>10.88</v>
      </c>
      <c r="AU7" s="250"/>
      <c r="AV7" s="250"/>
    </row>
    <row r="8" spans="1:48" x14ac:dyDescent="0.25">
      <c r="A8" s="331">
        <v>2</v>
      </c>
      <c r="B8" s="332" t="s">
        <v>268</v>
      </c>
      <c r="C8" s="997">
        <v>1965</v>
      </c>
      <c r="D8" s="997">
        <v>2</v>
      </c>
      <c r="E8" s="997">
        <v>16</v>
      </c>
      <c r="F8" s="998">
        <v>36</v>
      </c>
      <c r="G8" s="999">
        <v>632.16999999999996</v>
      </c>
      <c r="H8" s="999"/>
      <c r="I8" s="999"/>
      <c r="J8" s="999"/>
      <c r="K8" s="1017">
        <v>605.4</v>
      </c>
      <c r="L8" s="1017">
        <v>723.42</v>
      </c>
      <c r="M8" s="992">
        <v>0</v>
      </c>
      <c r="N8" s="992">
        <v>0</v>
      </c>
      <c r="O8" s="992">
        <v>6737.34</v>
      </c>
      <c r="P8" s="992">
        <v>8033.47</v>
      </c>
      <c r="Q8" s="992">
        <v>72897.72</v>
      </c>
      <c r="R8" s="992">
        <v>65893.539999999994</v>
      </c>
      <c r="S8" s="992">
        <v>1829.04</v>
      </c>
      <c r="T8" s="992">
        <v>1555.68</v>
      </c>
      <c r="U8" s="992">
        <f t="shared" ref="U8:U20" si="1">I8+K8+M8+O8+Q8+S8</f>
        <v>82069.5</v>
      </c>
      <c r="V8" s="992">
        <f t="shared" ref="V8:V20" si="2">J8+L8+N8+P8+R8+T8</f>
        <v>76206.109999999986</v>
      </c>
      <c r="W8" s="993">
        <f t="shared" ref="W8:W20" si="3">AH8+AL8+AM8+AN8+AO8</f>
        <v>68262.788486149046</v>
      </c>
      <c r="X8" s="993">
        <v>294.8</v>
      </c>
      <c r="Y8" s="994">
        <f t="shared" ref="Y8:Y20" si="4">15852.33/19301.57*G8</f>
        <v>519.1996016956133</v>
      </c>
      <c r="Z8" s="995">
        <v>2485.56</v>
      </c>
      <c r="AA8" s="995">
        <f t="shared" ref="AA8:AA20" si="5">1000/19301.57*G8</f>
        <v>32.75225797694177</v>
      </c>
      <c r="AB8" s="995">
        <f t="shared" ref="AB8:AB20" si="6">9839.34/19301.57*G8</f>
        <v>322.26060200284229</v>
      </c>
      <c r="AC8" s="995">
        <f t="shared" ref="AC8:AC20" si="7">61655.72/19301.57*G8</f>
        <v>2019.3640471940882</v>
      </c>
      <c r="AD8" s="995">
        <f t="shared" ref="AD8:AD20" si="8">641092.47/19301.57*G8</f>
        <v>20997.225964514801</v>
      </c>
      <c r="AE8" s="995">
        <f t="shared" ref="AE8:AE20" si="9">294515.34/19301.57*G8</f>
        <v>9646.0423938467193</v>
      </c>
      <c r="AF8" s="995">
        <f t="shared" ref="AF8:AF20" si="10">528278.64/19301.57*G8</f>
        <v>17302.31830098795</v>
      </c>
      <c r="AG8" s="996">
        <f t="shared" ref="AG8:AG20" si="11">4000/19301.57*G8</f>
        <v>131.00903190776708</v>
      </c>
      <c r="AH8" s="881">
        <f t="shared" ref="AH8:AH20" si="12">AG8+AF8+AE8+AD8+AC8+AB8+AA8+Z8+Y8+X8</f>
        <v>53750.53220012672</v>
      </c>
      <c r="AI8" s="47"/>
      <c r="AJ8" s="47"/>
      <c r="AK8" s="47"/>
      <c r="AL8" s="47">
        <f t="shared" ref="AL8:AL20" si="13">AK8+AJ8+AI8</f>
        <v>0</v>
      </c>
      <c r="AM8" s="47"/>
      <c r="AN8" s="47">
        <f t="shared" ref="AN8:AN20" si="14">30799.08/19301.57*G8</f>
        <v>1008.7394136124678</v>
      </c>
      <c r="AO8" s="47">
        <f t="shared" ref="AO8:AO20" si="15">412292.7/19301.57*G8</f>
        <v>13503.51687240986</v>
      </c>
      <c r="AP8" s="47">
        <f t="shared" ref="AP8:AP20" si="16">U8-W8</f>
        <v>13806.711513850954</v>
      </c>
      <c r="AQ8" s="47">
        <f t="shared" ref="AQ8:AQ21" si="17">V8/U8*100</f>
        <v>92.855579722064817</v>
      </c>
      <c r="AR8" s="47">
        <f t="shared" si="0"/>
        <v>11.997966174033541</v>
      </c>
      <c r="AS8" s="47">
        <f t="shared" ref="AS8:AS21" si="18">U8-V8</f>
        <v>5863.390000000014</v>
      </c>
      <c r="AT8" s="47">
        <v>10.88</v>
      </c>
      <c r="AU8" s="250"/>
      <c r="AV8" s="250"/>
    </row>
    <row r="9" spans="1:48" x14ac:dyDescent="0.25">
      <c r="A9" s="331">
        <v>3</v>
      </c>
      <c r="B9" s="332" t="s">
        <v>269</v>
      </c>
      <c r="C9" s="997">
        <v>1967</v>
      </c>
      <c r="D9" s="997">
        <v>2</v>
      </c>
      <c r="E9" s="997">
        <v>16</v>
      </c>
      <c r="F9" s="991">
        <v>36</v>
      </c>
      <c r="G9" s="999">
        <v>731.33</v>
      </c>
      <c r="H9" s="999"/>
      <c r="I9" s="999"/>
      <c r="J9" s="999"/>
      <c r="K9" s="1017">
        <v>702.06</v>
      </c>
      <c r="L9" s="1017">
        <v>823.06</v>
      </c>
      <c r="M9" s="992">
        <v>0</v>
      </c>
      <c r="N9" s="992">
        <v>0</v>
      </c>
      <c r="O9" s="992">
        <v>7810.32</v>
      </c>
      <c r="P9" s="992">
        <v>9060.86</v>
      </c>
      <c r="Q9" s="992">
        <v>84422.58</v>
      </c>
      <c r="R9" s="992">
        <v>74363.850000000006</v>
      </c>
      <c r="S9" s="992">
        <v>1828.74</v>
      </c>
      <c r="T9" s="992">
        <v>1471.99</v>
      </c>
      <c r="U9" s="992">
        <f t="shared" si="1"/>
        <v>94763.700000000012</v>
      </c>
      <c r="V9" s="992">
        <f t="shared" si="2"/>
        <v>85719.760000000009</v>
      </c>
      <c r="W9" s="993">
        <f t="shared" si="3"/>
        <v>78434.335764075149</v>
      </c>
      <c r="X9" s="993">
        <v>195</v>
      </c>
      <c r="Y9" s="994">
        <f t="shared" si="4"/>
        <v>600.63945569712723</v>
      </c>
      <c r="Z9" s="995">
        <v>2485.56</v>
      </c>
      <c r="AA9" s="995">
        <f t="shared" si="5"/>
        <v>37.889663897807282</v>
      </c>
      <c r="AB9" s="995">
        <f t="shared" si="6"/>
        <v>372.80928557625111</v>
      </c>
      <c r="AC9" s="995">
        <f t="shared" si="7"/>
        <v>2336.1145081773143</v>
      </c>
      <c r="AD9" s="995">
        <f t="shared" si="8"/>
        <v>24290.778215715094</v>
      </c>
      <c r="AE9" s="995">
        <f t="shared" si="9"/>
        <v>11159.087245348437</v>
      </c>
      <c r="AF9" s="995">
        <f t="shared" si="10"/>
        <v>20016.300113990728</v>
      </c>
      <c r="AG9" s="996">
        <f t="shared" si="11"/>
        <v>151.55865559122913</v>
      </c>
      <c r="AH9" s="881">
        <f t="shared" si="12"/>
        <v>61645.737143993982</v>
      </c>
      <c r="AI9" s="47"/>
      <c r="AJ9" s="47"/>
      <c r="AK9" s="47"/>
      <c r="AL9" s="47">
        <f t="shared" si="13"/>
        <v>0</v>
      </c>
      <c r="AM9" s="47"/>
      <c r="AN9" s="47">
        <f t="shared" si="14"/>
        <v>1166.9667895616783</v>
      </c>
      <c r="AO9" s="47">
        <f t="shared" si="15"/>
        <v>15621.631830519489</v>
      </c>
      <c r="AP9" s="47">
        <f t="shared" si="16"/>
        <v>16329.364235924862</v>
      </c>
      <c r="AQ9" s="47">
        <f t="shared" si="17"/>
        <v>90.456324520887222</v>
      </c>
      <c r="AR9" s="47">
        <f t="shared" si="0"/>
        <v>11.916544099118523</v>
      </c>
      <c r="AS9" s="47">
        <f t="shared" si="18"/>
        <v>9043.9400000000023</v>
      </c>
      <c r="AT9" s="47">
        <v>10.87</v>
      </c>
      <c r="AU9" s="250"/>
      <c r="AV9" s="250"/>
    </row>
    <row r="10" spans="1:48" x14ac:dyDescent="0.25">
      <c r="A10" s="331">
        <v>4</v>
      </c>
      <c r="B10" s="332" t="s">
        <v>270</v>
      </c>
      <c r="C10" s="997">
        <v>1974</v>
      </c>
      <c r="D10" s="997">
        <v>2</v>
      </c>
      <c r="E10" s="997">
        <v>18</v>
      </c>
      <c r="F10" s="998">
        <v>43</v>
      </c>
      <c r="G10" s="999">
        <v>866.6</v>
      </c>
      <c r="H10" s="999"/>
      <c r="I10" s="999"/>
      <c r="J10" s="999"/>
      <c r="K10" s="1017">
        <v>831.96</v>
      </c>
      <c r="L10" s="1017">
        <v>994.05</v>
      </c>
      <c r="M10" s="992">
        <v>0</v>
      </c>
      <c r="N10" s="992">
        <v>0</v>
      </c>
      <c r="O10" s="992">
        <v>9255.42</v>
      </c>
      <c r="P10" s="992">
        <v>11044.66</v>
      </c>
      <c r="Q10" s="992">
        <v>99936.36</v>
      </c>
      <c r="R10" s="992">
        <v>97565.68</v>
      </c>
      <c r="S10" s="992">
        <v>2309.9699999999998</v>
      </c>
      <c r="T10" s="992">
        <v>2214.4699999999998</v>
      </c>
      <c r="U10" s="992">
        <f t="shared" si="1"/>
        <v>112333.71</v>
      </c>
      <c r="V10" s="992">
        <f t="shared" si="2"/>
        <v>111818.85999999999</v>
      </c>
      <c r="W10" s="993">
        <f t="shared" si="3"/>
        <v>97519.865928305328</v>
      </c>
      <c r="X10" s="993">
        <v>648.57000000000005</v>
      </c>
      <c r="Y10" s="994">
        <f t="shared" si="4"/>
        <v>711.73636020282288</v>
      </c>
      <c r="Z10" s="995">
        <v>7105.77</v>
      </c>
      <c r="AA10" s="995">
        <f t="shared" si="5"/>
        <v>44.897902087757629</v>
      </c>
      <c r="AB10" s="995">
        <f t="shared" si="6"/>
        <v>441.76572392815717</v>
      </c>
      <c r="AC10" s="995">
        <f t="shared" si="7"/>
        <v>2768.2124797102001</v>
      </c>
      <c r="AD10" s="995">
        <f t="shared" si="8"/>
        <v>28783.706947258695</v>
      </c>
      <c r="AE10" s="995">
        <f t="shared" si="9"/>
        <v>13223.12089866265</v>
      </c>
      <c r="AF10" s="995">
        <f t="shared" si="10"/>
        <v>23718.602653773763</v>
      </c>
      <c r="AG10" s="996">
        <f t="shared" si="11"/>
        <v>179.59160835103052</v>
      </c>
      <c r="AH10" s="881">
        <f t="shared" si="12"/>
        <v>77625.97457397508</v>
      </c>
      <c r="AI10" s="47"/>
      <c r="AJ10" s="47"/>
      <c r="AK10" s="47"/>
      <c r="AL10" s="47">
        <f t="shared" si="13"/>
        <v>0</v>
      </c>
      <c r="AM10" s="47"/>
      <c r="AN10" s="47">
        <f t="shared" si="14"/>
        <v>1382.8140782330145</v>
      </c>
      <c r="AO10" s="47">
        <f t="shared" si="15"/>
        <v>18511.077276097232</v>
      </c>
      <c r="AP10" s="47">
        <f t="shared" si="16"/>
        <v>14813.844071694679</v>
      </c>
      <c r="AQ10" s="47">
        <f t="shared" si="17"/>
        <v>99.541678094669876</v>
      </c>
      <c r="AR10" s="47">
        <f t="shared" si="0"/>
        <v>12.503508722248547</v>
      </c>
      <c r="AS10" s="47">
        <f t="shared" si="18"/>
        <v>514.85000000002037</v>
      </c>
      <c r="AT10" s="47">
        <v>10.86</v>
      </c>
      <c r="AU10" s="250"/>
      <c r="AV10" s="250"/>
    </row>
    <row r="11" spans="1:48" x14ac:dyDescent="0.25">
      <c r="A11" s="331">
        <v>5</v>
      </c>
      <c r="B11" s="332" t="s">
        <v>271</v>
      </c>
      <c r="C11" s="997">
        <v>1976</v>
      </c>
      <c r="D11" s="997">
        <v>2</v>
      </c>
      <c r="E11" s="997">
        <v>18</v>
      </c>
      <c r="F11" s="991">
        <v>44</v>
      </c>
      <c r="G11" s="999">
        <v>865.3</v>
      </c>
      <c r="H11" s="999"/>
      <c r="I11" s="999"/>
      <c r="J11" s="999"/>
      <c r="K11" s="1017">
        <v>830.7</v>
      </c>
      <c r="L11" s="1017">
        <v>972.5</v>
      </c>
      <c r="M11" s="992">
        <v>0</v>
      </c>
      <c r="N11" s="992">
        <v>0</v>
      </c>
      <c r="O11" s="992">
        <v>9241.44</v>
      </c>
      <c r="P11" s="992">
        <v>10805.89</v>
      </c>
      <c r="Q11" s="992">
        <v>99786.42</v>
      </c>
      <c r="R11" s="992">
        <v>97833.57</v>
      </c>
      <c r="S11" s="992">
        <v>2318.81</v>
      </c>
      <c r="T11" s="992">
        <v>2243.04</v>
      </c>
      <c r="U11" s="992">
        <f t="shared" si="1"/>
        <v>112177.37</v>
      </c>
      <c r="V11" s="992">
        <f t="shared" si="2"/>
        <v>111855</v>
      </c>
      <c r="W11" s="993">
        <f t="shared" si="3"/>
        <v>99557.08728105537</v>
      </c>
      <c r="X11" s="993">
        <v>1588.94</v>
      </c>
      <c r="Y11" s="994">
        <f t="shared" si="4"/>
        <v>710.66867353277473</v>
      </c>
      <c r="Z11" s="995">
        <v>8337.2800000000007</v>
      </c>
      <c r="AA11" s="995">
        <f t="shared" si="5"/>
        <v>44.830550053700293</v>
      </c>
      <c r="AB11" s="995">
        <f t="shared" si="6"/>
        <v>441.10302436537546</v>
      </c>
      <c r="AC11" s="995">
        <f t="shared" si="7"/>
        <v>2764.0598415569302</v>
      </c>
      <c r="AD11" s="995">
        <f t="shared" si="8"/>
        <v>28740.528065385352</v>
      </c>
      <c r="AE11" s="995">
        <f t="shared" si="9"/>
        <v>13203.284691452562</v>
      </c>
      <c r="AF11" s="995">
        <f t="shared" si="10"/>
        <v>23683.022012820718</v>
      </c>
      <c r="AG11" s="996">
        <f t="shared" si="11"/>
        <v>179.32220021480117</v>
      </c>
      <c r="AH11" s="881">
        <f t="shared" si="12"/>
        <v>79693.039059382209</v>
      </c>
      <c r="AI11" s="47"/>
      <c r="AJ11" s="47"/>
      <c r="AK11" s="47"/>
      <c r="AL11" s="47">
        <f t="shared" si="13"/>
        <v>0</v>
      </c>
      <c r="AM11" s="47"/>
      <c r="AN11" s="47">
        <f t="shared" si="14"/>
        <v>1380.7396975479198</v>
      </c>
      <c r="AO11" s="47">
        <f t="shared" si="15"/>
        <v>18483.308524125241</v>
      </c>
      <c r="AP11" s="47">
        <f t="shared" si="16"/>
        <v>12620.282718944625</v>
      </c>
      <c r="AQ11" s="47">
        <f t="shared" si="17"/>
        <v>99.71262474775439</v>
      </c>
      <c r="AR11" s="47">
        <f t="shared" si="0"/>
        <v>12.783888347144263</v>
      </c>
      <c r="AS11" s="47">
        <f t="shared" si="18"/>
        <v>322.36999999999534</v>
      </c>
      <c r="AT11" s="47">
        <v>10.86</v>
      </c>
      <c r="AU11" s="250"/>
      <c r="AV11" s="250"/>
    </row>
    <row r="12" spans="1:48" x14ac:dyDescent="0.25">
      <c r="A12" s="331">
        <v>6</v>
      </c>
      <c r="B12" s="332" t="s">
        <v>272</v>
      </c>
      <c r="C12" s="997">
        <v>1970</v>
      </c>
      <c r="D12" s="997">
        <v>2</v>
      </c>
      <c r="E12" s="997">
        <v>16</v>
      </c>
      <c r="F12" s="998">
        <v>44</v>
      </c>
      <c r="G12" s="999">
        <v>710.36</v>
      </c>
      <c r="H12" s="999"/>
      <c r="I12" s="999"/>
      <c r="J12" s="999"/>
      <c r="K12" s="1017">
        <v>682.08</v>
      </c>
      <c r="L12" s="1017">
        <v>711.67</v>
      </c>
      <c r="M12" s="992">
        <v>0</v>
      </c>
      <c r="N12" s="992">
        <v>0</v>
      </c>
      <c r="O12" s="992">
        <v>7588.26</v>
      </c>
      <c r="P12" s="992">
        <v>7905.54</v>
      </c>
      <c r="Q12" s="992">
        <v>82021.5</v>
      </c>
      <c r="R12" s="992">
        <v>69705.56</v>
      </c>
      <c r="S12" s="992">
        <v>1828.88</v>
      </c>
      <c r="T12" s="992">
        <v>1525.59</v>
      </c>
      <c r="U12" s="992">
        <f t="shared" si="1"/>
        <v>92120.72</v>
      </c>
      <c r="V12" s="992">
        <f t="shared" si="2"/>
        <v>79848.359999999986</v>
      </c>
      <c r="W12" s="993">
        <f t="shared" si="3"/>
        <v>76714.458200358829</v>
      </c>
      <c r="X12" s="993">
        <v>647.27</v>
      </c>
      <c r="Y12" s="994">
        <f t="shared" si="4"/>
        <v>583.41684841181313</v>
      </c>
      <c r="Z12" s="995">
        <v>2485.56</v>
      </c>
      <c r="AA12" s="995">
        <f t="shared" si="5"/>
        <v>36.803223779205524</v>
      </c>
      <c r="AB12" s="995">
        <f t="shared" si="6"/>
        <v>362.11943185968812</v>
      </c>
      <c r="AC12" s="995">
        <f t="shared" si="7"/>
        <v>2269.1292604280379</v>
      </c>
      <c r="AD12" s="995">
        <f t="shared" si="8"/>
        <v>23594.269636573605</v>
      </c>
      <c r="AE12" s="995">
        <f t="shared" si="9"/>
        <v>10839.113964428801</v>
      </c>
      <c r="AF12" s="995">
        <f t="shared" si="10"/>
        <v>19442.357005694357</v>
      </c>
      <c r="AG12" s="996">
        <f t="shared" si="11"/>
        <v>147.2128951168221</v>
      </c>
      <c r="AH12" s="881">
        <f t="shared" si="12"/>
        <v>60407.252266292329</v>
      </c>
      <c r="AI12" s="47"/>
      <c r="AJ12" s="47"/>
      <c r="AK12" s="47"/>
      <c r="AL12" s="47">
        <f t="shared" si="13"/>
        <v>0</v>
      </c>
      <c r="AM12" s="47"/>
      <c r="AN12" s="47">
        <f t="shared" si="14"/>
        <v>1133.5054334336535</v>
      </c>
      <c r="AO12" s="47">
        <f t="shared" si="15"/>
        <v>15173.700500632851</v>
      </c>
      <c r="AP12" s="47">
        <f t="shared" si="16"/>
        <v>15406.261799641172</v>
      </c>
      <c r="AQ12" s="47">
        <f t="shared" si="17"/>
        <v>86.677959095413044</v>
      </c>
      <c r="AR12" s="47">
        <f t="shared" si="0"/>
        <v>11.999308363264767</v>
      </c>
      <c r="AS12" s="47">
        <f t="shared" si="18"/>
        <v>12272.360000000015</v>
      </c>
      <c r="AT12" s="47">
        <v>10.87</v>
      </c>
      <c r="AU12" s="250"/>
      <c r="AV12" s="250"/>
    </row>
    <row r="13" spans="1:48" x14ac:dyDescent="0.25">
      <c r="A13" s="331">
        <v>7</v>
      </c>
      <c r="B13" s="332" t="s">
        <v>273</v>
      </c>
      <c r="C13" s="997">
        <v>1973</v>
      </c>
      <c r="D13" s="997">
        <v>2</v>
      </c>
      <c r="E13" s="997">
        <v>18</v>
      </c>
      <c r="F13" s="991">
        <v>40</v>
      </c>
      <c r="G13" s="999">
        <v>773.51</v>
      </c>
      <c r="H13" s="999"/>
      <c r="I13" s="999"/>
      <c r="J13" s="999"/>
      <c r="K13" s="1017">
        <v>742.74</v>
      </c>
      <c r="L13" s="1017">
        <v>741.3</v>
      </c>
      <c r="M13" s="992">
        <v>0</v>
      </c>
      <c r="N13" s="992">
        <v>0</v>
      </c>
      <c r="O13" s="992">
        <v>8263.6200000000008</v>
      </c>
      <c r="P13" s="992">
        <v>8189.69</v>
      </c>
      <c r="Q13" s="992">
        <v>84631.92</v>
      </c>
      <c r="R13" s="992">
        <v>67175.41</v>
      </c>
      <c r="S13" s="992">
        <v>3708.33</v>
      </c>
      <c r="T13" s="992">
        <v>2693.58</v>
      </c>
      <c r="U13" s="992">
        <f t="shared" si="1"/>
        <v>97346.61</v>
      </c>
      <c r="V13" s="992">
        <f t="shared" si="2"/>
        <v>78799.98000000001</v>
      </c>
      <c r="W13" s="993">
        <f t="shared" si="3"/>
        <v>84051.380949461614</v>
      </c>
      <c r="X13" s="993">
        <v>531</v>
      </c>
      <c r="Y13" s="994">
        <f t="shared" si="4"/>
        <v>635.28178165299505</v>
      </c>
      <c r="Z13" s="995">
        <v>3397.45</v>
      </c>
      <c r="AA13" s="995">
        <f t="shared" si="5"/>
        <v>40.074978356682905</v>
      </c>
      <c r="AB13" s="995">
        <f t="shared" si="6"/>
        <v>394.31133754404436</v>
      </c>
      <c r="AC13" s="995">
        <f t="shared" si="7"/>
        <v>2470.851644565701</v>
      </c>
      <c r="AD13" s="995">
        <f t="shared" si="8"/>
        <v>25691.76685988238</v>
      </c>
      <c r="AE13" s="995">
        <f t="shared" si="9"/>
        <v>11802.695876211108</v>
      </c>
      <c r="AF13" s="995">
        <f t="shared" si="10"/>
        <v>21170.755064297879</v>
      </c>
      <c r="AG13" s="996">
        <f t="shared" si="11"/>
        <v>160.29991342673162</v>
      </c>
      <c r="AH13" s="881">
        <f t="shared" si="12"/>
        <v>66294.487455937517</v>
      </c>
      <c r="AI13" s="47"/>
      <c r="AJ13" s="47"/>
      <c r="AK13" s="47"/>
      <c r="AL13" s="47">
        <f t="shared" si="13"/>
        <v>0</v>
      </c>
      <c r="AM13" s="47"/>
      <c r="AN13" s="47">
        <f t="shared" si="14"/>
        <v>1234.2724644057453</v>
      </c>
      <c r="AO13" s="47">
        <f t="shared" si="15"/>
        <v>16522.621029118356</v>
      </c>
      <c r="AP13" s="47">
        <f t="shared" si="16"/>
        <v>13295.229050538386</v>
      </c>
      <c r="AQ13" s="47">
        <f t="shared" si="17"/>
        <v>80.947841943340421</v>
      </c>
      <c r="AR13" s="47">
        <f t="shared" si="0"/>
        <v>12.07358964682804</v>
      </c>
      <c r="AS13" s="47">
        <f t="shared" si="18"/>
        <v>18546.62999999999</v>
      </c>
      <c r="AT13" s="47">
        <v>10.35</v>
      </c>
      <c r="AU13" s="250"/>
      <c r="AV13" s="250"/>
    </row>
    <row r="14" spans="1:48" x14ac:dyDescent="0.25">
      <c r="A14" s="331">
        <v>8</v>
      </c>
      <c r="B14" s="332" t="s">
        <v>274</v>
      </c>
      <c r="C14" s="997">
        <v>1974</v>
      </c>
      <c r="D14" s="997">
        <v>2</v>
      </c>
      <c r="E14" s="997">
        <v>18</v>
      </c>
      <c r="F14" s="998">
        <v>49</v>
      </c>
      <c r="G14" s="999">
        <v>779.68</v>
      </c>
      <c r="H14" s="999"/>
      <c r="I14" s="999"/>
      <c r="J14" s="999"/>
      <c r="K14" s="1017">
        <v>748.26</v>
      </c>
      <c r="L14" s="1017">
        <v>843.37</v>
      </c>
      <c r="M14" s="992">
        <v>0</v>
      </c>
      <c r="N14" s="992">
        <v>0</v>
      </c>
      <c r="O14" s="992">
        <v>8324.7000000000007</v>
      </c>
      <c r="P14" s="992">
        <v>9090.5499999999993</v>
      </c>
      <c r="Q14" s="992">
        <v>85445.7</v>
      </c>
      <c r="R14" s="992">
        <v>67114.740000000005</v>
      </c>
      <c r="S14" s="992">
        <v>3614.15</v>
      </c>
      <c r="T14" s="992">
        <v>2483.19</v>
      </c>
      <c r="U14" s="992">
        <f t="shared" si="1"/>
        <v>98132.81</v>
      </c>
      <c r="V14" s="992">
        <f t="shared" si="2"/>
        <v>79531.850000000006</v>
      </c>
      <c r="W14" s="993">
        <f t="shared" si="3"/>
        <v>83545.731606024783</v>
      </c>
      <c r="X14" s="993">
        <v>883.47</v>
      </c>
      <c r="Y14" s="994">
        <f t="shared" si="4"/>
        <v>640.34918684853096</v>
      </c>
      <c r="Z14" s="995">
        <v>1900.22</v>
      </c>
      <c r="AA14" s="995">
        <f t="shared" si="5"/>
        <v>40.394641472170399</v>
      </c>
      <c r="AB14" s="995">
        <f t="shared" si="6"/>
        <v>397.45661162278509</v>
      </c>
      <c r="AC14" s="995">
        <f t="shared" si="7"/>
        <v>2490.5607041085259</v>
      </c>
      <c r="AD14" s="995">
        <f t="shared" si="8"/>
        <v>25896.700476158156</v>
      </c>
      <c r="AE14" s="995">
        <f t="shared" si="9"/>
        <v>11896.841567354366</v>
      </c>
      <c r="AF14" s="995">
        <f t="shared" si="10"/>
        <v>21339.626260205776</v>
      </c>
      <c r="AG14" s="996">
        <f t="shared" si="11"/>
        <v>161.5785658886816</v>
      </c>
      <c r="AH14" s="881">
        <f t="shared" si="12"/>
        <v>65647.198013658985</v>
      </c>
      <c r="AI14" s="47"/>
      <c r="AJ14" s="47"/>
      <c r="AK14" s="47"/>
      <c r="AL14" s="47">
        <f t="shared" si="13"/>
        <v>0</v>
      </c>
      <c r="AM14" s="47"/>
      <c r="AN14" s="47">
        <f t="shared" si="14"/>
        <v>1244.117794272694</v>
      </c>
      <c r="AO14" s="47">
        <f t="shared" si="15"/>
        <v>16654.415798093109</v>
      </c>
      <c r="AP14" s="47">
        <f t="shared" si="16"/>
        <v>14587.078393975215</v>
      </c>
      <c r="AQ14" s="47">
        <f t="shared" si="17"/>
        <v>81.045116307175974</v>
      </c>
      <c r="AR14" s="47">
        <f t="shared" si="0"/>
        <v>11.905985875405406</v>
      </c>
      <c r="AS14" s="47">
        <f t="shared" si="18"/>
        <v>18600.959999999992</v>
      </c>
      <c r="AT14" s="47">
        <v>10.37</v>
      </c>
      <c r="AU14" s="250"/>
      <c r="AV14" s="250"/>
    </row>
    <row r="15" spans="1:48" x14ac:dyDescent="0.25">
      <c r="A15" s="331">
        <v>9</v>
      </c>
      <c r="B15" s="332" t="s">
        <v>275</v>
      </c>
      <c r="C15" s="997">
        <v>1973</v>
      </c>
      <c r="D15" s="997">
        <v>2</v>
      </c>
      <c r="E15" s="997">
        <v>18</v>
      </c>
      <c r="F15" s="1000">
        <v>50</v>
      </c>
      <c r="G15" s="999">
        <v>776.87</v>
      </c>
      <c r="H15" s="999"/>
      <c r="I15" s="999"/>
      <c r="J15" s="999"/>
      <c r="K15" s="1017">
        <v>745.56</v>
      </c>
      <c r="L15" s="1017">
        <v>689.76</v>
      </c>
      <c r="M15" s="992">
        <v>0</v>
      </c>
      <c r="N15" s="992">
        <v>0</v>
      </c>
      <c r="O15" s="992">
        <v>8294.8799999999992</v>
      </c>
      <c r="P15" s="992">
        <v>7674.56</v>
      </c>
      <c r="Q15" s="992">
        <v>85139.76</v>
      </c>
      <c r="R15" s="992">
        <v>64611.94</v>
      </c>
      <c r="S15" s="992">
        <v>3757.93</v>
      </c>
      <c r="T15" s="992">
        <v>2848.13</v>
      </c>
      <c r="U15" s="992">
        <f t="shared" si="1"/>
        <v>97938.12999999999</v>
      </c>
      <c r="V15" s="992">
        <f t="shared" si="2"/>
        <v>75824.390000000014</v>
      </c>
      <c r="W15" s="993">
        <f t="shared" si="3"/>
        <v>84843.681760815321</v>
      </c>
      <c r="X15" s="993">
        <v>984.57</v>
      </c>
      <c r="Y15" s="994">
        <f t="shared" si="4"/>
        <v>638.04134104635011</v>
      </c>
      <c r="Z15" s="995">
        <v>3388.14</v>
      </c>
      <c r="AA15" s="995">
        <f t="shared" si="5"/>
        <v>40.249057460092629</v>
      </c>
      <c r="AB15" s="995">
        <f t="shared" si="6"/>
        <v>396.02416102938781</v>
      </c>
      <c r="AC15" s="995">
        <f t="shared" si="7"/>
        <v>2481.5846170233822</v>
      </c>
      <c r="AD15" s="995">
        <f t="shared" si="8"/>
        <v>25803.367662262706</v>
      </c>
      <c r="AE15" s="995">
        <f t="shared" si="9"/>
        <v>11853.964842538717</v>
      </c>
      <c r="AF15" s="995">
        <f t="shared" si="10"/>
        <v>21262.717336299585</v>
      </c>
      <c r="AG15" s="996">
        <f t="shared" si="11"/>
        <v>160.99622984037052</v>
      </c>
      <c r="AH15" s="881">
        <f t="shared" si="12"/>
        <v>67009.655247500603</v>
      </c>
      <c r="AI15" s="47"/>
      <c r="AJ15" s="47"/>
      <c r="AK15" s="47"/>
      <c r="AL15" s="47">
        <f t="shared" si="13"/>
        <v>0</v>
      </c>
      <c r="AM15" s="47"/>
      <c r="AN15" s="47">
        <f t="shared" si="14"/>
        <v>1239.6339406379898</v>
      </c>
      <c r="AO15" s="47">
        <f t="shared" si="15"/>
        <v>16594.39257267673</v>
      </c>
      <c r="AP15" s="47">
        <f t="shared" si="16"/>
        <v>13094.448239184669</v>
      </c>
      <c r="AQ15" s="47">
        <f t="shared" si="17"/>
        <v>77.420704275239913</v>
      </c>
      <c r="AR15" s="47">
        <f t="shared" si="0"/>
        <v>12.1346888812822</v>
      </c>
      <c r="AS15" s="47">
        <f t="shared" si="18"/>
        <v>22113.739999999976</v>
      </c>
      <c r="AT15" s="47">
        <v>10.37</v>
      </c>
      <c r="AU15" s="250"/>
      <c r="AV15" s="250"/>
    </row>
    <row r="16" spans="1:48" x14ac:dyDescent="0.25">
      <c r="A16" s="331">
        <v>10</v>
      </c>
      <c r="B16" s="332" t="s">
        <v>276</v>
      </c>
      <c r="C16" s="997">
        <v>1988</v>
      </c>
      <c r="D16" s="997">
        <v>5</v>
      </c>
      <c r="E16" s="997">
        <v>60</v>
      </c>
      <c r="F16" s="998">
        <v>161</v>
      </c>
      <c r="G16" s="1535">
        <v>3167</v>
      </c>
      <c r="H16" s="999">
        <v>210</v>
      </c>
      <c r="I16" s="999">
        <v>45604.800000000003</v>
      </c>
      <c r="J16" s="999">
        <v>49525.36</v>
      </c>
      <c r="K16" s="1017">
        <v>3040.38</v>
      </c>
      <c r="L16" s="1017">
        <v>3301.75</v>
      </c>
      <c r="M16" s="992">
        <v>13111.44</v>
      </c>
      <c r="N16" s="992">
        <v>14238.61</v>
      </c>
      <c r="O16" s="992">
        <v>33823.5</v>
      </c>
      <c r="P16" s="992">
        <v>36702.720000000001</v>
      </c>
      <c r="Q16" s="992">
        <v>390681.24</v>
      </c>
      <c r="R16" s="992">
        <v>331481.3</v>
      </c>
      <c r="S16" s="992">
        <v>10182.120000000001</v>
      </c>
      <c r="T16" s="992">
        <v>8787.2800000000007</v>
      </c>
      <c r="U16" s="992">
        <f t="shared" si="1"/>
        <v>496443.48</v>
      </c>
      <c r="V16" s="992">
        <f t="shared" si="2"/>
        <v>444037.02</v>
      </c>
      <c r="W16" s="993">
        <f t="shared" si="3"/>
        <v>481787.54781448352</v>
      </c>
      <c r="X16" s="993">
        <v>2583.88</v>
      </c>
      <c r="Y16" s="994">
        <f t="shared" si="4"/>
        <v>2601.0489877248328</v>
      </c>
      <c r="Z16" s="995">
        <v>22976.17</v>
      </c>
      <c r="AA16" s="995">
        <f t="shared" si="5"/>
        <v>164.07991681505703</v>
      </c>
      <c r="AB16" s="995">
        <f t="shared" si="6"/>
        <v>1614.4380887150633</v>
      </c>
      <c r="AC16" s="995">
        <f t="shared" si="7"/>
        <v>10116.465408772447</v>
      </c>
      <c r="AD16" s="995">
        <f t="shared" si="8"/>
        <v>105190.39914835943</v>
      </c>
      <c r="AE16" s="995">
        <f t="shared" si="9"/>
        <v>48324.052487958237</v>
      </c>
      <c r="AF16" s="995">
        <f t="shared" si="10"/>
        <v>86679.915306371448</v>
      </c>
      <c r="AG16" s="996">
        <f t="shared" si="11"/>
        <v>656.31966726022813</v>
      </c>
      <c r="AH16" s="881">
        <f t="shared" si="12"/>
        <v>280906.76901197672</v>
      </c>
      <c r="AI16" s="47"/>
      <c r="AJ16" s="47"/>
      <c r="AK16" s="47">
        <f>448572.61/12530.5*G16</f>
        <v>113373.72458162085</v>
      </c>
      <c r="AL16" s="47">
        <f t="shared" si="13"/>
        <v>113373.72458162085</v>
      </c>
      <c r="AM16" s="47">
        <f>45072.9/9642*G16</f>
        <v>14804.591817050405</v>
      </c>
      <c r="AN16" s="47">
        <f t="shared" si="14"/>
        <v>5053.5104843802865</v>
      </c>
      <c r="AO16" s="47">
        <f t="shared" si="15"/>
        <v>67648.951919455256</v>
      </c>
      <c r="AP16" s="47">
        <f t="shared" si="16"/>
        <v>14655.93218551646</v>
      </c>
      <c r="AQ16" s="47">
        <f t="shared" si="17"/>
        <v>89.443620047140115</v>
      </c>
      <c r="AR16" s="47">
        <f t="shared" si="0"/>
        <v>16.903046971002475</v>
      </c>
      <c r="AS16" s="47">
        <f t="shared" si="18"/>
        <v>52406.459999999963</v>
      </c>
      <c r="AT16" s="47">
        <v>13.13</v>
      </c>
      <c r="AU16" s="250"/>
      <c r="AV16" s="250"/>
    </row>
    <row r="17" spans="1:48" x14ac:dyDescent="0.25">
      <c r="A17" s="331">
        <v>11</v>
      </c>
      <c r="B17" s="332" t="s">
        <v>277</v>
      </c>
      <c r="C17" s="997">
        <v>1979</v>
      </c>
      <c r="D17" s="997">
        <v>5</v>
      </c>
      <c r="E17" s="997">
        <v>60</v>
      </c>
      <c r="F17" s="991">
        <v>166</v>
      </c>
      <c r="G17" s="1535">
        <v>3217.9</v>
      </c>
      <c r="H17" s="999">
        <v>210</v>
      </c>
      <c r="I17" s="999">
        <v>48268.5</v>
      </c>
      <c r="J17" s="999">
        <v>54602.44</v>
      </c>
      <c r="K17" s="1017">
        <v>3089.16</v>
      </c>
      <c r="L17" s="1017">
        <v>3494.62</v>
      </c>
      <c r="M17" s="992">
        <v>13322.04</v>
      </c>
      <c r="N17" s="992">
        <v>15070.06</v>
      </c>
      <c r="O17" s="992">
        <v>34367.160000000003</v>
      </c>
      <c r="P17" s="992">
        <v>38766.21</v>
      </c>
      <c r="Q17" s="992">
        <v>411247.62</v>
      </c>
      <c r="R17" s="992">
        <v>360836.05</v>
      </c>
      <c r="S17" s="992">
        <v>8936.83</v>
      </c>
      <c r="T17" s="992">
        <v>7910.51</v>
      </c>
      <c r="U17" s="992">
        <f t="shared" si="1"/>
        <v>519231.31</v>
      </c>
      <c r="V17" s="992">
        <f t="shared" si="2"/>
        <v>480679.89</v>
      </c>
      <c r="W17" s="993">
        <f t="shared" si="3"/>
        <v>471766.36270199763</v>
      </c>
      <c r="X17" s="993">
        <v>1589.84</v>
      </c>
      <c r="Y17" s="994">
        <f t="shared" si="4"/>
        <v>2642.853027344408</v>
      </c>
      <c r="Z17" s="995">
        <v>6616.54</v>
      </c>
      <c r="AA17" s="995">
        <f t="shared" si="5"/>
        <v>166.71700799468644</v>
      </c>
      <c r="AB17" s="995">
        <f t="shared" si="6"/>
        <v>1640.3853254424382</v>
      </c>
      <c r="AC17" s="995">
        <f t="shared" si="7"/>
        <v>10279.05716415815</v>
      </c>
      <c r="AD17" s="995">
        <f t="shared" si="8"/>
        <v>106881.01844632327</v>
      </c>
      <c r="AE17" s="995">
        <f t="shared" si="9"/>
        <v>49100.716293337806</v>
      </c>
      <c r="AF17" s="995">
        <f t="shared" si="10"/>
        <v>88073.034248302094</v>
      </c>
      <c r="AG17" s="996">
        <f t="shared" si="11"/>
        <v>666.86803197874576</v>
      </c>
      <c r="AH17" s="881">
        <f t="shared" si="12"/>
        <v>267657.0295448816</v>
      </c>
      <c r="AI17" s="47"/>
      <c r="AJ17" s="47"/>
      <c r="AK17" s="47">
        <f t="shared" ref="AK17:AK20" si="19">448572.61/12530.5*G17</f>
        <v>115195.8662239336</v>
      </c>
      <c r="AL17" s="47">
        <f t="shared" si="13"/>
        <v>115195.8662239336</v>
      </c>
      <c r="AM17" s="47">
        <f t="shared" ref="AM17:AM18" si="20">45072.9/9642*G17</f>
        <v>15042.531104542628</v>
      </c>
      <c r="AN17" s="47">
        <f t="shared" si="14"/>
        <v>5134.7304665889878</v>
      </c>
      <c r="AO17" s="47">
        <f t="shared" si="15"/>
        <v>68736.205362050867</v>
      </c>
      <c r="AP17" s="47">
        <f t="shared" si="16"/>
        <v>47464.947298002371</v>
      </c>
      <c r="AQ17" s="47">
        <f t="shared" si="17"/>
        <v>92.575289806772247</v>
      </c>
      <c r="AR17" s="47">
        <f t="shared" si="0"/>
        <v>16.289656218237482</v>
      </c>
      <c r="AS17" s="47">
        <f t="shared" si="18"/>
        <v>38551.419999999984</v>
      </c>
      <c r="AT17" s="47">
        <v>13.56</v>
      </c>
      <c r="AU17" s="250"/>
      <c r="AV17" s="250"/>
    </row>
    <row r="18" spans="1:48" x14ac:dyDescent="0.25">
      <c r="A18" s="331">
        <v>12</v>
      </c>
      <c r="B18" s="332" t="s">
        <v>278</v>
      </c>
      <c r="C18" s="997">
        <v>1980</v>
      </c>
      <c r="D18" s="997">
        <v>5</v>
      </c>
      <c r="E18" s="997">
        <v>60</v>
      </c>
      <c r="F18" s="998">
        <v>153</v>
      </c>
      <c r="G18" s="1535">
        <v>3257.1</v>
      </c>
      <c r="H18" s="999">
        <v>210</v>
      </c>
      <c r="I18" s="999">
        <v>48074.76</v>
      </c>
      <c r="J18" s="999">
        <v>46636.07</v>
      </c>
      <c r="K18" s="1017">
        <v>3126.78</v>
      </c>
      <c r="L18" s="1017">
        <v>3032.9</v>
      </c>
      <c r="M18" s="992">
        <v>13484.94</v>
      </c>
      <c r="N18" s="992">
        <v>13079.68</v>
      </c>
      <c r="O18" s="992">
        <v>34785.839999999997</v>
      </c>
      <c r="P18" s="992">
        <v>33536.47</v>
      </c>
      <c r="Q18" s="992">
        <v>400623.72</v>
      </c>
      <c r="R18" s="992">
        <v>301428.28999999998</v>
      </c>
      <c r="S18" s="992">
        <v>7596.77</v>
      </c>
      <c r="T18" s="992">
        <v>5735.59</v>
      </c>
      <c r="U18" s="992">
        <f t="shared" si="1"/>
        <v>507692.81</v>
      </c>
      <c r="V18" s="992">
        <f t="shared" si="2"/>
        <v>403449</v>
      </c>
      <c r="W18" s="993">
        <f t="shared" si="3"/>
        <v>478421.5544621264</v>
      </c>
      <c r="X18" s="993">
        <v>2080.9899999999998</v>
      </c>
      <c r="Y18" s="994">
        <f t="shared" si="4"/>
        <v>2675.0478869335502</v>
      </c>
      <c r="Z18" s="995">
        <v>7133.56</v>
      </c>
      <c r="AA18" s="995">
        <f t="shared" si="5"/>
        <v>168.74793086779988</v>
      </c>
      <c r="AB18" s="995">
        <f t="shared" si="6"/>
        <v>1660.3682661047781</v>
      </c>
      <c r="AC18" s="995">
        <f t="shared" si="7"/>
        <v>10404.275176164427</v>
      </c>
      <c r="AD18" s="995">
        <f t="shared" si="8"/>
        <v>108183.02780742706</v>
      </c>
      <c r="AE18" s="995">
        <f t="shared" si="9"/>
        <v>49698.854233826576</v>
      </c>
      <c r="AF18" s="995">
        <f t="shared" si="10"/>
        <v>89145.927421655331</v>
      </c>
      <c r="AG18" s="996">
        <f t="shared" si="11"/>
        <v>674.99172347119952</v>
      </c>
      <c r="AH18" s="881">
        <f t="shared" si="12"/>
        <v>271825.7904464507</v>
      </c>
      <c r="AI18" s="47"/>
      <c r="AJ18" s="47"/>
      <c r="AK18" s="47">
        <f t="shared" si="19"/>
        <v>116599.16587773831</v>
      </c>
      <c r="AL18" s="47">
        <f t="shared" si="13"/>
        <v>116599.16587773831</v>
      </c>
      <c r="AM18" s="47">
        <f t="shared" si="20"/>
        <v>15225.777078406971</v>
      </c>
      <c r="AN18" s="47">
        <f t="shared" si="14"/>
        <v>5197.2810226318379</v>
      </c>
      <c r="AO18" s="47">
        <f t="shared" si="15"/>
        <v>69573.540036898557</v>
      </c>
      <c r="AP18" s="47">
        <f t="shared" si="16"/>
        <v>29271.2555378736</v>
      </c>
      <c r="AQ18" s="47">
        <f t="shared" si="17"/>
        <v>79.467148648412021</v>
      </c>
      <c r="AR18" s="47">
        <f t="shared" si="0"/>
        <v>16.320638143069548</v>
      </c>
      <c r="AS18" s="47">
        <f t="shared" si="18"/>
        <v>104243.81</v>
      </c>
      <c r="AT18" s="47">
        <v>13.13</v>
      </c>
      <c r="AU18" s="250"/>
      <c r="AV18" s="250"/>
    </row>
    <row r="19" spans="1:48" x14ac:dyDescent="0.25">
      <c r="A19" s="331">
        <v>13</v>
      </c>
      <c r="B19" s="332" t="s">
        <v>279</v>
      </c>
      <c r="C19" s="997">
        <v>1978</v>
      </c>
      <c r="D19" s="997">
        <v>3</v>
      </c>
      <c r="E19" s="997">
        <v>24</v>
      </c>
      <c r="F19" s="991">
        <v>71</v>
      </c>
      <c r="G19" s="999">
        <v>1444.2</v>
      </c>
      <c r="H19" s="999">
        <v>176.8</v>
      </c>
      <c r="I19" s="999">
        <v>21836.22</v>
      </c>
      <c r="J19" s="999">
        <v>23296.39</v>
      </c>
      <c r="K19" s="1017">
        <v>1386.36</v>
      </c>
      <c r="L19" s="1017">
        <v>1479.02</v>
      </c>
      <c r="M19" s="992">
        <v>0</v>
      </c>
      <c r="N19" s="992">
        <v>0</v>
      </c>
      <c r="O19" s="992">
        <v>15424.08</v>
      </c>
      <c r="P19" s="992">
        <v>16413.98</v>
      </c>
      <c r="Q19" s="992">
        <v>184742.58</v>
      </c>
      <c r="R19" s="992">
        <v>160595.49</v>
      </c>
      <c r="S19" s="992">
        <v>3570.62</v>
      </c>
      <c r="T19" s="992">
        <v>3057.52</v>
      </c>
      <c r="U19" s="992">
        <f t="shared" si="1"/>
        <v>226959.86</v>
      </c>
      <c r="V19" s="992">
        <f t="shared" si="2"/>
        <v>204842.4</v>
      </c>
      <c r="W19" s="993">
        <f t="shared" si="3"/>
        <v>202999.83547252699</v>
      </c>
      <c r="X19" s="993">
        <v>1295.5</v>
      </c>
      <c r="Y19" s="994">
        <f t="shared" si="4"/>
        <v>1186.1177606795718</v>
      </c>
      <c r="Z19" s="995">
        <v>408.8</v>
      </c>
      <c r="AA19" s="995">
        <f t="shared" si="5"/>
        <v>74.822928912000421</v>
      </c>
      <c r="AB19" s="995">
        <f t="shared" si="6"/>
        <v>736.20823736100238</v>
      </c>
      <c r="AC19" s="995">
        <f t="shared" si="7"/>
        <v>4613.2615545782028</v>
      </c>
      <c r="AD19" s="995">
        <f t="shared" si="8"/>
        <v>47968.416308828761</v>
      </c>
      <c r="AE19" s="995">
        <f t="shared" si="9"/>
        <v>22036.500348313639</v>
      </c>
      <c r="AF19" s="995">
        <f t="shared" si="10"/>
        <v>39527.355126448267</v>
      </c>
      <c r="AG19" s="996">
        <f t="shared" si="11"/>
        <v>299.29171564800168</v>
      </c>
      <c r="AH19" s="881">
        <f t="shared" si="12"/>
        <v>118146.27398076945</v>
      </c>
      <c r="AI19" s="47"/>
      <c r="AJ19" s="47"/>
      <c r="AK19" s="47">
        <f t="shared" si="19"/>
        <v>51700.136735325803</v>
      </c>
      <c r="AL19" s="47">
        <f t="shared" si="13"/>
        <v>51700.136735325803</v>
      </c>
      <c r="AM19" s="47"/>
      <c r="AN19" s="47">
        <f t="shared" si="14"/>
        <v>2304.4773733950142</v>
      </c>
      <c r="AO19" s="47">
        <f t="shared" si="15"/>
        <v>30848.947383036721</v>
      </c>
      <c r="AP19" s="47">
        <f t="shared" si="16"/>
        <v>23960.024527472997</v>
      </c>
      <c r="AQ19" s="47">
        <f t="shared" si="17"/>
        <v>90.254902342643334</v>
      </c>
      <c r="AR19" s="47">
        <f t="shared" si="0"/>
        <v>15.618015008118833</v>
      </c>
      <c r="AS19" s="47">
        <f t="shared" si="18"/>
        <v>22117.459999999992</v>
      </c>
      <c r="AT19" s="47">
        <v>13.23</v>
      </c>
      <c r="AU19" s="250"/>
      <c r="AV19" s="250"/>
    </row>
    <row r="20" spans="1:48" x14ac:dyDescent="0.25">
      <c r="A20" s="331">
        <v>14</v>
      </c>
      <c r="B20" s="332" t="s">
        <v>280</v>
      </c>
      <c r="C20" s="997">
        <v>1980</v>
      </c>
      <c r="D20" s="997">
        <v>3</v>
      </c>
      <c r="E20" s="997">
        <v>24</v>
      </c>
      <c r="F20" s="998">
        <v>71</v>
      </c>
      <c r="G20" s="999">
        <v>1444.3</v>
      </c>
      <c r="H20" s="999">
        <v>176.8</v>
      </c>
      <c r="I20" s="999">
        <v>21606.42</v>
      </c>
      <c r="J20" s="999">
        <v>23629.91</v>
      </c>
      <c r="K20" s="1017">
        <v>1388.34</v>
      </c>
      <c r="L20" s="1017">
        <v>1518.38</v>
      </c>
      <c r="M20" s="992">
        <v>0</v>
      </c>
      <c r="N20" s="992">
        <v>0</v>
      </c>
      <c r="O20" s="992">
        <v>15445.44</v>
      </c>
      <c r="P20" s="992">
        <v>16864.09</v>
      </c>
      <c r="Q20" s="992">
        <v>185258.46</v>
      </c>
      <c r="R20" s="992">
        <v>162038.53</v>
      </c>
      <c r="S20" s="992">
        <v>4113.95</v>
      </c>
      <c r="T20" s="992">
        <v>3652.45</v>
      </c>
      <c r="U20" s="992">
        <f t="shared" si="1"/>
        <v>227812.61</v>
      </c>
      <c r="V20" s="992">
        <f t="shared" si="2"/>
        <v>207703.36000000002</v>
      </c>
      <c r="W20" s="993">
        <f t="shared" si="3"/>
        <v>204174.52367606337</v>
      </c>
      <c r="X20" s="993">
        <v>1530.5</v>
      </c>
      <c r="Y20" s="994">
        <f t="shared" si="4"/>
        <v>1186.1998904234215</v>
      </c>
      <c r="Z20" s="995">
        <v>1334.55</v>
      </c>
      <c r="AA20" s="995">
        <f t="shared" si="5"/>
        <v>74.828109837697141</v>
      </c>
      <c r="AB20" s="995">
        <f t="shared" si="6"/>
        <v>736.25921425044703</v>
      </c>
      <c r="AC20" s="995">
        <f t="shared" si="7"/>
        <v>4613.5809882823005</v>
      </c>
      <c r="AD20" s="995">
        <f t="shared" si="8"/>
        <v>47971.737761280558</v>
      </c>
      <c r="AE20" s="995">
        <f t="shared" si="9"/>
        <v>22038.026210406719</v>
      </c>
      <c r="AF20" s="995">
        <f t="shared" si="10"/>
        <v>39530.092098829264</v>
      </c>
      <c r="AG20" s="996">
        <f t="shared" si="11"/>
        <v>299.31243935078857</v>
      </c>
      <c r="AH20" s="881">
        <f t="shared" si="12"/>
        <v>119315.08671266118</v>
      </c>
      <c r="AI20" s="47"/>
      <c r="AJ20" s="47"/>
      <c r="AK20" s="47">
        <f t="shared" si="19"/>
        <v>51703.716581381428</v>
      </c>
      <c r="AL20" s="47">
        <f t="shared" si="13"/>
        <v>51703.716581381428</v>
      </c>
      <c r="AM20" s="47"/>
      <c r="AN20" s="47">
        <f t="shared" si="14"/>
        <v>2304.6369411400215</v>
      </c>
      <c r="AO20" s="47">
        <f t="shared" si="15"/>
        <v>30851.083440880717</v>
      </c>
      <c r="AP20" s="47">
        <f t="shared" si="16"/>
        <v>23638.086323936615</v>
      </c>
      <c r="AQ20" s="47">
        <f t="shared" si="17"/>
        <v>91.172898638051706</v>
      </c>
      <c r="AR20" s="47">
        <f t="shared" si="0"/>
        <v>15.707303320798493</v>
      </c>
      <c r="AS20" s="47">
        <f t="shared" si="18"/>
        <v>20109.249999999971</v>
      </c>
      <c r="AT20" s="47">
        <v>13.23</v>
      </c>
      <c r="AU20" s="250"/>
      <c r="AV20" s="250"/>
    </row>
    <row r="21" spans="1:48" x14ac:dyDescent="0.25">
      <c r="A21" s="331"/>
      <c r="B21" s="464" t="s">
        <v>125</v>
      </c>
      <c r="C21" s="846"/>
      <c r="D21" s="846"/>
      <c r="E21" s="1736">
        <f>SUM(E6:E20)</f>
        <v>382</v>
      </c>
      <c r="F21" s="1736">
        <f>SUM(F7:F20)</f>
        <v>991</v>
      </c>
      <c r="G21" s="1688">
        <f>SUM(G7:G20)</f>
        <v>19301.57</v>
      </c>
      <c r="H21" s="1688">
        <f t="shared" ref="H21:AO21" si="21">SUM(H7:H20)</f>
        <v>983.59999999999991</v>
      </c>
      <c r="I21" s="1688">
        <f t="shared" si="21"/>
        <v>185390.7</v>
      </c>
      <c r="J21" s="1688">
        <f t="shared" si="21"/>
        <v>197690.17</v>
      </c>
      <c r="K21" s="1688">
        <f>SUM(K7:K20)</f>
        <v>18529.68</v>
      </c>
      <c r="L21" s="1688">
        <f>SUM(L7:L20)</f>
        <v>20109.190000000002</v>
      </c>
      <c r="M21" s="1689">
        <f t="shared" si="21"/>
        <v>39918.420000000006</v>
      </c>
      <c r="N21" s="1689">
        <f t="shared" si="21"/>
        <v>42388.35</v>
      </c>
      <c r="O21" s="1689">
        <f t="shared" si="21"/>
        <v>206146.44</v>
      </c>
      <c r="P21" s="1689">
        <f t="shared" si="21"/>
        <v>222744.24000000002</v>
      </c>
      <c r="Q21" s="1689">
        <f t="shared" si="21"/>
        <v>2340245.0999999996</v>
      </c>
      <c r="R21" s="1689">
        <f t="shared" si="21"/>
        <v>1992009.0000000002</v>
      </c>
      <c r="S21" s="1689">
        <f t="shared" si="21"/>
        <v>57424.99</v>
      </c>
      <c r="T21" s="1689">
        <f t="shared" si="21"/>
        <v>47896.51</v>
      </c>
      <c r="U21" s="1689">
        <f t="shared" si="21"/>
        <v>2847655.33</v>
      </c>
      <c r="V21" s="1689">
        <f t="shared" si="21"/>
        <v>2522837.46</v>
      </c>
      <c r="W21" s="1689">
        <f t="shared" si="21"/>
        <v>2580762.2799999998</v>
      </c>
      <c r="X21" s="1689">
        <f t="shared" si="21"/>
        <v>15250.43</v>
      </c>
      <c r="Y21" s="1689">
        <f t="shared" si="21"/>
        <v>15852.329999999998</v>
      </c>
      <c r="Z21" s="1689">
        <f t="shared" si="21"/>
        <v>72540.720000000016</v>
      </c>
      <c r="AA21" s="1689">
        <f t="shared" si="21"/>
        <v>1000</v>
      </c>
      <c r="AB21" s="1689">
        <f t="shared" si="21"/>
        <v>9839.340000000002</v>
      </c>
      <c r="AC21" s="1689">
        <f t="shared" si="21"/>
        <v>61655.72</v>
      </c>
      <c r="AD21" s="1689">
        <f t="shared" si="21"/>
        <v>641092.47</v>
      </c>
      <c r="AE21" s="1689">
        <f t="shared" si="21"/>
        <v>294515.34000000003</v>
      </c>
      <c r="AF21" s="1689">
        <f t="shared" si="21"/>
        <v>528278.64</v>
      </c>
      <c r="AG21" s="1689">
        <f t="shared" si="21"/>
        <v>4000</v>
      </c>
      <c r="AH21" s="1689">
        <f t="shared" si="21"/>
        <v>1644024.9899999998</v>
      </c>
      <c r="AI21" s="1689">
        <f t="shared" si="21"/>
        <v>0</v>
      </c>
      <c r="AJ21" s="1689">
        <f t="shared" si="21"/>
        <v>0</v>
      </c>
      <c r="AK21" s="1689">
        <f t="shared" si="21"/>
        <v>448572.61</v>
      </c>
      <c r="AL21" s="1689">
        <f t="shared" si="21"/>
        <v>448572.61</v>
      </c>
      <c r="AM21" s="1689">
        <f t="shared" si="21"/>
        <v>45072.9</v>
      </c>
      <c r="AN21" s="1689">
        <f t="shared" si="21"/>
        <v>30799.08</v>
      </c>
      <c r="AO21" s="1689">
        <f t="shared" si="21"/>
        <v>412292.7</v>
      </c>
      <c r="AP21" s="495">
        <f>U21-W21</f>
        <v>266893.05000000028</v>
      </c>
      <c r="AQ21" s="495">
        <f t="shared" si="17"/>
        <v>88.593497725021379</v>
      </c>
      <c r="AR21" s="495">
        <f t="shared" si="0"/>
        <v>14.856375126191519</v>
      </c>
      <c r="AS21" s="495">
        <f t="shared" si="18"/>
        <v>324817.87000000011</v>
      </c>
      <c r="AT21" s="1001"/>
      <c r="AU21" s="250"/>
      <c r="AV21" s="250"/>
    </row>
    <row r="22" spans="1:48" x14ac:dyDescent="0.25">
      <c r="C22" s="375"/>
      <c r="D22" s="375"/>
      <c r="E22" s="375"/>
      <c r="F22" s="375"/>
      <c r="G22" s="375"/>
      <c r="H22" s="375"/>
      <c r="I22" s="375"/>
      <c r="J22" s="375"/>
      <c r="K22" s="1692" t="s">
        <v>180</v>
      </c>
      <c r="L22" s="1692"/>
      <c r="M22" s="1692" t="s">
        <v>180</v>
      </c>
      <c r="N22" s="1692"/>
      <c r="O22" s="1692" t="s">
        <v>180</v>
      </c>
      <c r="P22" s="1692"/>
      <c r="Q22" s="1692" t="s">
        <v>180</v>
      </c>
      <c r="R22" s="1692"/>
      <c r="S22" s="1692" t="s">
        <v>180</v>
      </c>
      <c r="T22" s="1692"/>
      <c r="U22" s="1692"/>
      <c r="V22" s="1692"/>
      <c r="W22" s="375" t="s">
        <v>180</v>
      </c>
      <c r="X22" s="1532">
        <f>X21+Y21</f>
        <v>31102.76</v>
      </c>
      <c r="Y22" s="375"/>
      <c r="Z22" s="375" t="s">
        <v>180</v>
      </c>
      <c r="AA22" s="375" t="s">
        <v>180</v>
      </c>
      <c r="AB22" s="375" t="s">
        <v>180</v>
      </c>
      <c r="AC22" s="375" t="s">
        <v>180</v>
      </c>
      <c r="AD22" s="375" t="s">
        <v>180</v>
      </c>
      <c r="AE22" s="763" t="s">
        <v>180</v>
      </c>
      <c r="AF22" s="1533" t="s">
        <v>180</v>
      </c>
      <c r="AG22" s="375" t="s">
        <v>180</v>
      </c>
      <c r="AH22" s="375" t="s">
        <v>180</v>
      </c>
      <c r="AK22" s="1484" t="s">
        <v>180</v>
      </c>
      <c r="AL22" t="s">
        <v>180</v>
      </c>
      <c r="AM22" t="s">
        <v>180</v>
      </c>
      <c r="AN22" t="s">
        <v>180</v>
      </c>
      <c r="AO22" t="s">
        <v>180</v>
      </c>
      <c r="AU22" s="250"/>
      <c r="AV22" s="250"/>
    </row>
    <row r="23" spans="1:48" ht="17.25" customHeight="1" x14ac:dyDescent="0.25">
      <c r="B23" s="1534" t="s">
        <v>754</v>
      </c>
      <c r="C23" s="375"/>
      <c r="D23" s="375"/>
      <c r="E23" s="375"/>
      <c r="F23" s="375"/>
      <c r="G23" s="1536">
        <f>G16+G17+G18</f>
        <v>9642</v>
      </c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764"/>
      <c r="V23" s="375"/>
      <c r="W23" s="375"/>
      <c r="X23" s="375"/>
      <c r="Y23" s="375"/>
      <c r="Z23" s="375"/>
      <c r="AA23" s="375"/>
      <c r="AB23" s="375"/>
      <c r="AC23" s="375"/>
      <c r="AE23" s="375"/>
      <c r="AF23" s="375"/>
      <c r="AG23" s="375"/>
      <c r="AH23" s="375"/>
    </row>
    <row r="24" spans="1:48" x14ac:dyDescent="0.25">
      <c r="C24" s="375"/>
      <c r="D24" s="375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/>
      <c r="P24" s="375"/>
      <c r="Q24" s="375"/>
      <c r="R24" s="375"/>
      <c r="S24" s="375"/>
      <c r="T24" s="375"/>
      <c r="U24" s="375"/>
      <c r="V24" s="375"/>
      <c r="W24" s="375"/>
      <c r="X24" s="375"/>
      <c r="Y24" s="375"/>
      <c r="Z24" s="375"/>
      <c r="AA24" s="375"/>
      <c r="AB24" s="375"/>
      <c r="AC24" s="375"/>
      <c r="AD24" s="375"/>
      <c r="AE24" s="375"/>
      <c r="AF24" s="375"/>
      <c r="AG24" s="375"/>
      <c r="AH24" s="375"/>
    </row>
    <row r="25" spans="1:48" ht="18.75" x14ac:dyDescent="0.3">
      <c r="B25" s="74" t="s">
        <v>806</v>
      </c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6"/>
      <c r="N25" s="766"/>
      <c r="O25" s="766"/>
      <c r="P25" s="766"/>
      <c r="Q25" s="766"/>
      <c r="R25" s="766"/>
      <c r="S25" s="766"/>
      <c r="T25" s="766"/>
      <c r="U25" s="766"/>
      <c r="V25" s="766"/>
      <c r="W25" s="766"/>
      <c r="X25" s="766"/>
      <c r="Y25" s="766"/>
      <c r="Z25" s="375"/>
      <c r="AA25" s="375"/>
      <c r="AB25" s="375"/>
      <c r="AC25" s="375"/>
      <c r="AD25" s="375"/>
      <c r="AE25" s="375"/>
      <c r="AF25" s="375"/>
      <c r="AG25" s="375"/>
      <c r="AH25" s="851"/>
    </row>
    <row r="26" spans="1:48" ht="16.5" customHeight="1" x14ac:dyDescent="0.3">
      <c r="A26" s="17"/>
      <c r="B26" s="74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6"/>
      <c r="N26" s="766"/>
      <c r="O26" s="766"/>
      <c r="P26" s="766"/>
      <c r="Q26" s="766"/>
      <c r="R26" s="766"/>
      <c r="S26" s="766"/>
      <c r="T26" s="766"/>
      <c r="V26" s="766"/>
      <c r="W26" s="766"/>
      <c r="X26" s="766"/>
      <c r="Y26" s="766"/>
      <c r="Z26" s="375"/>
      <c r="AA26" s="375"/>
      <c r="AB26" s="375"/>
      <c r="AC26" s="375"/>
      <c r="AD26" s="375"/>
      <c r="AE26" s="375"/>
      <c r="AF26" s="375"/>
      <c r="AG26" s="375"/>
      <c r="AH26" s="851"/>
    </row>
    <row r="27" spans="1:48" ht="18" x14ac:dyDescent="0.25">
      <c r="A27" s="17"/>
      <c r="B27" s="1"/>
      <c r="C27" s="766"/>
      <c r="D27" s="766"/>
      <c r="E27" s="766"/>
      <c r="F27" s="766"/>
      <c r="G27" s="766"/>
      <c r="H27" s="766"/>
      <c r="I27" s="766"/>
      <c r="J27" s="766"/>
      <c r="K27" s="766"/>
      <c r="L27" s="766"/>
      <c r="M27" s="766"/>
      <c r="N27" s="766"/>
      <c r="O27" s="766"/>
      <c r="P27" s="766"/>
      <c r="Q27" s="766"/>
      <c r="R27" s="766"/>
      <c r="S27" s="766"/>
      <c r="T27" s="766"/>
      <c r="U27" s="766"/>
      <c r="V27" s="766"/>
      <c r="W27" s="766"/>
      <c r="X27" s="766"/>
      <c r="Y27" s="766"/>
      <c r="Z27" s="375"/>
      <c r="AA27" s="375"/>
      <c r="AB27" s="375"/>
      <c r="AC27" s="250"/>
      <c r="AD27" s="250"/>
      <c r="AE27" s="250"/>
      <c r="AF27" s="250"/>
      <c r="AG27" s="250"/>
      <c r="AH27" s="250"/>
    </row>
    <row r="28" spans="1:48" ht="18" x14ac:dyDescent="0.25">
      <c r="A28" s="17"/>
      <c r="B28" s="1"/>
      <c r="C28" s="766"/>
      <c r="D28" s="766"/>
      <c r="E28" s="766"/>
      <c r="F28" s="766"/>
      <c r="G28" s="766"/>
      <c r="H28" s="766"/>
      <c r="I28" s="766"/>
      <c r="J28" s="766"/>
      <c r="K28" s="766"/>
      <c r="L28" s="766"/>
      <c r="M28" s="1574"/>
      <c r="N28" s="1574"/>
      <c r="O28" s="1574"/>
      <c r="P28" s="1574"/>
      <c r="Q28" s="1574"/>
      <c r="R28" s="1574"/>
      <c r="S28" s="1574"/>
      <c r="T28" s="1574"/>
      <c r="U28" s="1574"/>
      <c r="V28" s="1574"/>
      <c r="W28" s="1574"/>
      <c r="X28" s="1574"/>
      <c r="Y28" s="1574"/>
      <c r="Z28" s="1574"/>
      <c r="AA28" s="1574"/>
      <c r="AB28" s="1574"/>
      <c r="AC28" s="250"/>
      <c r="AD28" s="250"/>
      <c r="AE28" s="250"/>
      <c r="AF28" s="250"/>
      <c r="AG28" s="250"/>
      <c r="AH28" s="250"/>
    </row>
    <row r="29" spans="1:48" ht="27" customHeight="1" x14ac:dyDescent="0.25">
      <c r="A29" s="2017" t="s">
        <v>0</v>
      </c>
      <c r="B29" s="2017" t="s">
        <v>184</v>
      </c>
      <c r="C29" s="2163" t="s">
        <v>54</v>
      </c>
      <c r="D29" s="2163" t="s">
        <v>55</v>
      </c>
      <c r="E29" s="2163" t="s">
        <v>56</v>
      </c>
      <c r="F29" s="2163" t="s">
        <v>57</v>
      </c>
      <c r="G29" s="2163" t="s">
        <v>6</v>
      </c>
      <c r="H29" s="2270" t="s">
        <v>281</v>
      </c>
      <c r="I29" s="1868"/>
      <c r="J29" s="1868"/>
      <c r="K29" s="2275" t="s">
        <v>284</v>
      </c>
      <c r="L29" s="2276"/>
      <c r="M29" s="2041" t="s">
        <v>457</v>
      </c>
      <c r="N29" s="2147" t="s">
        <v>904</v>
      </c>
      <c r="O29" s="2274" t="s">
        <v>905</v>
      </c>
      <c r="P29" s="2274" t="s">
        <v>906</v>
      </c>
      <c r="Q29" s="2274" t="s">
        <v>375</v>
      </c>
      <c r="R29" s="2274" t="s">
        <v>314</v>
      </c>
      <c r="S29" s="2274" t="s">
        <v>907</v>
      </c>
      <c r="T29" s="2041" t="s">
        <v>372</v>
      </c>
      <c r="U29" s="2134" t="s">
        <v>908</v>
      </c>
      <c r="V29" s="2043" t="s">
        <v>909</v>
      </c>
      <c r="W29" s="2043" t="s">
        <v>890</v>
      </c>
      <c r="X29" s="2045" t="s">
        <v>910</v>
      </c>
      <c r="Y29" s="2041" t="s">
        <v>735</v>
      </c>
      <c r="Z29" s="2134" t="s">
        <v>724</v>
      </c>
      <c r="AA29" s="2001" t="s">
        <v>566</v>
      </c>
      <c r="AB29" s="1999" t="s">
        <v>830</v>
      </c>
      <c r="AC29" s="250"/>
      <c r="AD29" s="250"/>
      <c r="AE29" s="250"/>
      <c r="AF29" s="250"/>
      <c r="AG29" s="250"/>
      <c r="AH29" s="250"/>
    </row>
    <row r="30" spans="1:48" ht="73.5" customHeight="1" x14ac:dyDescent="0.25">
      <c r="A30" s="2017"/>
      <c r="B30" s="2017"/>
      <c r="C30" s="2163"/>
      <c r="D30" s="2163"/>
      <c r="E30" s="2163"/>
      <c r="F30" s="2163"/>
      <c r="G30" s="2163"/>
      <c r="H30" s="2271"/>
      <c r="I30" s="1869"/>
      <c r="J30" s="1869"/>
      <c r="K30" s="1687" t="s">
        <v>15</v>
      </c>
      <c r="L30" s="1670" t="s">
        <v>16</v>
      </c>
      <c r="M30" s="2042"/>
      <c r="N30" s="2147"/>
      <c r="O30" s="2274"/>
      <c r="P30" s="2274"/>
      <c r="Q30" s="2274"/>
      <c r="R30" s="2274"/>
      <c r="S30" s="2274"/>
      <c r="T30" s="2042"/>
      <c r="U30" s="2135"/>
      <c r="V30" s="2044"/>
      <c r="W30" s="2044"/>
      <c r="X30" s="2046"/>
      <c r="Y30" s="2042"/>
      <c r="Z30" s="2135"/>
      <c r="AA30" s="2002"/>
      <c r="AB30" s="2000"/>
      <c r="AC30" s="250"/>
      <c r="AD30" s="250"/>
      <c r="AE30" s="250"/>
      <c r="AF30" s="250"/>
      <c r="AG30" s="250"/>
      <c r="AH30" s="250"/>
    </row>
    <row r="31" spans="1:48" ht="15" customHeight="1" x14ac:dyDescent="0.25">
      <c r="A31" s="331">
        <v>1</v>
      </c>
      <c r="B31" s="332" t="s">
        <v>267</v>
      </c>
      <c r="C31" s="990">
        <v>1964</v>
      </c>
      <c r="D31" s="990">
        <v>2</v>
      </c>
      <c r="E31" s="990">
        <v>16</v>
      </c>
      <c r="F31" s="991">
        <v>27</v>
      </c>
      <c r="G31" s="990">
        <v>635.25</v>
      </c>
      <c r="H31" s="990"/>
      <c r="I31" s="1870"/>
      <c r="J31" s="1870"/>
      <c r="K31" s="1690">
        <v>30492</v>
      </c>
      <c r="L31" s="1690">
        <v>30435.25</v>
      </c>
      <c r="M31" s="1871">
        <f>N31+O31+P31+Q31+R31+S31+T31+U31+V31+W31+X31</f>
        <v>64811.79</v>
      </c>
      <c r="N31" s="1871"/>
      <c r="O31" s="1871"/>
      <c r="P31" s="1871"/>
      <c r="Q31" s="1871">
        <v>60744.54</v>
      </c>
      <c r="R31" s="1871"/>
      <c r="S31" s="1871"/>
      <c r="T31" s="1871"/>
      <c r="U31" s="1871"/>
      <c r="V31" s="1871"/>
      <c r="W31" s="1871"/>
      <c r="X31" s="1871">
        <v>4067.25</v>
      </c>
      <c r="Y31" s="1871">
        <f>K31-M31</f>
        <v>-34319.79</v>
      </c>
      <c r="Z31" s="1871">
        <f>L31/K31*100</f>
        <v>99.813885609340161</v>
      </c>
      <c r="AA31" s="1871">
        <f>K31-L31</f>
        <v>56.75</v>
      </c>
      <c r="AB31" s="1871">
        <v>4</v>
      </c>
      <c r="AC31" s="250"/>
      <c r="AD31" s="250"/>
      <c r="AE31" s="250"/>
      <c r="AF31" s="250"/>
      <c r="AG31" s="250"/>
      <c r="AH31" s="250"/>
    </row>
    <row r="32" spans="1:48" ht="15" customHeight="1" x14ac:dyDescent="0.25">
      <c r="A32" s="331">
        <v>2</v>
      </c>
      <c r="B32" s="332" t="s">
        <v>268</v>
      </c>
      <c r="C32" s="997">
        <v>1965</v>
      </c>
      <c r="D32" s="997">
        <v>2</v>
      </c>
      <c r="E32" s="997">
        <v>16</v>
      </c>
      <c r="F32" s="998">
        <v>36</v>
      </c>
      <c r="G32" s="999">
        <v>632.16999999999996</v>
      </c>
      <c r="H32" s="999"/>
      <c r="I32" s="1535"/>
      <c r="J32" s="1535"/>
      <c r="K32" s="1691">
        <v>30279.360000000001</v>
      </c>
      <c r="L32" s="1691">
        <v>28226.15</v>
      </c>
      <c r="M32" s="1871">
        <f t="shared" ref="M32:M44" si="22">N32+O32+P32+Q32+R32+S32+T32+U32+V32+W32+X32</f>
        <v>0</v>
      </c>
      <c r="N32" s="1871"/>
      <c r="O32" s="1871"/>
      <c r="P32" s="1871"/>
      <c r="Q32" s="1871"/>
      <c r="R32" s="1871"/>
      <c r="S32" s="1871"/>
      <c r="T32" s="1871"/>
      <c r="U32" s="1871"/>
      <c r="V32" s="1871"/>
      <c r="W32" s="1871"/>
      <c r="X32" s="1871"/>
      <c r="Y32" s="1871">
        <f t="shared" ref="Y32:Y45" si="23">K32-M32</f>
        <v>30279.360000000001</v>
      </c>
      <c r="Z32" s="1871">
        <f t="shared" ref="Z32:Z45" si="24">L32/K32*100</f>
        <v>93.219110311446485</v>
      </c>
      <c r="AA32" s="1871">
        <f t="shared" ref="AA32:AA44" si="25">K32-L32</f>
        <v>2053.2099999999991</v>
      </c>
      <c r="AB32" s="1871">
        <v>4</v>
      </c>
      <c r="AC32" s="250"/>
      <c r="AD32" s="250"/>
      <c r="AE32" s="250"/>
      <c r="AF32" s="250"/>
      <c r="AG32" s="250"/>
      <c r="AH32" s="250"/>
    </row>
    <row r="33" spans="1:34" ht="15" customHeight="1" x14ac:dyDescent="0.25">
      <c r="A33" s="331">
        <v>3</v>
      </c>
      <c r="B33" s="332" t="s">
        <v>269</v>
      </c>
      <c r="C33" s="997">
        <v>1967</v>
      </c>
      <c r="D33" s="997">
        <v>2</v>
      </c>
      <c r="E33" s="997">
        <v>16</v>
      </c>
      <c r="F33" s="991">
        <v>36</v>
      </c>
      <c r="G33" s="999">
        <v>731.33</v>
      </c>
      <c r="H33" s="999"/>
      <c r="I33" s="1535"/>
      <c r="J33" s="1535"/>
      <c r="K33" s="1691">
        <v>17814.84</v>
      </c>
      <c r="L33" s="1691">
        <v>16289.38</v>
      </c>
      <c r="M33" s="1871">
        <f t="shared" si="22"/>
        <v>0</v>
      </c>
      <c r="N33" s="1871"/>
      <c r="O33" s="1871"/>
      <c r="P33" s="1871"/>
      <c r="Q33" s="1871"/>
      <c r="R33" s="1871"/>
      <c r="S33" s="1871"/>
      <c r="T33" s="1871"/>
      <c r="U33" s="1871"/>
      <c r="V33" s="1871"/>
      <c r="W33" s="1871"/>
      <c r="X33" s="1871"/>
      <c r="Y33" s="1871">
        <f t="shared" si="23"/>
        <v>17814.84</v>
      </c>
      <c r="Z33" s="1871">
        <f t="shared" si="24"/>
        <v>91.437138924626879</v>
      </c>
      <c r="AA33" s="1871">
        <f t="shared" si="25"/>
        <v>1525.4600000000009</v>
      </c>
      <c r="AB33" s="1871">
        <v>2.0299999999999998</v>
      </c>
      <c r="AC33" s="250"/>
      <c r="AD33" s="250"/>
      <c r="AE33" s="250"/>
      <c r="AF33" s="250"/>
      <c r="AG33" s="250"/>
      <c r="AH33" s="250"/>
    </row>
    <row r="34" spans="1:34" ht="15" customHeight="1" x14ac:dyDescent="0.25">
      <c r="A34" s="331">
        <v>4</v>
      </c>
      <c r="B34" s="332" t="s">
        <v>270</v>
      </c>
      <c r="C34" s="997">
        <v>1974</v>
      </c>
      <c r="D34" s="997">
        <v>2</v>
      </c>
      <c r="E34" s="997">
        <v>18</v>
      </c>
      <c r="F34" s="998">
        <v>43</v>
      </c>
      <c r="G34" s="999">
        <v>866.6</v>
      </c>
      <c r="H34" s="999"/>
      <c r="I34" s="1535"/>
      <c r="J34" s="1535"/>
      <c r="K34" s="1691">
        <v>42012.72</v>
      </c>
      <c r="L34" s="1691">
        <v>41998.39</v>
      </c>
      <c r="M34" s="1871">
        <f t="shared" si="22"/>
        <v>65509.18</v>
      </c>
      <c r="N34" s="1871"/>
      <c r="O34" s="1871"/>
      <c r="P34" s="1871"/>
      <c r="Q34" s="1871">
        <v>65509.18</v>
      </c>
      <c r="R34" s="1871"/>
      <c r="S34" s="1871"/>
      <c r="T34" s="1871"/>
      <c r="U34" s="1871"/>
      <c r="V34" s="1871"/>
      <c r="W34" s="1871"/>
      <c r="X34" s="1871"/>
      <c r="Y34" s="1871">
        <f t="shared" si="23"/>
        <v>-23496.46</v>
      </c>
      <c r="Z34" s="1871">
        <f t="shared" si="24"/>
        <v>99.965891282449689</v>
      </c>
      <c r="AA34" s="1871">
        <f t="shared" si="25"/>
        <v>14.330000000001746</v>
      </c>
      <c r="AB34" s="1871">
        <v>4.04</v>
      </c>
      <c r="AC34" s="250"/>
      <c r="AD34" s="250"/>
      <c r="AE34" s="250"/>
      <c r="AF34" s="250"/>
      <c r="AG34" s="250"/>
      <c r="AH34" s="250"/>
    </row>
    <row r="35" spans="1:34" ht="15" customHeight="1" x14ac:dyDescent="0.25">
      <c r="A35" s="331">
        <v>5</v>
      </c>
      <c r="B35" s="332" t="s">
        <v>271</v>
      </c>
      <c r="C35" s="997">
        <v>1976</v>
      </c>
      <c r="D35" s="997">
        <v>2</v>
      </c>
      <c r="E35" s="997">
        <v>18</v>
      </c>
      <c r="F35" s="991">
        <v>44</v>
      </c>
      <c r="G35" s="999">
        <v>865.3</v>
      </c>
      <c r="H35" s="999"/>
      <c r="I35" s="1535"/>
      <c r="J35" s="1535"/>
      <c r="K35" s="1691">
        <v>41949.72</v>
      </c>
      <c r="L35" s="1691">
        <v>42024.97</v>
      </c>
      <c r="M35" s="1871">
        <f t="shared" si="22"/>
        <v>2607.23</v>
      </c>
      <c r="N35" s="1871">
        <v>1563.51</v>
      </c>
      <c r="O35" s="1871"/>
      <c r="P35" s="1871">
        <v>1043.72</v>
      </c>
      <c r="Q35" s="1871"/>
      <c r="R35" s="1871"/>
      <c r="S35" s="1871"/>
      <c r="T35" s="1871"/>
      <c r="U35" s="1871"/>
      <c r="V35" s="1871"/>
      <c r="W35" s="1871"/>
      <c r="X35" s="1871"/>
      <c r="Y35" s="1871">
        <f t="shared" si="23"/>
        <v>39342.49</v>
      </c>
      <c r="Z35" s="1871">
        <f t="shared" si="24"/>
        <v>100.17938141184256</v>
      </c>
      <c r="AA35" s="1871">
        <f t="shared" si="25"/>
        <v>-75.25</v>
      </c>
      <c r="AB35" s="1871">
        <v>4.04</v>
      </c>
      <c r="AC35" s="250"/>
      <c r="AD35" s="250"/>
      <c r="AE35" s="250"/>
      <c r="AF35" s="250"/>
      <c r="AG35" s="250"/>
      <c r="AH35" s="250"/>
    </row>
    <row r="36" spans="1:34" ht="15" customHeight="1" x14ac:dyDescent="0.25">
      <c r="A36" s="331">
        <v>6</v>
      </c>
      <c r="B36" s="332" t="s">
        <v>272</v>
      </c>
      <c r="C36" s="997">
        <v>1970</v>
      </c>
      <c r="D36" s="997">
        <v>2</v>
      </c>
      <c r="E36" s="997">
        <v>16</v>
      </c>
      <c r="F36" s="998">
        <v>44</v>
      </c>
      <c r="G36" s="999">
        <v>710.36</v>
      </c>
      <c r="H36" s="999"/>
      <c r="I36" s="1535"/>
      <c r="J36" s="1535"/>
      <c r="K36" s="1691">
        <v>34360.32</v>
      </c>
      <c r="L36" s="1691">
        <v>29906.15</v>
      </c>
      <c r="M36" s="1871">
        <f t="shared" si="22"/>
        <v>6520.36</v>
      </c>
      <c r="N36" s="1871"/>
      <c r="O36" s="1871"/>
      <c r="P36" s="1871"/>
      <c r="Q36" s="1871"/>
      <c r="R36" s="1871">
        <v>6520.36</v>
      </c>
      <c r="S36" s="1871"/>
      <c r="T36" s="1871"/>
      <c r="U36" s="1871"/>
      <c r="V36" s="1871"/>
      <c r="W36" s="1871"/>
      <c r="X36" s="1871"/>
      <c r="Y36" s="1871">
        <f t="shared" si="23"/>
        <v>27839.96</v>
      </c>
      <c r="Z36" s="1871">
        <f t="shared" si="24"/>
        <v>87.036878585531213</v>
      </c>
      <c r="AA36" s="1871">
        <f t="shared" si="25"/>
        <v>4454.1699999999983</v>
      </c>
      <c r="AB36" s="1871">
        <v>4.03</v>
      </c>
      <c r="AC36" s="250"/>
      <c r="AD36" s="250"/>
      <c r="AE36" s="250"/>
      <c r="AF36" s="250"/>
      <c r="AG36" s="250"/>
      <c r="AH36" s="250"/>
    </row>
    <row r="37" spans="1:34" ht="15" customHeight="1" x14ac:dyDescent="0.25">
      <c r="A37" s="331">
        <v>7</v>
      </c>
      <c r="B37" s="332" t="s">
        <v>273</v>
      </c>
      <c r="C37" s="997">
        <v>1973</v>
      </c>
      <c r="D37" s="997">
        <v>2</v>
      </c>
      <c r="E37" s="997">
        <v>18</v>
      </c>
      <c r="F37" s="991">
        <v>40</v>
      </c>
      <c r="G37" s="999">
        <v>773.51</v>
      </c>
      <c r="H37" s="999"/>
      <c r="I37" s="1535"/>
      <c r="J37" s="1535"/>
      <c r="K37" s="1691">
        <v>37139.519999999997</v>
      </c>
      <c r="L37" s="1691">
        <v>30307.99</v>
      </c>
      <c r="M37" s="1871">
        <f t="shared" si="22"/>
        <v>79887.5</v>
      </c>
      <c r="N37" s="1871"/>
      <c r="O37" s="1871"/>
      <c r="P37" s="1871">
        <v>1505.11</v>
      </c>
      <c r="Q37" s="1871">
        <v>70576.350000000006</v>
      </c>
      <c r="R37" s="1871"/>
      <c r="S37" s="1871"/>
      <c r="T37" s="1871">
        <v>7806.04</v>
      </c>
      <c r="U37" s="1871"/>
      <c r="V37" s="1871"/>
      <c r="W37" s="1871"/>
      <c r="X37" s="1871"/>
      <c r="Y37" s="1871">
        <f t="shared" si="23"/>
        <v>-42747.98</v>
      </c>
      <c r="Z37" s="1871">
        <f t="shared" si="24"/>
        <v>81.605766579643486</v>
      </c>
      <c r="AA37" s="1871">
        <f t="shared" si="25"/>
        <v>6831.5299999999952</v>
      </c>
      <c r="AB37" s="1871">
        <v>4</v>
      </c>
      <c r="AC37" s="250"/>
      <c r="AD37" s="250"/>
      <c r="AE37" s="250"/>
      <c r="AF37" s="250"/>
      <c r="AG37" s="250"/>
      <c r="AH37" s="250"/>
    </row>
    <row r="38" spans="1:34" ht="15" customHeight="1" x14ac:dyDescent="0.25">
      <c r="A38" s="331">
        <v>8</v>
      </c>
      <c r="B38" s="332" t="s">
        <v>274</v>
      </c>
      <c r="C38" s="997">
        <v>1974</v>
      </c>
      <c r="D38" s="997">
        <v>2</v>
      </c>
      <c r="E38" s="997">
        <v>18</v>
      </c>
      <c r="F38" s="998">
        <v>49</v>
      </c>
      <c r="G38" s="999">
        <v>779.68</v>
      </c>
      <c r="H38" s="999"/>
      <c r="I38" s="1535"/>
      <c r="J38" s="1535"/>
      <c r="K38" s="1691">
        <v>37414.559999999998</v>
      </c>
      <c r="L38" s="1691">
        <v>29740.87</v>
      </c>
      <c r="M38" s="1871">
        <f t="shared" si="22"/>
        <v>66685.87</v>
      </c>
      <c r="N38" s="1871"/>
      <c r="O38" s="1871"/>
      <c r="P38" s="1871">
        <v>2548.83</v>
      </c>
      <c r="Q38" s="1871">
        <v>64137.04</v>
      </c>
      <c r="R38" s="1871"/>
      <c r="S38" s="1871"/>
      <c r="T38" s="1871"/>
      <c r="U38" s="1871"/>
      <c r="V38" s="1871"/>
      <c r="W38" s="1871"/>
      <c r="X38" s="1871"/>
      <c r="Y38" s="1871">
        <f t="shared" si="23"/>
        <v>-29271.309999999998</v>
      </c>
      <c r="Z38" s="1871">
        <f t="shared" si="24"/>
        <v>79.490096903451487</v>
      </c>
      <c r="AA38" s="1871">
        <f t="shared" si="25"/>
        <v>7673.6899999999987</v>
      </c>
      <c r="AB38" s="1871">
        <v>4</v>
      </c>
      <c r="AC38" s="250"/>
      <c r="AD38" s="250"/>
      <c r="AE38" s="250"/>
      <c r="AF38" s="250"/>
      <c r="AG38" s="250"/>
      <c r="AH38" s="250"/>
    </row>
    <row r="39" spans="1:34" ht="15" customHeight="1" x14ac:dyDescent="0.25">
      <c r="A39" s="331">
        <v>9</v>
      </c>
      <c r="B39" s="332" t="s">
        <v>275</v>
      </c>
      <c r="C39" s="997">
        <v>1973</v>
      </c>
      <c r="D39" s="997">
        <v>2</v>
      </c>
      <c r="E39" s="997">
        <v>18</v>
      </c>
      <c r="F39" s="1000">
        <v>50</v>
      </c>
      <c r="G39" s="999">
        <v>776.87</v>
      </c>
      <c r="H39" s="999"/>
      <c r="I39" s="1535"/>
      <c r="J39" s="1535"/>
      <c r="K39" s="1691">
        <v>37280.639999999999</v>
      </c>
      <c r="L39" s="1691">
        <v>29030.43</v>
      </c>
      <c r="M39" s="1871">
        <f t="shared" si="22"/>
        <v>70054.759999999995</v>
      </c>
      <c r="N39" s="1871"/>
      <c r="O39" s="1871"/>
      <c r="P39" s="1871">
        <v>2548.83</v>
      </c>
      <c r="Q39" s="1871">
        <v>64123.93</v>
      </c>
      <c r="R39" s="1871"/>
      <c r="S39" s="1871"/>
      <c r="T39" s="1871"/>
      <c r="U39" s="1871"/>
      <c r="V39" s="1871"/>
      <c r="W39" s="1871">
        <v>3382</v>
      </c>
      <c r="X39" s="1871"/>
      <c r="Y39" s="1871">
        <f t="shared" si="23"/>
        <v>-32774.119999999995</v>
      </c>
      <c r="Z39" s="1871">
        <f t="shared" si="24"/>
        <v>77.869988283462945</v>
      </c>
      <c r="AA39" s="1871">
        <f t="shared" si="25"/>
        <v>8250.2099999999991</v>
      </c>
      <c r="AB39" s="1871">
        <v>4</v>
      </c>
      <c r="AC39" s="250"/>
      <c r="AD39" s="250"/>
      <c r="AE39" s="250"/>
      <c r="AF39" s="250"/>
      <c r="AG39" s="250"/>
      <c r="AH39" s="250"/>
    </row>
    <row r="40" spans="1:34" ht="15" customHeight="1" x14ac:dyDescent="0.25">
      <c r="A40" s="331">
        <v>10</v>
      </c>
      <c r="B40" s="332" t="s">
        <v>276</v>
      </c>
      <c r="C40" s="997">
        <v>1988</v>
      </c>
      <c r="D40" s="997">
        <v>5</v>
      </c>
      <c r="E40" s="997">
        <v>60</v>
      </c>
      <c r="F40" s="998">
        <v>161</v>
      </c>
      <c r="G40" s="999">
        <v>3167</v>
      </c>
      <c r="H40" s="999">
        <v>210</v>
      </c>
      <c r="I40" s="1535"/>
      <c r="J40" s="1535"/>
      <c r="K40" s="1691">
        <v>203701.5</v>
      </c>
      <c r="L40" s="1691">
        <v>192827.12</v>
      </c>
      <c r="M40" s="1871">
        <f t="shared" si="22"/>
        <v>15691.95</v>
      </c>
      <c r="N40" s="1871">
        <v>4855.59</v>
      </c>
      <c r="O40" s="1871">
        <v>2559.5100000000002</v>
      </c>
      <c r="P40" s="1871">
        <v>3592.55</v>
      </c>
      <c r="Q40" s="1871"/>
      <c r="R40" s="1871"/>
      <c r="S40" s="1871"/>
      <c r="T40" s="1871"/>
      <c r="U40" s="1871">
        <v>1062.6600000000001</v>
      </c>
      <c r="V40" s="1871">
        <v>3621.64</v>
      </c>
      <c r="W40" s="1871"/>
      <c r="X40" s="1871"/>
      <c r="Y40" s="1871">
        <f t="shared" si="23"/>
        <v>188009.55</v>
      </c>
      <c r="Z40" s="1871">
        <f t="shared" si="24"/>
        <v>94.661610248329055</v>
      </c>
      <c r="AA40" s="1871">
        <f t="shared" si="25"/>
        <v>10874.380000000005</v>
      </c>
      <c r="AB40" s="1871">
        <v>4</v>
      </c>
      <c r="AC40" s="250"/>
      <c r="AD40" s="250"/>
      <c r="AE40" s="250"/>
      <c r="AF40" s="250"/>
      <c r="AG40" s="250"/>
      <c r="AH40" s="250"/>
    </row>
    <row r="41" spans="1:34" ht="15" customHeight="1" x14ac:dyDescent="0.25">
      <c r="A41" s="331">
        <v>11</v>
      </c>
      <c r="B41" s="332" t="s">
        <v>277</v>
      </c>
      <c r="C41" s="997">
        <v>1979</v>
      </c>
      <c r="D41" s="997">
        <v>5</v>
      </c>
      <c r="E41" s="997">
        <v>60</v>
      </c>
      <c r="F41" s="991">
        <v>166</v>
      </c>
      <c r="G41" s="999">
        <v>3217.9</v>
      </c>
      <c r="H41" s="999">
        <v>210</v>
      </c>
      <c r="I41" s="1535"/>
      <c r="J41" s="1535"/>
      <c r="K41" s="1691">
        <v>231688.8</v>
      </c>
      <c r="L41" s="1691">
        <v>214019.64</v>
      </c>
      <c r="M41" s="1871">
        <f t="shared" si="22"/>
        <v>154536</v>
      </c>
      <c r="N41" s="1871"/>
      <c r="O41" s="1871"/>
      <c r="P41" s="1871"/>
      <c r="Q41" s="1871">
        <v>81556</v>
      </c>
      <c r="R41" s="1871"/>
      <c r="S41" s="1871">
        <v>72980</v>
      </c>
      <c r="T41" s="1871"/>
      <c r="U41" s="1871"/>
      <c r="V41" s="1871"/>
      <c r="W41" s="1871"/>
      <c r="X41" s="1871"/>
      <c r="Y41" s="1871">
        <f t="shared" si="23"/>
        <v>77152.799999999988</v>
      </c>
      <c r="Z41" s="1871">
        <f t="shared" si="24"/>
        <v>92.373753068771563</v>
      </c>
      <c r="AA41" s="1871">
        <f t="shared" si="25"/>
        <v>17669.159999999974</v>
      </c>
      <c r="AB41" s="1871">
        <v>6</v>
      </c>
      <c r="AC41" s="250"/>
      <c r="AD41" s="250"/>
      <c r="AE41" s="250"/>
      <c r="AF41" s="250"/>
      <c r="AG41" s="250"/>
      <c r="AH41" s="250"/>
    </row>
    <row r="42" spans="1:34" ht="15" customHeight="1" x14ac:dyDescent="0.25">
      <c r="A42" s="331">
        <v>12</v>
      </c>
      <c r="B42" s="332" t="s">
        <v>278</v>
      </c>
      <c r="C42" s="997">
        <v>1980</v>
      </c>
      <c r="D42" s="997">
        <v>5</v>
      </c>
      <c r="E42" s="997">
        <v>60</v>
      </c>
      <c r="F42" s="998">
        <v>153</v>
      </c>
      <c r="G42" s="999">
        <v>3257.1</v>
      </c>
      <c r="H42" s="999">
        <v>210</v>
      </c>
      <c r="I42" s="1535"/>
      <c r="J42" s="1535"/>
      <c r="K42" s="1691">
        <v>156340.79999999999</v>
      </c>
      <c r="L42" s="1691">
        <v>123093.84</v>
      </c>
      <c r="M42" s="1871">
        <f t="shared" si="22"/>
        <v>9199.86</v>
      </c>
      <c r="N42" s="1871">
        <v>7877.85</v>
      </c>
      <c r="O42" s="1871">
        <v>1322.01</v>
      </c>
      <c r="P42" s="1871"/>
      <c r="Q42" s="1871"/>
      <c r="R42" s="1871"/>
      <c r="S42" s="1871"/>
      <c r="T42" s="1871"/>
      <c r="U42" s="1871"/>
      <c r="V42" s="1871"/>
      <c r="W42" s="1871"/>
      <c r="X42" s="1871"/>
      <c r="Y42" s="1871">
        <f t="shared" si="23"/>
        <v>147140.94</v>
      </c>
      <c r="Z42" s="1871">
        <f t="shared" si="24"/>
        <v>78.734303521537569</v>
      </c>
      <c r="AA42" s="1871">
        <f t="shared" si="25"/>
        <v>33246.959999999992</v>
      </c>
      <c r="AB42" s="1871">
        <v>4</v>
      </c>
      <c r="AC42" s="250"/>
      <c r="AD42" s="250"/>
      <c r="AE42" s="250"/>
      <c r="AF42" s="250"/>
      <c r="AG42" s="250"/>
      <c r="AH42" s="250"/>
    </row>
    <row r="43" spans="1:34" ht="15" customHeight="1" x14ac:dyDescent="0.25">
      <c r="A43" s="331">
        <v>13</v>
      </c>
      <c r="B43" s="332" t="s">
        <v>279</v>
      </c>
      <c r="C43" s="997">
        <v>1978</v>
      </c>
      <c r="D43" s="997">
        <v>3</v>
      </c>
      <c r="E43" s="997">
        <v>24</v>
      </c>
      <c r="F43" s="991">
        <v>71</v>
      </c>
      <c r="G43" s="999">
        <v>1444.2</v>
      </c>
      <c r="H43" s="999">
        <v>176.8</v>
      </c>
      <c r="I43" s="1535"/>
      <c r="J43" s="1535"/>
      <c r="K43" s="1691">
        <v>69321.600000000006</v>
      </c>
      <c r="L43" s="1691">
        <v>62572.36</v>
      </c>
      <c r="M43" s="1871">
        <f t="shared" si="22"/>
        <v>1503.42</v>
      </c>
      <c r="N43" s="1871">
        <v>1044.25</v>
      </c>
      <c r="O43" s="1871">
        <v>459.17</v>
      </c>
      <c r="P43" s="1871"/>
      <c r="Q43" s="1871"/>
      <c r="R43" s="1871"/>
      <c r="S43" s="1871"/>
      <c r="T43" s="1871"/>
      <c r="U43" s="1871"/>
      <c r="V43" s="1871"/>
      <c r="W43" s="1871"/>
      <c r="X43" s="1871"/>
      <c r="Y43" s="1871">
        <f t="shared" si="23"/>
        <v>67818.180000000008</v>
      </c>
      <c r="Z43" s="1871">
        <f t="shared" si="24"/>
        <v>90.263871578267086</v>
      </c>
      <c r="AA43" s="1871">
        <f t="shared" si="25"/>
        <v>6749.2400000000052</v>
      </c>
      <c r="AB43" s="1871">
        <v>4</v>
      </c>
      <c r="AC43" s="250"/>
      <c r="AD43" s="250"/>
      <c r="AE43" s="250"/>
      <c r="AF43" s="250"/>
      <c r="AG43" s="250"/>
      <c r="AH43" s="250"/>
    </row>
    <row r="44" spans="1:34" ht="15" customHeight="1" x14ac:dyDescent="0.25">
      <c r="A44" s="331">
        <v>14</v>
      </c>
      <c r="B44" s="332" t="s">
        <v>280</v>
      </c>
      <c r="C44" s="997">
        <v>1980</v>
      </c>
      <c r="D44" s="997">
        <v>3</v>
      </c>
      <c r="E44" s="997">
        <v>24</v>
      </c>
      <c r="F44" s="998">
        <v>71</v>
      </c>
      <c r="G44" s="999">
        <v>1444.3</v>
      </c>
      <c r="H44" s="999">
        <v>176.8</v>
      </c>
      <c r="I44" s="1535"/>
      <c r="J44" s="1535"/>
      <c r="K44" s="1691">
        <v>69417.600000000006</v>
      </c>
      <c r="L44" s="1691">
        <v>63417</v>
      </c>
      <c r="M44" s="1871">
        <f t="shared" si="22"/>
        <v>2794.44</v>
      </c>
      <c r="N44" s="1871"/>
      <c r="O44" s="1871"/>
      <c r="P44" s="1871"/>
      <c r="Q44" s="1871"/>
      <c r="R44" s="1871">
        <v>2794.44</v>
      </c>
      <c r="S44" s="1871"/>
      <c r="T44" s="1871"/>
      <c r="U44" s="1871"/>
      <c r="V44" s="1871"/>
      <c r="W44" s="1871"/>
      <c r="X44" s="1871"/>
      <c r="Y44" s="1871">
        <f t="shared" si="23"/>
        <v>66623.16</v>
      </c>
      <c r="Z44" s="1871">
        <f t="shared" si="24"/>
        <v>91.355794495920335</v>
      </c>
      <c r="AA44" s="1871">
        <f t="shared" si="25"/>
        <v>6000.6000000000058</v>
      </c>
      <c r="AB44" s="1871">
        <v>4</v>
      </c>
      <c r="AC44" s="250"/>
      <c r="AD44" s="250"/>
      <c r="AE44" s="250"/>
      <c r="AF44" s="250"/>
      <c r="AG44" s="250"/>
      <c r="AH44" s="250"/>
    </row>
    <row r="45" spans="1:34" ht="15" customHeight="1" x14ac:dyDescent="0.25">
      <c r="A45" s="331"/>
      <c r="B45" s="464" t="s">
        <v>125</v>
      </c>
      <c r="C45" s="846"/>
      <c r="D45" s="846"/>
      <c r="E45" s="1736">
        <f>SUM(E30:E44)</f>
        <v>382</v>
      </c>
      <c r="F45" s="1736">
        <f t="shared" ref="F45:H45" si="26">SUM(F31:F44)</f>
        <v>991</v>
      </c>
      <c r="G45" s="1688">
        <f t="shared" si="26"/>
        <v>19301.57</v>
      </c>
      <c r="H45" s="1688">
        <f t="shared" si="26"/>
        <v>983.59999999999991</v>
      </c>
      <c r="I45" s="638"/>
      <c r="J45" s="638"/>
      <c r="K45" s="1681">
        <f>SUM(K31:K44)</f>
        <v>1039213.98</v>
      </c>
      <c r="L45" s="1681">
        <f>SUM(L31:L44)</f>
        <v>933889.54</v>
      </c>
      <c r="M45" s="1681">
        <f>SUM(M31:M44)</f>
        <v>539802.36</v>
      </c>
      <c r="N45" s="1681">
        <f t="shared" ref="N45:O45" si="27">SUM(N31:N44)</f>
        <v>15341.2</v>
      </c>
      <c r="O45" s="1681">
        <f t="shared" si="27"/>
        <v>4340.6900000000005</v>
      </c>
      <c r="P45" s="1681">
        <f t="shared" ref="P45:AA45" si="28">SUM(P31:P44)</f>
        <v>11239.04</v>
      </c>
      <c r="Q45" s="1681">
        <f t="shared" si="28"/>
        <v>406647.04000000004</v>
      </c>
      <c r="R45" s="1681">
        <f t="shared" si="28"/>
        <v>9314.7999999999993</v>
      </c>
      <c r="S45" s="1681">
        <f t="shared" si="28"/>
        <v>72980</v>
      </c>
      <c r="T45" s="1681">
        <f t="shared" si="28"/>
        <v>7806.04</v>
      </c>
      <c r="U45" s="1681">
        <f t="shared" si="28"/>
        <v>1062.6600000000001</v>
      </c>
      <c r="V45" s="1681">
        <f t="shared" si="28"/>
        <v>3621.64</v>
      </c>
      <c r="W45" s="1681">
        <f t="shared" si="28"/>
        <v>3382</v>
      </c>
      <c r="X45" s="1681">
        <f t="shared" si="28"/>
        <v>4067.25</v>
      </c>
      <c r="Y45" s="1872">
        <f t="shared" si="23"/>
        <v>499411.62</v>
      </c>
      <c r="Z45" s="1872">
        <f t="shared" si="24"/>
        <v>89.864990076442197</v>
      </c>
      <c r="AA45" s="1681">
        <f t="shared" si="28"/>
        <v>105324.43999999997</v>
      </c>
      <c r="AB45" s="1673"/>
      <c r="AC45" s="250"/>
      <c r="AD45" s="250"/>
      <c r="AE45" s="250"/>
      <c r="AF45" s="250"/>
      <c r="AG45" s="250"/>
      <c r="AH45" s="250"/>
    </row>
    <row r="46" spans="1:34" ht="15" customHeight="1" x14ac:dyDescent="0.25"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1677"/>
      <c r="N46" s="1677"/>
      <c r="O46" s="1677"/>
      <c r="P46" s="1677"/>
      <c r="Q46" s="1677"/>
      <c r="R46" s="1677"/>
      <c r="S46" s="1677"/>
      <c r="T46" s="1574"/>
      <c r="U46" s="1574"/>
      <c r="V46" s="1574"/>
      <c r="W46" s="1574"/>
      <c r="X46" s="1574"/>
      <c r="Y46" s="1574"/>
      <c r="Z46" s="1574"/>
      <c r="AA46" s="1574"/>
      <c r="AB46" s="1574"/>
      <c r="AC46" s="250"/>
      <c r="AD46" s="250"/>
      <c r="AE46" s="250"/>
      <c r="AF46" s="250"/>
      <c r="AG46" s="250"/>
      <c r="AH46" s="250"/>
    </row>
    <row r="47" spans="1:34" ht="15" customHeight="1" x14ac:dyDescent="0.25">
      <c r="C47" s="375"/>
      <c r="D47" s="375"/>
      <c r="E47" s="375"/>
      <c r="F47" s="375"/>
      <c r="G47" s="375"/>
      <c r="H47" s="375"/>
      <c r="I47" s="375"/>
      <c r="J47" s="375"/>
      <c r="K47" s="375"/>
      <c r="L47" s="375"/>
      <c r="M47" s="1911" t="s">
        <v>571</v>
      </c>
      <c r="N47" s="519"/>
      <c r="O47" s="519"/>
      <c r="P47" s="1574"/>
      <c r="Q47" s="1574"/>
      <c r="R47" s="1574"/>
      <c r="S47" s="1574"/>
      <c r="T47" s="1574"/>
      <c r="U47" s="1574"/>
      <c r="V47" s="1574"/>
      <c r="W47" s="1574"/>
      <c r="X47" s="1574"/>
      <c r="Y47" s="1574"/>
      <c r="Z47" s="1574"/>
      <c r="AA47" s="1574"/>
      <c r="AB47" s="1574"/>
      <c r="AC47" s="1574"/>
      <c r="AD47" s="1574"/>
      <c r="AE47" s="1574"/>
      <c r="AF47" s="1574"/>
      <c r="AG47" s="375"/>
      <c r="AH47" s="375"/>
    </row>
    <row r="48" spans="1:34" x14ac:dyDescent="0.25">
      <c r="C48" s="375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  <c r="Y48" s="375"/>
      <c r="Z48" s="375"/>
      <c r="AA48" s="375"/>
      <c r="AB48" s="375"/>
      <c r="AC48" s="375"/>
      <c r="AD48" s="375"/>
      <c r="AE48" s="375"/>
      <c r="AF48" s="375"/>
      <c r="AG48" s="375"/>
      <c r="AH48" s="375"/>
    </row>
    <row r="49" spans="1:34" x14ac:dyDescent="0.25"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250"/>
      <c r="Z49" s="250"/>
      <c r="AA49" s="250"/>
      <c r="AB49" s="250"/>
      <c r="AC49" s="250"/>
      <c r="AD49" s="250"/>
      <c r="AE49" s="250"/>
      <c r="AF49" s="375"/>
      <c r="AG49" s="375"/>
      <c r="AH49" s="375"/>
    </row>
    <row r="50" spans="1:34" ht="18.75" customHeight="1" x14ac:dyDescent="0.25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  <c r="V50" s="250"/>
      <c r="W50" s="250"/>
      <c r="X50" s="766"/>
      <c r="Y50" s="250"/>
      <c r="Z50" s="250"/>
      <c r="AA50" s="250"/>
      <c r="AB50" s="250"/>
      <c r="AC50" s="250"/>
      <c r="AD50" s="250"/>
      <c r="AE50" s="250"/>
      <c r="AF50" s="375"/>
      <c r="AG50" s="375"/>
      <c r="AH50" s="851"/>
    </row>
    <row r="51" spans="1:34" ht="18.75" customHeight="1" x14ac:dyDescent="0.25">
      <c r="A51" s="250"/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766"/>
      <c r="Y51" s="250"/>
      <c r="Z51" s="250"/>
      <c r="AA51" s="250"/>
      <c r="AB51" s="250"/>
      <c r="AC51" s="250"/>
      <c r="AD51" s="250"/>
      <c r="AE51" s="250"/>
      <c r="AF51" s="375"/>
      <c r="AG51" s="375"/>
      <c r="AH51" s="851"/>
    </row>
    <row r="52" spans="1:34" ht="18" x14ac:dyDescent="0.25">
      <c r="A52" s="250"/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766"/>
      <c r="Y52" s="250"/>
      <c r="Z52" s="250"/>
      <c r="AA52" s="250"/>
      <c r="AB52" s="250"/>
      <c r="AC52" s="250"/>
      <c r="AD52" s="250"/>
      <c r="AE52" s="250"/>
      <c r="AF52" s="375"/>
      <c r="AG52" s="375"/>
      <c r="AH52" s="851"/>
    </row>
    <row r="53" spans="1:34" ht="18" x14ac:dyDescent="0.2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0"/>
      <c r="S53" s="250"/>
      <c r="T53" s="250"/>
      <c r="U53" s="250"/>
      <c r="V53" s="250"/>
      <c r="W53" s="250"/>
      <c r="X53" s="1574"/>
      <c r="Y53" s="1574"/>
      <c r="Z53" s="1574"/>
      <c r="AA53" s="1574"/>
      <c r="AB53" s="1574"/>
      <c r="AC53" s="1574"/>
      <c r="AD53" s="1574"/>
      <c r="AE53" s="1574"/>
      <c r="AF53" s="375"/>
      <c r="AG53" s="375"/>
      <c r="AH53" s="375"/>
    </row>
    <row r="54" spans="1:34" ht="25.5" customHeight="1" x14ac:dyDescent="0.2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1574"/>
      <c r="Y54" s="1574"/>
      <c r="Z54" s="1574"/>
      <c r="AA54" s="1574"/>
      <c r="AB54" s="1574"/>
      <c r="AC54" s="1574"/>
      <c r="AD54" s="1574"/>
      <c r="AE54" s="1574"/>
      <c r="AF54" s="375"/>
      <c r="AG54" s="375"/>
      <c r="AH54" s="375"/>
    </row>
    <row r="55" spans="1:34" ht="23.25" customHeight="1" x14ac:dyDescent="0.25">
      <c r="A55" s="250"/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  <c r="V55" s="250"/>
      <c r="W55" s="250"/>
      <c r="X55" s="1574"/>
      <c r="Y55" s="1574"/>
      <c r="Z55" s="1574"/>
      <c r="AA55" s="1574"/>
      <c r="AB55" s="1574"/>
      <c r="AC55" s="1574"/>
      <c r="AD55" s="1574"/>
      <c r="AE55" s="1574"/>
      <c r="AF55" s="375"/>
      <c r="AG55" s="375"/>
      <c r="AH55" s="375"/>
    </row>
    <row r="56" spans="1:34" ht="15" customHeight="1" x14ac:dyDescent="0.25">
      <c r="A56" s="250"/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1574"/>
      <c r="Y56" s="1574"/>
      <c r="Z56" s="1574"/>
      <c r="AA56" s="1574"/>
      <c r="AB56" s="1574"/>
      <c r="AC56" s="1574"/>
      <c r="AD56" s="1574"/>
      <c r="AE56" s="1574"/>
      <c r="AF56" s="375"/>
      <c r="AG56" s="375"/>
      <c r="AH56" s="375"/>
    </row>
    <row r="57" spans="1:34" ht="15" customHeight="1" x14ac:dyDescent="0.25">
      <c r="A57" s="250"/>
      <c r="B57" s="250"/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  <c r="V57" s="250"/>
      <c r="W57" s="250"/>
      <c r="X57" s="1574"/>
      <c r="Y57" s="1574"/>
      <c r="Z57" s="1574"/>
      <c r="AA57" s="1574"/>
      <c r="AB57" s="1574"/>
      <c r="AC57" s="1574"/>
      <c r="AD57" s="1574"/>
      <c r="AE57" s="1574"/>
      <c r="AF57" s="375"/>
      <c r="AG57" s="375"/>
      <c r="AH57" s="375"/>
    </row>
    <row r="58" spans="1:34" ht="15" customHeight="1" x14ac:dyDescent="0.25">
      <c r="A58" s="250"/>
      <c r="B58" s="250"/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1574"/>
      <c r="Y58" s="1574"/>
      <c r="Z58" s="1574"/>
      <c r="AA58" s="1574"/>
      <c r="AB58" s="1574"/>
      <c r="AC58" s="1574"/>
      <c r="AD58" s="1574"/>
      <c r="AE58" s="1574"/>
      <c r="AF58" s="375"/>
      <c r="AG58" s="375"/>
      <c r="AH58" s="375"/>
    </row>
    <row r="59" spans="1:34" ht="15" customHeight="1" x14ac:dyDescent="0.25">
      <c r="A59" s="250"/>
      <c r="B59" s="250"/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  <c r="T59" s="250"/>
      <c r="U59" s="250"/>
      <c r="V59" s="250"/>
      <c r="W59" s="250"/>
      <c r="X59" s="1574"/>
      <c r="Y59" s="1574"/>
      <c r="Z59" s="1574"/>
      <c r="AA59" s="1574"/>
      <c r="AB59" s="1574"/>
      <c r="AC59" s="1574"/>
      <c r="AD59" s="1574"/>
      <c r="AE59" s="1574"/>
      <c r="AF59" s="375"/>
      <c r="AG59" s="375"/>
      <c r="AH59" s="375"/>
    </row>
    <row r="60" spans="1:34" ht="15" customHeight="1" x14ac:dyDescent="0.25">
      <c r="A60" s="250"/>
      <c r="B60" s="250"/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1574"/>
      <c r="Y60" s="1574"/>
      <c r="Z60" s="1574"/>
      <c r="AA60" s="1574"/>
      <c r="AB60" s="1574"/>
      <c r="AC60" s="1574"/>
      <c r="AD60" s="1574"/>
      <c r="AE60" s="1574"/>
      <c r="AF60" s="375"/>
      <c r="AG60" s="375"/>
      <c r="AH60" s="375"/>
    </row>
    <row r="61" spans="1:34" ht="15" customHeight="1" x14ac:dyDescent="0.25">
      <c r="A61" s="250"/>
      <c r="B61" s="250"/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  <c r="V61" s="250"/>
      <c r="W61" s="250"/>
      <c r="X61" s="1574"/>
      <c r="Y61" s="1574"/>
      <c r="Z61" s="1574"/>
      <c r="AA61" s="1574"/>
      <c r="AB61" s="1574"/>
      <c r="AC61" s="1574"/>
      <c r="AD61" s="1574"/>
      <c r="AE61" s="1574"/>
      <c r="AF61" s="375"/>
      <c r="AG61" s="375"/>
      <c r="AH61" s="375"/>
    </row>
    <row r="62" spans="1:34" ht="15" customHeight="1" x14ac:dyDescent="0.25">
      <c r="A62" s="250"/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1574"/>
      <c r="Y62" s="1574"/>
      <c r="Z62" s="1574"/>
      <c r="AA62" s="1574"/>
      <c r="AB62" s="1574"/>
      <c r="AC62" s="1574"/>
      <c r="AD62" s="1574"/>
      <c r="AE62" s="1574"/>
      <c r="AF62" s="375"/>
      <c r="AG62" s="375"/>
      <c r="AH62" s="375"/>
    </row>
    <row r="63" spans="1:34" ht="15" customHeight="1" x14ac:dyDescent="0.25">
      <c r="A63" s="250"/>
      <c r="B63" s="250"/>
      <c r="C63" s="250"/>
      <c r="D63" s="250"/>
      <c r="E63" s="250"/>
      <c r="F63" s="250"/>
      <c r="G63" s="250"/>
      <c r="H63" s="250"/>
      <c r="I63" s="250"/>
      <c r="J63" s="250"/>
      <c r="K63" s="250"/>
      <c r="L63" s="250"/>
      <c r="M63" s="250"/>
      <c r="N63" s="250"/>
      <c r="O63" s="250"/>
      <c r="P63" s="250"/>
      <c r="Q63" s="250"/>
      <c r="R63" s="250"/>
      <c r="S63" s="250"/>
      <c r="T63" s="250"/>
      <c r="U63" s="250"/>
      <c r="V63" s="250"/>
      <c r="W63" s="250"/>
      <c r="X63" s="1574"/>
      <c r="Y63" s="1574"/>
      <c r="Z63" s="1574"/>
      <c r="AA63" s="1574"/>
      <c r="AB63" s="1574"/>
      <c r="AC63" s="1574"/>
      <c r="AD63" s="1574"/>
      <c r="AE63" s="1574"/>
      <c r="AF63" s="375"/>
      <c r="AG63" s="375"/>
      <c r="AH63" s="375"/>
    </row>
    <row r="64" spans="1:34" ht="15" customHeight="1" x14ac:dyDescent="0.25">
      <c r="G64" s="353" t="s">
        <v>581</v>
      </c>
      <c r="M64" s="1574"/>
      <c r="N64" s="1574"/>
      <c r="O64" s="1574"/>
      <c r="P64" s="1574"/>
      <c r="Q64" s="1574"/>
      <c r="R64" s="1574"/>
      <c r="S64" s="1574"/>
      <c r="T64" s="1574"/>
      <c r="U64" s="1574"/>
      <c r="V64" s="1574"/>
      <c r="W64" s="1574"/>
      <c r="X64" s="1574"/>
      <c r="Y64" s="1574"/>
      <c r="Z64" s="1574"/>
      <c r="AA64" s="1574"/>
      <c r="AB64" s="1574"/>
      <c r="AC64" s="1574"/>
      <c r="AD64" s="1574"/>
      <c r="AE64" s="1574"/>
    </row>
  </sheetData>
  <mergeCells count="64">
    <mergeCell ref="K29:L29"/>
    <mergeCell ref="AT5:AT6"/>
    <mergeCell ref="A29:A30"/>
    <mergeCell ref="B29:B30"/>
    <mergeCell ref="C29:C30"/>
    <mergeCell ref="D29:D30"/>
    <mergeCell ref="E29:E30"/>
    <mergeCell ref="F29:F30"/>
    <mergeCell ref="G29:G30"/>
    <mergeCell ref="H29:H30"/>
    <mergeCell ref="AO5:AO6"/>
    <mergeCell ref="AP5:AP6"/>
    <mergeCell ref="AQ5:AQ6"/>
    <mergeCell ref="AR5:AR6"/>
    <mergeCell ref="AS5:AS6"/>
    <mergeCell ref="AF5:AF6"/>
    <mergeCell ref="AD5:AD6"/>
    <mergeCell ref="AE5:AE6"/>
    <mergeCell ref="AG5:AG6"/>
    <mergeCell ref="AH5:AH6"/>
    <mergeCell ref="AN5:AN6"/>
    <mergeCell ref="AI5:AI6"/>
    <mergeCell ref="AJ5:AJ6"/>
    <mergeCell ref="AK5:AK6"/>
    <mergeCell ref="AL5:AL6"/>
    <mergeCell ref="AM5:AM6"/>
    <mergeCell ref="Y5:Y6"/>
    <mergeCell ref="Z5:Z6"/>
    <mergeCell ref="AA5:AA6"/>
    <mergeCell ref="AB5:AB6"/>
    <mergeCell ref="AC5:AC6"/>
    <mergeCell ref="Q5:R5"/>
    <mergeCell ref="S5:T5"/>
    <mergeCell ref="U5:V5"/>
    <mergeCell ref="W5:W6"/>
    <mergeCell ref="X5:X6"/>
    <mergeCell ref="G5:G6"/>
    <mergeCell ref="H5:H6"/>
    <mergeCell ref="K5:L5"/>
    <mergeCell ref="M5:N5"/>
    <mergeCell ref="O5:P5"/>
    <mergeCell ref="I5:J5"/>
    <mergeCell ref="F5:F6"/>
    <mergeCell ref="A5:A6"/>
    <mergeCell ref="B5:B6"/>
    <mergeCell ref="C5:C6"/>
    <mergeCell ref="D5:D6"/>
    <mergeCell ref="E5:E6"/>
    <mergeCell ref="Z29:Z30"/>
    <mergeCell ref="AA29:AA30"/>
    <mergeCell ref="Y29:Y30"/>
    <mergeCell ref="AB29:AB30"/>
    <mergeCell ref="M29:M30"/>
    <mergeCell ref="N29:N30"/>
    <mergeCell ref="O29:O30"/>
    <mergeCell ref="P29:P30"/>
    <mergeCell ref="Q29:Q30"/>
    <mergeCell ref="R29:R30"/>
    <mergeCell ref="S29:S30"/>
    <mergeCell ref="T29:T30"/>
    <mergeCell ref="U29:U30"/>
    <mergeCell ref="V29:V30"/>
    <mergeCell ref="W29:W30"/>
    <mergeCell ref="X29:X30"/>
  </mergeCells>
  <pageMargins left="0.2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H135"/>
  <sheetViews>
    <sheetView topLeftCell="Q1" workbookViewId="0">
      <selection activeCell="AB94" sqref="AB94"/>
    </sheetView>
  </sheetViews>
  <sheetFormatPr defaultRowHeight="15" x14ac:dyDescent="0.25"/>
  <cols>
    <col min="1" max="1" width="4.85546875" customWidth="1"/>
    <col min="2" max="2" width="9.5703125" hidden="1" customWidth="1"/>
    <col min="3" max="3" width="21.7109375" customWidth="1"/>
    <col min="4" max="4" width="8.5703125" customWidth="1"/>
    <col min="5" max="5" width="6.140625" customWidth="1"/>
    <col min="6" max="7" width="8.140625" customWidth="1"/>
    <col min="8" max="8" width="9.42578125" customWidth="1"/>
    <col min="9" max="9" width="12" hidden="1" customWidth="1"/>
    <col min="10" max="10" width="11.5703125" hidden="1" customWidth="1"/>
    <col min="11" max="11" width="12" customWidth="1"/>
    <col min="12" max="12" width="12.85546875" customWidth="1"/>
    <col min="13" max="14" width="12.85546875" hidden="1" customWidth="1"/>
    <col min="15" max="15" width="13.140625" customWidth="1"/>
    <col min="16" max="16" width="10.5703125" customWidth="1"/>
    <col min="17" max="17" width="9.85546875" customWidth="1"/>
    <col min="18" max="18" width="10.28515625" customWidth="1"/>
    <col min="19" max="19" width="11" customWidth="1"/>
    <col min="20" max="20" width="10.42578125" customWidth="1"/>
    <col min="21" max="21" width="11.85546875" customWidth="1"/>
    <col min="22" max="22" width="9.85546875" customWidth="1"/>
    <col min="23" max="23" width="10.28515625" customWidth="1"/>
    <col min="24" max="24" width="10.7109375" customWidth="1"/>
    <col min="25" max="25" width="11.7109375" customWidth="1"/>
    <col min="26" max="26" width="10.140625" customWidth="1"/>
    <col min="27" max="27" width="10.28515625" customWidth="1"/>
    <col min="28" max="28" width="10.85546875" customWidth="1"/>
    <col min="29" max="30" width="9.5703125" customWidth="1"/>
    <col min="31" max="31" width="9" customWidth="1"/>
    <col min="32" max="32" width="10.28515625" customWidth="1"/>
    <col min="33" max="33" width="10.85546875" customWidth="1"/>
    <col min="34" max="34" width="11.5703125" customWidth="1"/>
    <col min="35" max="35" width="9.140625" style="34"/>
  </cols>
  <sheetData>
    <row r="1" spans="1:36" ht="16.5" customHeight="1" x14ac:dyDescent="0.25"/>
    <row r="2" spans="1:36" ht="15.75" x14ac:dyDescent="0.25">
      <c r="D2" s="222" t="s">
        <v>613</v>
      </c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</row>
    <row r="3" spans="1:36" ht="15.75" x14ac:dyDescent="0.25"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1:36" ht="15.75" x14ac:dyDescent="0.25">
      <c r="D4" s="222"/>
      <c r="E4" s="222"/>
      <c r="F4" s="222"/>
      <c r="G4" s="11" t="s">
        <v>612</v>
      </c>
      <c r="H4" s="222"/>
      <c r="I4" s="222"/>
      <c r="J4" s="222"/>
      <c r="K4" s="222"/>
      <c r="L4" s="222"/>
      <c r="M4" s="222"/>
      <c r="N4" s="222"/>
      <c r="O4" s="222"/>
    </row>
    <row r="5" spans="1:36" ht="15.75" x14ac:dyDescent="0.25">
      <c r="A5" s="10"/>
      <c r="B5" s="10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</row>
    <row r="6" spans="1:36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AG6" s="250"/>
      <c r="AH6" s="250"/>
      <c r="AI6" s="250"/>
      <c r="AJ6" s="250"/>
    </row>
    <row r="7" spans="1:36" ht="36.75" customHeight="1" x14ac:dyDescent="0.25">
      <c r="A7" s="2017" t="s">
        <v>0</v>
      </c>
      <c r="B7" s="2020"/>
      <c r="C7" s="2017" t="s">
        <v>184</v>
      </c>
      <c r="D7" s="2017" t="s">
        <v>54</v>
      </c>
      <c r="E7" s="2017" t="s">
        <v>55</v>
      </c>
      <c r="F7" s="2017" t="s">
        <v>56</v>
      </c>
      <c r="G7" s="2017" t="s">
        <v>57</v>
      </c>
      <c r="H7" s="2017" t="s">
        <v>6</v>
      </c>
      <c r="I7" s="2097" t="s">
        <v>593</v>
      </c>
      <c r="J7" s="2060"/>
      <c r="K7" s="1989" t="s">
        <v>310</v>
      </c>
      <c r="L7" s="1990"/>
      <c r="M7" s="2017" t="s">
        <v>598</v>
      </c>
      <c r="N7" s="2017"/>
      <c r="O7" s="1987" t="s">
        <v>457</v>
      </c>
      <c r="P7" s="2009" t="s">
        <v>332</v>
      </c>
      <c r="Q7" s="1987" t="s">
        <v>377</v>
      </c>
      <c r="R7" s="2003" t="s">
        <v>337</v>
      </c>
      <c r="S7" s="2003" t="s">
        <v>578</v>
      </c>
      <c r="T7" s="2003" t="s">
        <v>309</v>
      </c>
      <c r="U7" s="2003" t="s">
        <v>520</v>
      </c>
      <c r="V7" s="2003" t="s">
        <v>502</v>
      </c>
      <c r="W7" s="2003" t="s">
        <v>321</v>
      </c>
      <c r="X7" s="2005" t="s">
        <v>554</v>
      </c>
      <c r="Y7" s="2107" t="s">
        <v>503</v>
      </c>
      <c r="Z7" s="2009" t="s">
        <v>316</v>
      </c>
      <c r="AA7" s="2009" t="s">
        <v>369</v>
      </c>
      <c r="AB7" s="2005" t="s">
        <v>175</v>
      </c>
      <c r="AC7" s="2005" t="s">
        <v>610</v>
      </c>
      <c r="AD7" s="2005" t="s">
        <v>611</v>
      </c>
      <c r="AE7" s="2001" t="s">
        <v>182</v>
      </c>
      <c r="AF7" s="1999" t="s">
        <v>544</v>
      </c>
      <c r="AG7" s="2257" t="s">
        <v>566</v>
      </c>
      <c r="AH7" s="250"/>
      <c r="AI7" s="250"/>
      <c r="AJ7" s="250"/>
    </row>
    <row r="8" spans="1:36" ht="63" customHeight="1" x14ac:dyDescent="0.25">
      <c r="A8" s="2017"/>
      <c r="B8" s="2021"/>
      <c r="C8" s="2017"/>
      <c r="D8" s="2017"/>
      <c r="E8" s="2017"/>
      <c r="F8" s="2017"/>
      <c r="G8" s="2017"/>
      <c r="H8" s="2017"/>
      <c r="I8" s="150" t="s">
        <v>15</v>
      </c>
      <c r="J8" s="1025" t="s">
        <v>16</v>
      </c>
      <c r="K8" s="150" t="s">
        <v>15</v>
      </c>
      <c r="L8" s="229" t="s">
        <v>16</v>
      </c>
      <c r="M8" s="150" t="s">
        <v>15</v>
      </c>
      <c r="N8" s="1025" t="s">
        <v>16</v>
      </c>
      <c r="O8" s="1988"/>
      <c r="P8" s="2009"/>
      <c r="Q8" s="1988"/>
      <c r="R8" s="2004"/>
      <c r="S8" s="2004"/>
      <c r="T8" s="2004"/>
      <c r="U8" s="2004"/>
      <c r="V8" s="2004"/>
      <c r="W8" s="2004"/>
      <c r="X8" s="2002"/>
      <c r="Y8" s="2107"/>
      <c r="Z8" s="2009"/>
      <c r="AA8" s="2108"/>
      <c r="AB8" s="2006"/>
      <c r="AC8" s="2006"/>
      <c r="AD8" s="2006"/>
      <c r="AE8" s="2002"/>
      <c r="AF8" s="2000"/>
      <c r="AG8" s="2258"/>
      <c r="AH8" s="250"/>
      <c r="AI8" s="250"/>
      <c r="AJ8" s="250"/>
    </row>
    <row r="9" spans="1:36" ht="15.75" customHeight="1" x14ac:dyDescent="0.25">
      <c r="A9" s="119">
        <v>1</v>
      </c>
      <c r="B9" s="572"/>
      <c r="C9" s="120" t="s">
        <v>326</v>
      </c>
      <c r="D9" s="119">
        <v>1962</v>
      </c>
      <c r="E9" s="299">
        <v>1</v>
      </c>
      <c r="F9" s="299">
        <v>6</v>
      </c>
      <c r="G9" s="299">
        <v>11</v>
      </c>
      <c r="H9" s="461">
        <v>288.2</v>
      </c>
      <c r="I9" s="461"/>
      <c r="J9" s="461"/>
      <c r="K9" s="300">
        <v>7527.8</v>
      </c>
      <c r="L9" s="301">
        <v>9093.4</v>
      </c>
      <c r="M9" s="1037">
        <f>I9+K9</f>
        <v>7527.8</v>
      </c>
      <c r="N9" s="1037">
        <f>J9+L9</f>
        <v>9093.4</v>
      </c>
      <c r="O9" s="303">
        <f t="shared" ref="O9:O40" si="0">P9+Q9+R9+S9+T9+U9+V9+W9+X9+Y9+Z9+AA9</f>
        <v>4175.3284624069202</v>
      </c>
      <c r="P9" s="304"/>
      <c r="Q9" s="305">
        <f>398.33/26250.75*H9</f>
        <v>4.3731590906926465</v>
      </c>
      <c r="R9" s="305"/>
      <c r="S9" s="305">
        <f>13381.84/26250.75*H9</f>
        <v>146.91566100016189</v>
      </c>
      <c r="T9" s="460"/>
      <c r="U9" s="305"/>
      <c r="V9" s="305"/>
      <c r="W9" s="306"/>
      <c r="X9" s="305"/>
      <c r="Y9" s="454">
        <f>28225.62/26250.75*H9</f>
        <v>309.88157229793433</v>
      </c>
      <c r="Z9" s="273">
        <f>245044.12/780291.7*K9</f>
        <v>2364.0429938393554</v>
      </c>
      <c r="AA9" s="300">
        <f>122975.48/26250.75*H9</f>
        <v>1350.1150761787756</v>
      </c>
      <c r="AB9" s="455">
        <f>M9-O9</f>
        <v>3352.47153759308</v>
      </c>
      <c r="AC9" s="303">
        <f>L9/K9*100</f>
        <v>120.79757698132256</v>
      </c>
      <c r="AD9" s="303">
        <v>0</v>
      </c>
      <c r="AE9" s="302">
        <f>O9/H9/4</f>
        <v>3.6219018584376479</v>
      </c>
      <c r="AF9" s="463">
        <v>6.53</v>
      </c>
      <c r="AG9" s="467">
        <f>M9-N9</f>
        <v>-1565.5999999999995</v>
      </c>
      <c r="AH9" s="250"/>
      <c r="AI9" s="250"/>
      <c r="AJ9" s="250"/>
    </row>
    <row r="10" spans="1:36" s="124" customFormat="1" ht="15.75" customHeight="1" x14ac:dyDescent="0.25">
      <c r="A10" s="112">
        <v>2</v>
      </c>
      <c r="B10" s="572"/>
      <c r="C10" s="41" t="s">
        <v>24</v>
      </c>
      <c r="D10" s="112">
        <v>1966</v>
      </c>
      <c r="E10" s="179">
        <v>2</v>
      </c>
      <c r="F10" s="179">
        <v>16</v>
      </c>
      <c r="G10" s="151">
        <v>34</v>
      </c>
      <c r="H10" s="131">
        <v>627.76</v>
      </c>
      <c r="I10" s="131">
        <v>563.19000000000005</v>
      </c>
      <c r="J10" s="131">
        <v>308.66000000000003</v>
      </c>
      <c r="K10" s="300">
        <v>19434.759999999998</v>
      </c>
      <c r="L10" s="301">
        <v>18152.38</v>
      </c>
      <c r="M10" s="1037">
        <f t="shared" ref="M10:M40" si="1">I10+K10</f>
        <v>19997.949999999997</v>
      </c>
      <c r="N10" s="1037">
        <f t="shared" ref="N10:N40" si="2">J10+L10</f>
        <v>18461.04</v>
      </c>
      <c r="O10" s="303">
        <f t="shared" si="0"/>
        <v>18293.850131288127</v>
      </c>
      <c r="P10" s="273"/>
      <c r="Q10" s="305">
        <f t="shared" ref="Q10:Q40" si="3">398.33/26250.75*H10</f>
        <v>9.5256570117044266</v>
      </c>
      <c r="R10" s="305">
        <v>981.61</v>
      </c>
      <c r="S10" s="305">
        <f t="shared" ref="S10:S40" si="4">13381.84/26250.75*H10</f>
        <v>320.01309975524504</v>
      </c>
      <c r="T10" s="460"/>
      <c r="U10" s="305"/>
      <c r="V10" s="305"/>
      <c r="W10" s="307">
        <f>241529.89/25091.1*H10</f>
        <v>6042.8918519475037</v>
      </c>
      <c r="X10" s="305">
        <f>W10*0.202</f>
        <v>1220.6641540933958</v>
      </c>
      <c r="Y10" s="454">
        <f t="shared" ref="Y10:Y40" si="5">28225.62/26250.75*H10</f>
        <v>674.98700841690231</v>
      </c>
      <c r="Z10" s="273">
        <f t="shared" ref="Z10:Z40" si="6">245044.12/780291.7*K10</f>
        <v>6103.324771506861</v>
      </c>
      <c r="AA10" s="300">
        <f t="shared" ref="AA10:AA40" si="7">122975.48/26250.75*H10</f>
        <v>2940.833588556517</v>
      </c>
      <c r="AB10" s="455">
        <f t="shared" ref="AB10:AB40" si="8">M10-O10</f>
        <v>1704.0998687118699</v>
      </c>
      <c r="AC10" s="303">
        <f t="shared" ref="AC10:AC40" si="9">L10/K10*100</f>
        <v>93.401616485101968</v>
      </c>
      <c r="AD10" s="303">
        <f>J10/I10*100</f>
        <v>54.805660611871652</v>
      </c>
      <c r="AE10" s="302">
        <f t="shared" ref="AE10:AE41" si="10">O10/H10/4</f>
        <v>7.2853678680101179</v>
      </c>
      <c r="AF10" s="308">
        <v>7.74</v>
      </c>
      <c r="AG10" s="467">
        <f t="shared" ref="AG10:AG40" si="11">M10-N10</f>
        <v>1536.9099999999962</v>
      </c>
      <c r="AH10" s="250"/>
      <c r="AI10" s="250"/>
      <c r="AJ10" s="250"/>
    </row>
    <row r="11" spans="1:36" s="124" customFormat="1" x14ac:dyDescent="0.25">
      <c r="A11" s="13">
        <v>3</v>
      </c>
      <c r="B11" s="573"/>
      <c r="C11" s="42" t="s">
        <v>25</v>
      </c>
      <c r="D11" s="13">
        <v>1966</v>
      </c>
      <c r="E11" s="36">
        <v>2</v>
      </c>
      <c r="F11" s="36">
        <v>16</v>
      </c>
      <c r="G11" s="225">
        <v>35</v>
      </c>
      <c r="H11" s="121">
        <v>626.47</v>
      </c>
      <c r="I11" s="121">
        <v>563.19000000000005</v>
      </c>
      <c r="J11" s="121">
        <v>344.05</v>
      </c>
      <c r="K11" s="300">
        <v>19821.52</v>
      </c>
      <c r="L11" s="301">
        <v>20730.53</v>
      </c>
      <c r="M11" s="1037">
        <f t="shared" si="1"/>
        <v>20384.71</v>
      </c>
      <c r="N11" s="1037">
        <f t="shared" si="2"/>
        <v>21074.579999999998</v>
      </c>
      <c r="O11" s="303">
        <f t="shared" si="0"/>
        <v>18255.005407819175</v>
      </c>
      <c r="P11" s="273"/>
      <c r="Q11" s="305">
        <f t="shared" si="3"/>
        <v>9.5060824966905706</v>
      </c>
      <c r="R11" s="305">
        <v>844.34</v>
      </c>
      <c r="S11" s="305">
        <f t="shared" si="4"/>
        <v>319.35549669247541</v>
      </c>
      <c r="T11" s="460"/>
      <c r="U11" s="305"/>
      <c r="V11" s="305"/>
      <c r="W11" s="307">
        <f t="shared" ref="W11:W26" si="12">241529.89/25091.1*H11</f>
        <v>6030.4741596940758</v>
      </c>
      <c r="X11" s="305">
        <f t="shared" ref="X11:X26" si="13">W11*0.202</f>
        <v>1218.1557802582033</v>
      </c>
      <c r="Y11" s="454">
        <f t="shared" si="5"/>
        <v>673.59996043541605</v>
      </c>
      <c r="Z11" s="273">
        <f t="shared" si="6"/>
        <v>6224.7835334688298</v>
      </c>
      <c r="AA11" s="300">
        <f t="shared" si="7"/>
        <v>2934.7903947734826</v>
      </c>
      <c r="AB11" s="455">
        <f t="shared" si="8"/>
        <v>2129.704592180824</v>
      </c>
      <c r="AC11" s="303">
        <f t="shared" si="9"/>
        <v>104.58597524306914</v>
      </c>
      <c r="AD11" s="303">
        <f>J11/I11*100</f>
        <v>61.089507981320693</v>
      </c>
      <c r="AE11" s="302">
        <f t="shared" si="10"/>
        <v>7.2848681532312698</v>
      </c>
      <c r="AF11" s="308">
        <v>7.91</v>
      </c>
      <c r="AG11" s="467">
        <f t="shared" si="11"/>
        <v>-689.86999999999898</v>
      </c>
      <c r="AH11" s="250"/>
      <c r="AI11" s="250"/>
      <c r="AJ11" s="250"/>
    </row>
    <row r="12" spans="1:36" s="124" customFormat="1" x14ac:dyDescent="0.25">
      <c r="A12" s="13">
        <v>4</v>
      </c>
      <c r="B12" s="573"/>
      <c r="C12" s="42" t="s">
        <v>26</v>
      </c>
      <c r="D12" s="13">
        <v>1961</v>
      </c>
      <c r="E12" s="36">
        <v>2</v>
      </c>
      <c r="F12" s="36">
        <v>12</v>
      </c>
      <c r="G12" s="151">
        <v>39</v>
      </c>
      <c r="H12" s="121">
        <v>456.5</v>
      </c>
      <c r="I12" s="121">
        <v>1096.44</v>
      </c>
      <c r="J12" s="121">
        <v>487.21</v>
      </c>
      <c r="K12" s="300">
        <v>13914.08</v>
      </c>
      <c r="L12" s="301">
        <v>10602.31</v>
      </c>
      <c r="M12" s="1037">
        <f t="shared" si="1"/>
        <v>15010.52</v>
      </c>
      <c r="N12" s="1037">
        <f t="shared" si="2"/>
        <v>11089.519999999999</v>
      </c>
      <c r="O12" s="303">
        <f t="shared" si="0"/>
        <v>17994.768099934779</v>
      </c>
      <c r="P12" s="273">
        <v>4008.23</v>
      </c>
      <c r="Q12" s="305">
        <f t="shared" si="3"/>
        <v>6.9269504680818637</v>
      </c>
      <c r="R12" s="305">
        <v>1465.94</v>
      </c>
      <c r="S12" s="305">
        <f t="shared" si="4"/>
        <v>232.70992104987474</v>
      </c>
      <c r="T12" s="460"/>
      <c r="U12" s="305"/>
      <c r="V12" s="305"/>
      <c r="W12" s="307">
        <f t="shared" si="12"/>
        <v>4394.3228788295455</v>
      </c>
      <c r="X12" s="305">
        <f t="shared" si="13"/>
        <v>887.65322152356828</v>
      </c>
      <c r="Y12" s="454">
        <f t="shared" si="5"/>
        <v>490.84294848718605</v>
      </c>
      <c r="Z12" s="273">
        <f t="shared" si="6"/>
        <v>4369.6011237971652</v>
      </c>
      <c r="AA12" s="300">
        <f t="shared" si="7"/>
        <v>2138.5410557793584</v>
      </c>
      <c r="AB12" s="455">
        <f t="shared" si="8"/>
        <v>-2984.248099934779</v>
      </c>
      <c r="AC12" s="303">
        <f t="shared" si="9"/>
        <v>76.198426342237497</v>
      </c>
      <c r="AD12" s="303">
        <f>J12/I12*100</f>
        <v>44.435628032541672</v>
      </c>
      <c r="AE12" s="302">
        <f t="shared" si="10"/>
        <v>9.8547470426806019</v>
      </c>
      <c r="AF12" s="308">
        <v>7.62</v>
      </c>
      <c r="AG12" s="467">
        <f t="shared" si="11"/>
        <v>3921.0000000000018</v>
      </c>
      <c r="AH12" s="250"/>
      <c r="AI12" s="250"/>
      <c r="AJ12" s="250"/>
    </row>
    <row r="13" spans="1:36" s="124" customFormat="1" x14ac:dyDescent="0.25">
      <c r="A13" s="13">
        <v>5</v>
      </c>
      <c r="B13" s="573"/>
      <c r="C13" s="42" t="s">
        <v>27</v>
      </c>
      <c r="D13" s="13">
        <v>1961</v>
      </c>
      <c r="E13" s="36">
        <v>2</v>
      </c>
      <c r="F13" s="36">
        <v>12</v>
      </c>
      <c r="G13" s="225">
        <v>35</v>
      </c>
      <c r="H13" s="121">
        <v>459.7</v>
      </c>
      <c r="I13" s="121">
        <v>1096.47</v>
      </c>
      <c r="J13" s="121">
        <v>635.94000000000005</v>
      </c>
      <c r="K13" s="300">
        <v>14379.4</v>
      </c>
      <c r="L13" s="301">
        <v>12638.84</v>
      </c>
      <c r="M13" s="1037">
        <f t="shared" si="1"/>
        <v>15475.869999999999</v>
      </c>
      <c r="N13" s="1037">
        <f t="shared" si="2"/>
        <v>13274.78</v>
      </c>
      <c r="O13" s="303">
        <f t="shared" si="0"/>
        <v>15228.395304844964</v>
      </c>
      <c r="P13" s="273"/>
      <c r="Q13" s="305">
        <f t="shared" si="3"/>
        <v>6.9755074045503456</v>
      </c>
      <c r="R13" s="305">
        <v>2504.5300000000002</v>
      </c>
      <c r="S13" s="305">
        <f t="shared" si="4"/>
        <v>234.34118446139632</v>
      </c>
      <c r="T13" s="460"/>
      <c r="U13" s="305"/>
      <c r="V13" s="305"/>
      <c r="W13" s="307">
        <f t="shared" si="12"/>
        <v>4425.1264565124684</v>
      </c>
      <c r="X13" s="305">
        <f t="shared" si="13"/>
        <v>893.87554421551863</v>
      </c>
      <c r="Y13" s="454">
        <f t="shared" si="5"/>
        <v>494.28368766606661</v>
      </c>
      <c r="Z13" s="273">
        <f t="shared" si="6"/>
        <v>4515.7310005066056</v>
      </c>
      <c r="AA13" s="300">
        <f t="shared" si="7"/>
        <v>2153.5319240783592</v>
      </c>
      <c r="AB13" s="455">
        <f t="shared" si="8"/>
        <v>247.47469515503508</v>
      </c>
      <c r="AC13" s="303">
        <f t="shared" si="9"/>
        <v>87.895461563069404</v>
      </c>
      <c r="AD13" s="303">
        <f>J13/I13*100</f>
        <v>57.998850857752615</v>
      </c>
      <c r="AE13" s="302">
        <f t="shared" si="10"/>
        <v>8.281702906702721</v>
      </c>
      <c r="AF13" s="308">
        <v>7.82</v>
      </c>
      <c r="AG13" s="467">
        <f t="shared" si="11"/>
        <v>2201.0899999999983</v>
      </c>
      <c r="AH13" s="250"/>
      <c r="AI13" s="250"/>
      <c r="AJ13" s="250"/>
    </row>
    <row r="14" spans="1:36" s="124" customFormat="1" x14ac:dyDescent="0.25">
      <c r="A14" s="13">
        <v>6</v>
      </c>
      <c r="B14" s="573"/>
      <c r="C14" s="42" t="s">
        <v>28</v>
      </c>
      <c r="D14" s="13">
        <v>1960</v>
      </c>
      <c r="E14" s="36">
        <v>1</v>
      </c>
      <c r="F14" s="36">
        <v>6</v>
      </c>
      <c r="G14" s="151">
        <v>10</v>
      </c>
      <c r="H14" s="462">
        <v>129.56</v>
      </c>
      <c r="I14" s="462"/>
      <c r="J14" s="462"/>
      <c r="K14" s="300">
        <v>2706.2</v>
      </c>
      <c r="L14" s="301">
        <v>2409.84</v>
      </c>
      <c r="M14" s="1037">
        <f t="shared" si="1"/>
        <v>2706.2</v>
      </c>
      <c r="N14" s="1037">
        <f t="shared" si="2"/>
        <v>2409.84</v>
      </c>
      <c r="O14" s="303">
        <f t="shared" si="0"/>
        <v>1664.1210411469324</v>
      </c>
      <c r="P14" s="273"/>
      <c r="Q14" s="305">
        <f t="shared" si="3"/>
        <v>1.9659489652676589</v>
      </c>
      <c r="R14" s="305"/>
      <c r="S14" s="305">
        <f t="shared" si="4"/>
        <v>66.045777373979789</v>
      </c>
      <c r="T14" s="460"/>
      <c r="U14" s="305"/>
      <c r="V14" s="305"/>
      <c r="W14" s="307"/>
      <c r="X14" s="305"/>
      <c r="Y14" s="454">
        <f t="shared" si="5"/>
        <v>139.30692750492841</v>
      </c>
      <c r="Z14" s="273">
        <f t="shared" si="6"/>
        <v>849.85960704695435</v>
      </c>
      <c r="AA14" s="300">
        <f t="shared" si="7"/>
        <v>606.94278025580218</v>
      </c>
      <c r="AB14" s="455">
        <f t="shared" si="8"/>
        <v>1042.0789588530674</v>
      </c>
      <c r="AC14" s="303">
        <f t="shared" si="9"/>
        <v>89.04885078708152</v>
      </c>
      <c r="AD14" s="303">
        <v>0</v>
      </c>
      <c r="AE14" s="302">
        <f t="shared" si="10"/>
        <v>3.2111011136672825</v>
      </c>
      <c r="AF14" s="308">
        <v>6.29</v>
      </c>
      <c r="AG14" s="467">
        <f t="shared" si="11"/>
        <v>296.35999999999967</v>
      </c>
      <c r="AH14" s="250"/>
      <c r="AI14" s="250"/>
      <c r="AJ14" s="250"/>
    </row>
    <row r="15" spans="1:36" s="124" customFormat="1" x14ac:dyDescent="0.25">
      <c r="A15" s="13">
        <v>7</v>
      </c>
      <c r="B15" s="573"/>
      <c r="C15" s="42" t="s">
        <v>29</v>
      </c>
      <c r="D15" s="13">
        <v>1985</v>
      </c>
      <c r="E15" s="36">
        <v>4</v>
      </c>
      <c r="F15" s="36">
        <v>48</v>
      </c>
      <c r="G15" s="225">
        <v>106</v>
      </c>
      <c r="H15" s="121">
        <v>2625.8</v>
      </c>
      <c r="I15" s="121">
        <v>5864.79</v>
      </c>
      <c r="J15" s="121">
        <v>3678.74</v>
      </c>
      <c r="K15" s="300">
        <v>83080.479999999996</v>
      </c>
      <c r="L15" s="301">
        <v>76364.83</v>
      </c>
      <c r="M15" s="1037">
        <f t="shared" si="1"/>
        <v>88945.26999999999</v>
      </c>
      <c r="N15" s="1037">
        <f t="shared" si="2"/>
        <v>80043.570000000007</v>
      </c>
      <c r="O15" s="303">
        <f t="shared" si="0"/>
        <v>77974.942773901668</v>
      </c>
      <c r="P15" s="273">
        <v>1155.9000000000001</v>
      </c>
      <c r="Q15" s="305">
        <f t="shared" si="3"/>
        <v>39.844001180918639</v>
      </c>
      <c r="R15" s="305">
        <v>3843.56</v>
      </c>
      <c r="S15" s="305">
        <f t="shared" si="4"/>
        <v>1338.5535831166728</v>
      </c>
      <c r="T15" s="460"/>
      <c r="U15" s="305"/>
      <c r="V15" s="305"/>
      <c r="W15" s="307">
        <f t="shared" si="12"/>
        <v>25276.260712443858</v>
      </c>
      <c r="X15" s="305">
        <f t="shared" si="13"/>
        <v>5105.8046639136601</v>
      </c>
      <c r="Y15" s="454">
        <f t="shared" si="5"/>
        <v>2823.3415424702152</v>
      </c>
      <c r="Z15" s="273">
        <f t="shared" si="6"/>
        <v>26090.733902177351</v>
      </c>
      <c r="AA15" s="300">
        <f t="shared" si="7"/>
        <v>12300.944368598992</v>
      </c>
      <c r="AB15" s="455">
        <f t="shared" si="8"/>
        <v>10970.327226098321</v>
      </c>
      <c r="AC15" s="303">
        <f t="shared" si="9"/>
        <v>91.916693307501362</v>
      </c>
      <c r="AD15" s="303">
        <f t="shared" ref="AD15:AD26" si="14">J15/I15*100</f>
        <v>62.725860601999386</v>
      </c>
      <c r="AE15" s="302">
        <f t="shared" si="10"/>
        <v>7.4239224973247833</v>
      </c>
      <c r="AF15" s="308">
        <v>7.91</v>
      </c>
      <c r="AG15" s="467">
        <f t="shared" si="11"/>
        <v>8901.6999999999825</v>
      </c>
      <c r="AH15" s="250"/>
      <c r="AI15" s="250"/>
      <c r="AJ15" s="250"/>
    </row>
    <row r="16" spans="1:36" s="124" customFormat="1" x14ac:dyDescent="0.25">
      <c r="A16" s="13">
        <v>8</v>
      </c>
      <c r="B16" s="573"/>
      <c r="C16" s="42" t="s">
        <v>30</v>
      </c>
      <c r="D16" s="13">
        <v>1968</v>
      </c>
      <c r="E16" s="36">
        <v>2</v>
      </c>
      <c r="F16" s="36">
        <v>22</v>
      </c>
      <c r="G16" s="151">
        <v>60</v>
      </c>
      <c r="H16" s="121">
        <v>857.42</v>
      </c>
      <c r="I16" s="121">
        <v>805.59</v>
      </c>
      <c r="J16" s="121">
        <v>508.26</v>
      </c>
      <c r="K16" s="300">
        <v>25963.360000000001</v>
      </c>
      <c r="L16" s="301">
        <v>24998.19</v>
      </c>
      <c r="M16" s="1037">
        <f t="shared" si="1"/>
        <v>26768.95</v>
      </c>
      <c r="N16" s="1037">
        <f t="shared" si="2"/>
        <v>25506.449999999997</v>
      </c>
      <c r="O16" s="303">
        <f t="shared" si="0"/>
        <v>24133.977297115067</v>
      </c>
      <c r="P16" s="273"/>
      <c r="Q16" s="305">
        <f t="shared" si="3"/>
        <v>13.010527645876783</v>
      </c>
      <c r="R16" s="305">
        <v>670.81</v>
      </c>
      <c r="S16" s="305">
        <f t="shared" si="4"/>
        <v>437.0868357208841</v>
      </c>
      <c r="T16" s="460"/>
      <c r="U16" s="305"/>
      <c r="V16" s="305"/>
      <c r="W16" s="307">
        <f t="shared" si="12"/>
        <v>8253.6261177788147</v>
      </c>
      <c r="X16" s="305">
        <f t="shared" si="13"/>
        <v>1667.2324757913207</v>
      </c>
      <c r="Y16" s="454">
        <f t="shared" si="5"/>
        <v>921.9245583611895</v>
      </c>
      <c r="Z16" s="273">
        <f t="shared" si="6"/>
        <v>8153.5773140265374</v>
      </c>
      <c r="AA16" s="300">
        <f t="shared" si="7"/>
        <v>4016.7094677904433</v>
      </c>
      <c r="AB16" s="455">
        <f t="shared" si="8"/>
        <v>2634.9727028849338</v>
      </c>
      <c r="AC16" s="303">
        <f t="shared" si="9"/>
        <v>96.282568974123535</v>
      </c>
      <c r="AD16" s="303">
        <f t="shared" si="14"/>
        <v>63.091647115778493</v>
      </c>
      <c r="AE16" s="302">
        <f t="shared" si="10"/>
        <v>7.0368014791802933</v>
      </c>
      <c r="AF16" s="308">
        <v>7.57</v>
      </c>
      <c r="AG16" s="467">
        <f t="shared" si="11"/>
        <v>1262.5000000000036</v>
      </c>
      <c r="AH16" s="250"/>
      <c r="AI16" s="250"/>
      <c r="AJ16" s="250"/>
    </row>
    <row r="17" spans="1:36" s="124" customFormat="1" x14ac:dyDescent="0.25">
      <c r="A17" s="13">
        <v>9</v>
      </c>
      <c r="B17" s="573"/>
      <c r="C17" s="42" t="s">
        <v>31</v>
      </c>
      <c r="D17" s="13">
        <v>1969</v>
      </c>
      <c r="E17" s="36">
        <v>2</v>
      </c>
      <c r="F17" s="36">
        <v>22</v>
      </c>
      <c r="G17" s="225">
        <v>55</v>
      </c>
      <c r="H17" s="121">
        <v>805.1</v>
      </c>
      <c r="I17" s="121">
        <v>796.26</v>
      </c>
      <c r="J17" s="121">
        <v>490.68</v>
      </c>
      <c r="K17" s="300">
        <v>24025.599999999999</v>
      </c>
      <c r="L17" s="301">
        <v>23822.92</v>
      </c>
      <c r="M17" s="1037">
        <f t="shared" si="1"/>
        <v>24821.859999999997</v>
      </c>
      <c r="N17" s="1037">
        <f t="shared" si="2"/>
        <v>24313.599999999999</v>
      </c>
      <c r="O17" s="303">
        <f t="shared" si="0"/>
        <v>22918.264566151749</v>
      </c>
      <c r="P17" s="273">
        <v>694.8</v>
      </c>
      <c r="Q17" s="305">
        <f t="shared" si="3"/>
        <v>12.216621734617105</v>
      </c>
      <c r="R17" s="305">
        <v>303.02999999999997</v>
      </c>
      <c r="S17" s="305">
        <f t="shared" si="4"/>
        <v>410.41567894250636</v>
      </c>
      <c r="T17" s="460"/>
      <c r="U17" s="305"/>
      <c r="V17" s="305"/>
      <c r="W17" s="307">
        <f t="shared" si="12"/>
        <v>7749.9876226630167</v>
      </c>
      <c r="X17" s="305">
        <f t="shared" si="13"/>
        <v>1565.4974997779295</v>
      </c>
      <c r="Y17" s="454">
        <f t="shared" si="5"/>
        <v>865.66847278649175</v>
      </c>
      <c r="Z17" s="273">
        <f t="shared" si="6"/>
        <v>7545.0398991454094</v>
      </c>
      <c r="AA17" s="300">
        <f t="shared" si="7"/>
        <v>3771.6087711017776</v>
      </c>
      <c r="AB17" s="455">
        <f t="shared" si="8"/>
        <v>1903.5954338482479</v>
      </c>
      <c r="AC17" s="303">
        <f t="shared" si="9"/>
        <v>99.156399840170479</v>
      </c>
      <c r="AD17" s="303">
        <f t="shared" si="14"/>
        <v>61.623087936101271</v>
      </c>
      <c r="AE17" s="302">
        <f t="shared" si="10"/>
        <v>7.1165894193739128</v>
      </c>
      <c r="AF17" s="308">
        <v>7.46</v>
      </c>
      <c r="AG17" s="467">
        <f t="shared" si="11"/>
        <v>508.2599999999984</v>
      </c>
      <c r="AH17" s="250"/>
      <c r="AI17" s="250"/>
      <c r="AJ17" s="250"/>
    </row>
    <row r="18" spans="1:36" s="124" customFormat="1" x14ac:dyDescent="0.25">
      <c r="A18" s="13">
        <v>10</v>
      </c>
      <c r="B18" s="573"/>
      <c r="C18" s="42" t="s">
        <v>32</v>
      </c>
      <c r="D18" s="13">
        <v>1963</v>
      </c>
      <c r="E18" s="36">
        <v>2</v>
      </c>
      <c r="F18" s="36">
        <v>16</v>
      </c>
      <c r="G18" s="151">
        <v>25</v>
      </c>
      <c r="H18" s="121">
        <v>636.21</v>
      </c>
      <c r="I18" s="121">
        <v>563.13</v>
      </c>
      <c r="J18" s="121">
        <v>363.67</v>
      </c>
      <c r="K18" s="300">
        <v>19470.240000000002</v>
      </c>
      <c r="L18" s="301">
        <v>19450.86</v>
      </c>
      <c r="M18" s="1037">
        <f t="shared" si="1"/>
        <v>20033.370000000003</v>
      </c>
      <c r="N18" s="1037">
        <f t="shared" si="2"/>
        <v>19814.53</v>
      </c>
      <c r="O18" s="303">
        <f t="shared" si="0"/>
        <v>17779.880587540225</v>
      </c>
      <c r="P18" s="273"/>
      <c r="Q18" s="305">
        <f t="shared" si="3"/>
        <v>9.6538776720665123</v>
      </c>
      <c r="R18" s="305">
        <v>305.62</v>
      </c>
      <c r="S18" s="305">
        <f t="shared" si="4"/>
        <v>324.32065470129425</v>
      </c>
      <c r="T18" s="460"/>
      <c r="U18" s="305"/>
      <c r="V18" s="305"/>
      <c r="W18" s="307">
        <f t="shared" si="12"/>
        <v>6124.2325492664741</v>
      </c>
      <c r="X18" s="305">
        <f t="shared" si="13"/>
        <v>1237.0949749518279</v>
      </c>
      <c r="Y18" s="454">
        <f t="shared" si="5"/>
        <v>684.07271031113396</v>
      </c>
      <c r="Z18" s="273">
        <f t="shared" si="6"/>
        <v>6114.4669704788612</v>
      </c>
      <c r="AA18" s="300">
        <f t="shared" si="7"/>
        <v>2980.4188501585668</v>
      </c>
      <c r="AB18" s="455">
        <f t="shared" si="8"/>
        <v>2253.4894124597777</v>
      </c>
      <c r="AC18" s="303">
        <f t="shared" si="9"/>
        <v>99.90046347656731</v>
      </c>
      <c r="AD18" s="303">
        <f t="shared" si="14"/>
        <v>64.580114715962566</v>
      </c>
      <c r="AE18" s="302">
        <f t="shared" si="10"/>
        <v>6.9866398624433064</v>
      </c>
      <c r="AF18" s="308">
        <v>7.65</v>
      </c>
      <c r="AG18" s="467">
        <f t="shared" si="11"/>
        <v>218.84000000000378</v>
      </c>
      <c r="AH18" s="250"/>
      <c r="AI18" s="250"/>
      <c r="AJ18" s="250"/>
    </row>
    <row r="19" spans="1:36" s="124" customFormat="1" x14ac:dyDescent="0.25">
      <c r="A19" s="13">
        <v>11</v>
      </c>
      <c r="B19" s="573"/>
      <c r="C19" s="42" t="s">
        <v>33</v>
      </c>
      <c r="D19" s="13">
        <v>1972</v>
      </c>
      <c r="E19" s="36">
        <v>2</v>
      </c>
      <c r="F19" s="36">
        <v>18</v>
      </c>
      <c r="G19" s="225">
        <v>44</v>
      </c>
      <c r="H19" s="121">
        <v>779.26</v>
      </c>
      <c r="I19" s="121">
        <v>816.78</v>
      </c>
      <c r="J19" s="121">
        <v>320.60000000000002</v>
      </c>
      <c r="K19" s="300">
        <v>22381.759999999998</v>
      </c>
      <c r="L19" s="301">
        <v>15767.58</v>
      </c>
      <c r="M19" s="1037">
        <f t="shared" si="1"/>
        <v>23198.539999999997</v>
      </c>
      <c r="N19" s="1037">
        <f t="shared" si="2"/>
        <v>16088.18</v>
      </c>
      <c r="O19" s="303">
        <f t="shared" si="0"/>
        <v>23118.416358007045</v>
      </c>
      <c r="P19" s="273"/>
      <c r="Q19" s="305">
        <f t="shared" si="3"/>
        <v>11.824524472634113</v>
      </c>
      <c r="R19" s="305">
        <v>2175.6</v>
      </c>
      <c r="S19" s="305">
        <f t="shared" si="4"/>
        <v>397.24322689446967</v>
      </c>
      <c r="T19" s="460"/>
      <c r="U19" s="305"/>
      <c r="V19" s="305"/>
      <c r="W19" s="307">
        <f t="shared" si="12"/>
        <v>7501.2487328734096</v>
      </c>
      <c r="X19" s="305">
        <f t="shared" si="13"/>
        <v>1515.2522440404289</v>
      </c>
      <c r="Y19" s="454">
        <f t="shared" si="5"/>
        <v>837.88450391703088</v>
      </c>
      <c r="Z19" s="273">
        <f t="shared" si="6"/>
        <v>7028.8056162217281</v>
      </c>
      <c r="AA19" s="300">
        <f t="shared" si="7"/>
        <v>3650.5575095873446</v>
      </c>
      <c r="AB19" s="455">
        <f t="shared" si="8"/>
        <v>80.123641992951889</v>
      </c>
      <c r="AC19" s="303">
        <f t="shared" si="9"/>
        <v>70.448347225597999</v>
      </c>
      <c r="AD19" s="303">
        <f t="shared" si="14"/>
        <v>39.251695683048069</v>
      </c>
      <c r="AE19" s="302">
        <f t="shared" si="10"/>
        <v>7.4167852700020038</v>
      </c>
      <c r="AF19" s="308">
        <v>7.18</v>
      </c>
      <c r="AG19" s="467">
        <f t="shared" si="11"/>
        <v>7110.3599999999969</v>
      </c>
      <c r="AH19" s="250"/>
      <c r="AI19" s="250"/>
      <c r="AJ19" s="250"/>
    </row>
    <row r="20" spans="1:36" s="124" customFormat="1" x14ac:dyDescent="0.25">
      <c r="A20" s="13">
        <v>12</v>
      </c>
      <c r="B20" s="573"/>
      <c r="C20" s="42" t="s">
        <v>34</v>
      </c>
      <c r="D20" s="13">
        <v>1972</v>
      </c>
      <c r="E20" s="36">
        <v>2</v>
      </c>
      <c r="F20" s="36">
        <v>18</v>
      </c>
      <c r="G20" s="151">
        <v>44</v>
      </c>
      <c r="H20" s="121">
        <v>771.52</v>
      </c>
      <c r="I20" s="121">
        <v>816.81</v>
      </c>
      <c r="J20" s="121">
        <v>476.09</v>
      </c>
      <c r="K20" s="300">
        <v>22034.560000000001</v>
      </c>
      <c r="L20" s="301">
        <v>21023.8</v>
      </c>
      <c r="M20" s="1037">
        <f t="shared" si="1"/>
        <v>22851.370000000003</v>
      </c>
      <c r="N20" s="1037">
        <f t="shared" si="2"/>
        <v>21499.89</v>
      </c>
      <c r="O20" s="303">
        <f t="shared" si="0"/>
        <v>21708.270172504966</v>
      </c>
      <c r="P20" s="273"/>
      <c r="Q20" s="305">
        <f t="shared" si="3"/>
        <v>11.707077382550974</v>
      </c>
      <c r="R20" s="305">
        <v>1012.69</v>
      </c>
      <c r="S20" s="305">
        <f t="shared" si="4"/>
        <v>393.29760851785181</v>
      </c>
      <c r="T20" s="460"/>
      <c r="U20" s="305"/>
      <c r="V20" s="305"/>
      <c r="W20" s="307">
        <f t="shared" si="12"/>
        <v>7426.7425793528382</v>
      </c>
      <c r="X20" s="305">
        <f t="shared" si="13"/>
        <v>1500.2020010292733</v>
      </c>
      <c r="Y20" s="454">
        <f t="shared" si="5"/>
        <v>829.56221602811343</v>
      </c>
      <c r="Z20" s="273">
        <f t="shared" si="6"/>
        <v>6919.7703433052029</v>
      </c>
      <c r="AA20" s="300">
        <f t="shared" si="7"/>
        <v>3614.2983468891362</v>
      </c>
      <c r="AB20" s="455">
        <f t="shared" si="8"/>
        <v>1143.0998274950362</v>
      </c>
      <c r="AC20" s="303">
        <f t="shared" si="9"/>
        <v>95.412842371256772</v>
      </c>
      <c r="AD20" s="303">
        <f t="shared" si="14"/>
        <v>58.286504817521823</v>
      </c>
      <c r="AE20" s="302">
        <f t="shared" si="10"/>
        <v>7.0342538665572398</v>
      </c>
      <c r="AF20" s="308">
        <v>7.14</v>
      </c>
      <c r="AG20" s="467">
        <f t="shared" si="11"/>
        <v>1351.4800000000032</v>
      </c>
      <c r="AH20" s="250"/>
      <c r="AI20" s="250"/>
      <c r="AJ20" s="250"/>
    </row>
    <row r="21" spans="1:36" s="124" customFormat="1" x14ac:dyDescent="0.25">
      <c r="A21" s="13">
        <v>13</v>
      </c>
      <c r="B21" s="573"/>
      <c r="C21" s="42" t="s">
        <v>35</v>
      </c>
      <c r="D21" s="13">
        <v>1978</v>
      </c>
      <c r="E21" s="36">
        <v>3</v>
      </c>
      <c r="F21" s="36">
        <v>24</v>
      </c>
      <c r="G21" s="225">
        <v>68</v>
      </c>
      <c r="H21" s="121">
        <v>1443.9</v>
      </c>
      <c r="I21" s="121">
        <v>3280.26</v>
      </c>
      <c r="J21" s="121">
        <v>2090.9</v>
      </c>
      <c r="K21" s="300">
        <v>46840.12</v>
      </c>
      <c r="L21" s="301">
        <v>44917.25</v>
      </c>
      <c r="M21" s="1037">
        <f t="shared" si="1"/>
        <v>50120.380000000005</v>
      </c>
      <c r="N21" s="1037">
        <f t="shared" si="2"/>
        <v>47008.15</v>
      </c>
      <c r="O21" s="303">
        <f t="shared" si="0"/>
        <v>42821.444003903991</v>
      </c>
      <c r="P21" s="273">
        <v>765.9</v>
      </c>
      <c r="Q21" s="305">
        <f t="shared" si="3"/>
        <v>21.909800177137797</v>
      </c>
      <c r="R21" s="305">
        <v>1564.36</v>
      </c>
      <c r="S21" s="305">
        <f t="shared" si="4"/>
        <v>736.05663746750088</v>
      </c>
      <c r="T21" s="460"/>
      <c r="U21" s="305"/>
      <c r="V21" s="305"/>
      <c r="W21" s="307">
        <f t="shared" si="12"/>
        <v>13899.151817616606</v>
      </c>
      <c r="X21" s="305">
        <f t="shared" si="13"/>
        <v>2807.6286671585549</v>
      </c>
      <c r="Y21" s="454">
        <f t="shared" si="5"/>
        <v>1552.5260313705321</v>
      </c>
      <c r="Z21" s="273">
        <f t="shared" si="6"/>
        <v>14709.75019482381</v>
      </c>
      <c r="AA21" s="300">
        <f t="shared" si="7"/>
        <v>6764.1608552898488</v>
      </c>
      <c r="AB21" s="455">
        <f t="shared" si="8"/>
        <v>7298.9359960960137</v>
      </c>
      <c r="AC21" s="303">
        <f t="shared" si="9"/>
        <v>95.894822643494507</v>
      </c>
      <c r="AD21" s="303">
        <f t="shared" si="14"/>
        <v>63.741898508045089</v>
      </c>
      <c r="AE21" s="302">
        <f t="shared" si="10"/>
        <v>7.4141983523623498</v>
      </c>
      <c r="AF21" s="308">
        <v>8.11</v>
      </c>
      <c r="AG21" s="467">
        <f t="shared" si="11"/>
        <v>3112.2300000000032</v>
      </c>
      <c r="AH21" s="250"/>
      <c r="AI21" s="250"/>
      <c r="AJ21" s="250"/>
    </row>
    <row r="22" spans="1:36" s="124" customFormat="1" x14ac:dyDescent="0.25">
      <c r="A22" s="13">
        <v>14</v>
      </c>
      <c r="B22" s="573"/>
      <c r="C22" s="42" t="s">
        <v>36</v>
      </c>
      <c r="D22" s="13">
        <v>1979</v>
      </c>
      <c r="E22" s="36">
        <v>5</v>
      </c>
      <c r="F22" s="36">
        <v>60</v>
      </c>
      <c r="G22" s="151">
        <v>181</v>
      </c>
      <c r="H22" s="121">
        <v>3240.38</v>
      </c>
      <c r="I22" s="121">
        <v>7369.68</v>
      </c>
      <c r="J22" s="121">
        <v>4632.88</v>
      </c>
      <c r="K22" s="300">
        <v>101082.36</v>
      </c>
      <c r="L22" s="301">
        <v>97397.57</v>
      </c>
      <c r="M22" s="1037">
        <f t="shared" si="1"/>
        <v>108452.04000000001</v>
      </c>
      <c r="N22" s="1037">
        <f t="shared" si="2"/>
        <v>102030.45000000001</v>
      </c>
      <c r="O22" s="303">
        <f t="shared" si="0"/>
        <v>92635.204485536742</v>
      </c>
      <c r="P22" s="273">
        <v>1377.79</v>
      </c>
      <c r="Q22" s="305">
        <f t="shared" si="3"/>
        <v>49.169664310543503</v>
      </c>
      <c r="R22" s="305">
        <v>1655.01</v>
      </c>
      <c r="S22" s="305">
        <f t="shared" si="4"/>
        <v>1651.8479166957134</v>
      </c>
      <c r="T22" s="460"/>
      <c r="U22" s="305"/>
      <c r="V22" s="305"/>
      <c r="W22" s="307">
        <f t="shared" si="12"/>
        <v>31192.280328809822</v>
      </c>
      <c r="X22" s="305">
        <f t="shared" si="13"/>
        <v>6300.8406264195846</v>
      </c>
      <c r="Y22" s="454">
        <f t="shared" si="5"/>
        <v>3484.1570063941026</v>
      </c>
      <c r="Z22" s="273">
        <f t="shared" si="6"/>
        <v>31744.074624557972</v>
      </c>
      <c r="AA22" s="300">
        <f t="shared" si="7"/>
        <v>15180.034318348999</v>
      </c>
      <c r="AB22" s="455">
        <f t="shared" si="8"/>
        <v>15816.835514463266</v>
      </c>
      <c r="AC22" s="303">
        <f t="shared" si="9"/>
        <v>96.35466564096842</v>
      </c>
      <c r="AD22" s="303">
        <f t="shared" si="14"/>
        <v>62.864059226452163</v>
      </c>
      <c r="AE22" s="302">
        <f t="shared" si="10"/>
        <v>7.1469399025374134</v>
      </c>
      <c r="AF22" s="308">
        <v>7.8</v>
      </c>
      <c r="AG22" s="467">
        <f t="shared" si="11"/>
        <v>6421.5899999999965</v>
      </c>
      <c r="AH22" s="250"/>
      <c r="AI22" s="250"/>
      <c r="AJ22" s="250"/>
    </row>
    <row r="23" spans="1:36" s="124" customFormat="1" x14ac:dyDescent="0.25">
      <c r="A23" s="13">
        <v>15</v>
      </c>
      <c r="B23" s="573"/>
      <c r="C23" s="42" t="s">
        <v>37</v>
      </c>
      <c r="D23" s="13">
        <v>1981</v>
      </c>
      <c r="E23" s="36">
        <v>5</v>
      </c>
      <c r="F23" s="36">
        <v>60</v>
      </c>
      <c r="G23" s="225">
        <v>163</v>
      </c>
      <c r="H23" s="121">
        <v>3236.3</v>
      </c>
      <c r="I23" s="121">
        <v>7354.68</v>
      </c>
      <c r="J23" s="121">
        <v>4579.13</v>
      </c>
      <c r="K23" s="300">
        <v>102149.94</v>
      </c>
      <c r="L23" s="301">
        <v>99515.97</v>
      </c>
      <c r="M23" s="1037">
        <f t="shared" si="1"/>
        <v>109504.62</v>
      </c>
      <c r="N23" s="1037">
        <f t="shared" si="2"/>
        <v>104095.1</v>
      </c>
      <c r="O23" s="303">
        <f t="shared" si="0"/>
        <v>93648.829013798037</v>
      </c>
      <c r="P23" s="273">
        <v>1494.45</v>
      </c>
      <c r="Q23" s="305">
        <f t="shared" si="3"/>
        <v>49.107754216546191</v>
      </c>
      <c r="R23" s="305">
        <v>2289.56</v>
      </c>
      <c r="S23" s="305">
        <f t="shared" si="4"/>
        <v>1649.7680558460233</v>
      </c>
      <c r="T23" s="460"/>
      <c r="U23" s="305"/>
      <c r="V23" s="305"/>
      <c r="W23" s="307">
        <f t="shared" si="12"/>
        <v>31153.005767264094</v>
      </c>
      <c r="X23" s="305">
        <f t="shared" si="13"/>
        <v>6292.9071649873476</v>
      </c>
      <c r="Y23" s="454">
        <f t="shared" si="5"/>
        <v>3479.77006394103</v>
      </c>
      <c r="Z23" s="273">
        <f t="shared" si="6"/>
        <v>32079.339246275209</v>
      </c>
      <c r="AA23" s="300">
        <f t="shared" si="7"/>
        <v>15160.920961267773</v>
      </c>
      <c r="AB23" s="455">
        <f t="shared" si="8"/>
        <v>15855.790986201959</v>
      </c>
      <c r="AC23" s="303">
        <f t="shared" si="9"/>
        <v>97.421466914224325</v>
      </c>
      <c r="AD23" s="303">
        <f t="shared" si="14"/>
        <v>62.261444413625064</v>
      </c>
      <c r="AE23" s="302">
        <f t="shared" si="10"/>
        <v>7.2342512293203685</v>
      </c>
      <c r="AF23" s="308">
        <v>7.89</v>
      </c>
      <c r="AG23" s="467">
        <f t="shared" si="11"/>
        <v>5409.5199999999895</v>
      </c>
      <c r="AH23" s="250"/>
      <c r="AI23" s="250"/>
      <c r="AJ23" s="250"/>
    </row>
    <row r="24" spans="1:36" s="124" customFormat="1" x14ac:dyDescent="0.25">
      <c r="A24" s="13">
        <v>16</v>
      </c>
      <c r="B24" s="573"/>
      <c r="C24" s="42" t="s">
        <v>38</v>
      </c>
      <c r="D24" s="13">
        <v>1981</v>
      </c>
      <c r="E24" s="36">
        <v>5</v>
      </c>
      <c r="F24" s="36">
        <v>60</v>
      </c>
      <c r="G24" s="151">
        <v>184</v>
      </c>
      <c r="H24" s="121">
        <v>3273.8</v>
      </c>
      <c r="I24" s="121">
        <v>7337.97</v>
      </c>
      <c r="J24" s="121">
        <v>4409.1400000000003</v>
      </c>
      <c r="K24" s="300">
        <v>100771.08</v>
      </c>
      <c r="L24" s="301">
        <v>92086.96</v>
      </c>
      <c r="M24" s="1037">
        <f t="shared" si="1"/>
        <v>108109.05</v>
      </c>
      <c r="N24" s="1037">
        <f t="shared" si="2"/>
        <v>96496.1</v>
      </c>
      <c r="O24" s="303">
        <f t="shared" si="0"/>
        <v>93997.907561329994</v>
      </c>
      <c r="P24" s="273">
        <v>2855.35</v>
      </c>
      <c r="Q24" s="305">
        <f t="shared" si="3"/>
        <v>49.676780815786216</v>
      </c>
      <c r="R24" s="305">
        <v>1041.18</v>
      </c>
      <c r="S24" s="305">
        <f t="shared" si="4"/>
        <v>1668.8844239497919</v>
      </c>
      <c r="T24" s="460"/>
      <c r="U24" s="305"/>
      <c r="V24" s="305"/>
      <c r="W24" s="307">
        <f t="shared" si="12"/>
        <v>31513.985193235854</v>
      </c>
      <c r="X24" s="305">
        <f t="shared" si="13"/>
        <v>6365.8250090336433</v>
      </c>
      <c r="Y24" s="454">
        <f t="shared" si="5"/>
        <v>3520.0912261935373</v>
      </c>
      <c r="Z24" s="273">
        <f t="shared" si="6"/>
        <v>31646.319728954699</v>
      </c>
      <c r="AA24" s="300">
        <f t="shared" si="7"/>
        <v>15336.59519914669</v>
      </c>
      <c r="AB24" s="455">
        <f t="shared" si="8"/>
        <v>14111.142438670009</v>
      </c>
      <c r="AC24" s="303">
        <f t="shared" si="9"/>
        <v>91.38232913649432</v>
      </c>
      <c r="AD24" s="303">
        <f t="shared" si="14"/>
        <v>60.086645216592608</v>
      </c>
      <c r="AE24" s="302">
        <f t="shared" si="10"/>
        <v>7.1780429135354931</v>
      </c>
      <c r="AF24" s="308">
        <v>7.78</v>
      </c>
      <c r="AG24" s="467">
        <f t="shared" si="11"/>
        <v>11612.949999999997</v>
      </c>
      <c r="AH24" s="250"/>
      <c r="AI24" s="250"/>
      <c r="AJ24" s="250"/>
    </row>
    <row r="25" spans="1:36" s="124" customFormat="1" x14ac:dyDescent="0.25">
      <c r="A25" s="13">
        <v>17</v>
      </c>
      <c r="B25" s="573"/>
      <c r="C25" s="42" t="s">
        <v>39</v>
      </c>
      <c r="D25" s="13">
        <v>1987</v>
      </c>
      <c r="E25" s="36">
        <v>3</v>
      </c>
      <c r="F25" s="36">
        <v>27</v>
      </c>
      <c r="G25" s="225">
        <v>72</v>
      </c>
      <c r="H25" s="121">
        <v>1466.1</v>
      </c>
      <c r="I25" s="121">
        <v>4121.22</v>
      </c>
      <c r="J25" s="121">
        <v>2526.42</v>
      </c>
      <c r="K25" s="300">
        <v>48068.4</v>
      </c>
      <c r="L25" s="301">
        <v>47218.5</v>
      </c>
      <c r="M25" s="1037">
        <f t="shared" si="1"/>
        <v>52189.62</v>
      </c>
      <c r="N25" s="1037">
        <f t="shared" si="2"/>
        <v>49744.92</v>
      </c>
      <c r="O25" s="303">
        <f t="shared" si="0"/>
        <v>45771.63533873995</v>
      </c>
      <c r="P25" s="273">
        <v>465.7</v>
      </c>
      <c r="Q25" s="305">
        <f t="shared" si="3"/>
        <v>22.246663923887887</v>
      </c>
      <c r="R25" s="305">
        <v>4032.63</v>
      </c>
      <c r="S25" s="305">
        <f t="shared" si="4"/>
        <v>747.37352738493178</v>
      </c>
      <c r="T25" s="460"/>
      <c r="U25" s="305"/>
      <c r="V25" s="305"/>
      <c r="W25" s="307">
        <f t="shared" si="12"/>
        <v>14112.851637791886</v>
      </c>
      <c r="X25" s="305">
        <f t="shared" si="13"/>
        <v>2850.7960308339611</v>
      </c>
      <c r="Y25" s="454">
        <f t="shared" si="5"/>
        <v>1576.3961594240161</v>
      </c>
      <c r="Z25" s="273">
        <f t="shared" si="6"/>
        <v>15095.481315267099</v>
      </c>
      <c r="AA25" s="300">
        <f t="shared" si="7"/>
        <v>6868.1600041141674</v>
      </c>
      <c r="AB25" s="455">
        <f t="shared" si="8"/>
        <v>6417.9846612600522</v>
      </c>
      <c r="AC25" s="303">
        <f t="shared" si="9"/>
        <v>98.231894550265864</v>
      </c>
      <c r="AD25" s="303">
        <f t="shared" si="14"/>
        <v>61.302721038915664</v>
      </c>
      <c r="AE25" s="302">
        <f t="shared" si="10"/>
        <v>7.8049988641190833</v>
      </c>
      <c r="AF25" s="308">
        <v>8.1999999999999993</v>
      </c>
      <c r="AG25" s="467">
        <f t="shared" si="11"/>
        <v>2444.7000000000044</v>
      </c>
      <c r="AH25" s="250"/>
      <c r="AI25" s="250"/>
      <c r="AJ25" s="250"/>
    </row>
    <row r="26" spans="1:36" s="124" customFormat="1" x14ac:dyDescent="0.25">
      <c r="A26" s="13">
        <v>18</v>
      </c>
      <c r="B26" s="573"/>
      <c r="C26" s="42" t="s">
        <v>40</v>
      </c>
      <c r="D26" s="13">
        <v>1989</v>
      </c>
      <c r="E26" s="36">
        <v>3</v>
      </c>
      <c r="F26" s="36">
        <v>27</v>
      </c>
      <c r="G26" s="151">
        <v>78</v>
      </c>
      <c r="H26" s="121">
        <v>1468.1</v>
      </c>
      <c r="I26" s="121">
        <v>4121.1899999999996</v>
      </c>
      <c r="J26" s="121">
        <v>2748.78</v>
      </c>
      <c r="K26" s="300">
        <v>47763.92</v>
      </c>
      <c r="L26" s="301">
        <v>52954.02</v>
      </c>
      <c r="M26" s="1037">
        <f t="shared" si="1"/>
        <v>51885.11</v>
      </c>
      <c r="N26" s="1037">
        <f t="shared" si="2"/>
        <v>55702.799999999996</v>
      </c>
      <c r="O26" s="303">
        <f t="shared" si="0"/>
        <v>42690.666756717881</v>
      </c>
      <c r="P26" s="273">
        <v>433.5</v>
      </c>
      <c r="Q26" s="305">
        <f t="shared" si="3"/>
        <v>22.277012009180687</v>
      </c>
      <c r="R26" s="305">
        <v>1043.77</v>
      </c>
      <c r="S26" s="305">
        <f t="shared" si="4"/>
        <v>748.39306701713269</v>
      </c>
      <c r="T26" s="460"/>
      <c r="U26" s="305"/>
      <c r="V26" s="305"/>
      <c r="W26" s="307">
        <f t="shared" si="12"/>
        <v>14132.103873843715</v>
      </c>
      <c r="X26" s="305">
        <f t="shared" si="13"/>
        <v>2854.6849825164304</v>
      </c>
      <c r="Y26" s="454">
        <f t="shared" si="5"/>
        <v>1578.5466214108167</v>
      </c>
      <c r="Z26" s="273">
        <f t="shared" si="6"/>
        <v>14999.861903119565</v>
      </c>
      <c r="AA26" s="300">
        <f t="shared" si="7"/>
        <v>6877.5292968010426</v>
      </c>
      <c r="AB26" s="455">
        <f t="shared" si="8"/>
        <v>9194.4432432821195</v>
      </c>
      <c r="AC26" s="303">
        <f t="shared" si="9"/>
        <v>110.86615168939234</v>
      </c>
      <c r="AD26" s="303">
        <f t="shared" si="14"/>
        <v>66.698696250354885</v>
      </c>
      <c r="AE26" s="302">
        <f t="shared" si="10"/>
        <v>7.2697137042295967</v>
      </c>
      <c r="AF26" s="308">
        <v>8.1300000000000008</v>
      </c>
      <c r="AG26" s="467">
        <f t="shared" si="11"/>
        <v>-3817.6899999999951</v>
      </c>
      <c r="AH26" s="250"/>
      <c r="AI26" s="250"/>
      <c r="AJ26" s="250"/>
    </row>
    <row r="27" spans="1:36" s="124" customFormat="1" x14ac:dyDescent="0.25">
      <c r="A27" s="13">
        <v>19</v>
      </c>
      <c r="B27" s="573"/>
      <c r="C27" s="42" t="s">
        <v>240</v>
      </c>
      <c r="D27" s="13">
        <v>1961</v>
      </c>
      <c r="E27" s="36">
        <v>1</v>
      </c>
      <c r="F27" s="36">
        <v>5</v>
      </c>
      <c r="G27" s="36">
        <v>11</v>
      </c>
      <c r="H27" s="462">
        <v>180.6</v>
      </c>
      <c r="I27" s="462"/>
      <c r="J27" s="462"/>
      <c r="K27" s="300">
        <v>3308.6</v>
      </c>
      <c r="L27" s="301">
        <v>2514.88</v>
      </c>
      <c r="M27" s="1037">
        <f t="shared" si="1"/>
        <v>3308.6</v>
      </c>
      <c r="N27" s="1037">
        <f t="shared" si="2"/>
        <v>2514.88</v>
      </c>
      <c r="O27" s="303">
        <f t="shared" si="0"/>
        <v>2174.0770258132352</v>
      </c>
      <c r="P27" s="273"/>
      <c r="Q27" s="305">
        <f t="shared" si="3"/>
        <v>2.7404321019399442</v>
      </c>
      <c r="R27" s="305"/>
      <c r="S27" s="305">
        <f t="shared" si="4"/>
        <v>92.064428787748909</v>
      </c>
      <c r="T27" s="460"/>
      <c r="U27" s="305"/>
      <c r="V27" s="305"/>
      <c r="W27" s="307"/>
      <c r="X27" s="305"/>
      <c r="Y27" s="454">
        <f t="shared" si="5"/>
        <v>194.18671740807403</v>
      </c>
      <c r="Z27" s="273">
        <f t="shared" si="6"/>
        <v>1039.0383178906043</v>
      </c>
      <c r="AA27" s="300">
        <f t="shared" si="7"/>
        <v>846.04712962486769</v>
      </c>
      <c r="AB27" s="455">
        <f t="shared" si="8"/>
        <v>1134.5229741867647</v>
      </c>
      <c r="AC27" s="303">
        <f t="shared" si="9"/>
        <v>76.010397146829476</v>
      </c>
      <c r="AD27" s="303">
        <v>0</v>
      </c>
      <c r="AE27" s="302">
        <f t="shared" si="10"/>
        <v>3.0095196924324963</v>
      </c>
      <c r="AF27" s="308">
        <v>4.58</v>
      </c>
      <c r="AG27" s="467">
        <f t="shared" si="11"/>
        <v>793.7199999999998</v>
      </c>
      <c r="AH27" s="250"/>
      <c r="AI27" s="250"/>
      <c r="AJ27" s="250"/>
    </row>
    <row r="28" spans="1:36" s="124" customFormat="1" x14ac:dyDescent="0.25">
      <c r="A28" s="13">
        <v>21</v>
      </c>
      <c r="B28" s="573"/>
      <c r="C28" s="42" t="s">
        <v>41</v>
      </c>
      <c r="D28" s="13">
        <v>1958</v>
      </c>
      <c r="E28" s="36">
        <v>1</v>
      </c>
      <c r="F28" s="36">
        <v>2</v>
      </c>
      <c r="G28" s="36">
        <v>1</v>
      </c>
      <c r="H28" s="462">
        <v>82.9</v>
      </c>
      <c r="I28" s="462">
        <v>0</v>
      </c>
      <c r="J28" s="462">
        <v>0</v>
      </c>
      <c r="K28" s="300">
        <v>872.04</v>
      </c>
      <c r="L28" s="301">
        <v>0</v>
      </c>
      <c r="M28" s="1037">
        <f t="shared" si="1"/>
        <v>872.04</v>
      </c>
      <c r="N28" s="1037">
        <f t="shared" si="2"/>
        <v>0</v>
      </c>
      <c r="O28" s="303">
        <f t="shared" si="0"/>
        <v>794.86858781135845</v>
      </c>
      <c r="P28" s="273"/>
      <c r="Q28" s="305">
        <f t="shared" si="3"/>
        <v>1.2579281353866079</v>
      </c>
      <c r="R28" s="305"/>
      <c r="S28" s="305">
        <f t="shared" si="4"/>
        <v>42.259917754730814</v>
      </c>
      <c r="T28" s="460"/>
      <c r="U28" s="305"/>
      <c r="V28" s="305"/>
      <c r="W28" s="307"/>
      <c r="X28" s="305"/>
      <c r="Y28" s="454">
        <f t="shared" si="5"/>
        <v>89.136649352875637</v>
      </c>
      <c r="Z28" s="273">
        <f t="shared" si="6"/>
        <v>273.85691069737123</v>
      </c>
      <c r="AA28" s="300">
        <f t="shared" si="7"/>
        <v>388.35718187099417</v>
      </c>
      <c r="AB28" s="455">
        <f t="shared" si="8"/>
        <v>77.171412188641511</v>
      </c>
      <c r="AC28" s="303">
        <f t="shared" si="9"/>
        <v>0</v>
      </c>
      <c r="AD28" s="303">
        <v>0</v>
      </c>
      <c r="AE28" s="302">
        <f t="shared" si="10"/>
        <v>2.3970705301910686</v>
      </c>
      <c r="AF28" s="308">
        <v>4.58</v>
      </c>
      <c r="AG28" s="467">
        <f t="shared" si="11"/>
        <v>872.04</v>
      </c>
      <c r="AH28" s="250"/>
      <c r="AI28" s="250"/>
      <c r="AJ28" s="250"/>
    </row>
    <row r="29" spans="1:36" s="124" customFormat="1" x14ac:dyDescent="0.25">
      <c r="A29" s="13">
        <v>22</v>
      </c>
      <c r="B29" s="574">
        <v>42461</v>
      </c>
      <c r="C29" s="42" t="s">
        <v>42</v>
      </c>
      <c r="D29" s="13">
        <v>1962</v>
      </c>
      <c r="E29" s="36">
        <v>1</v>
      </c>
      <c r="F29" s="36">
        <v>2</v>
      </c>
      <c r="G29" s="36">
        <v>8</v>
      </c>
      <c r="H29" s="462">
        <v>79.400000000000006</v>
      </c>
      <c r="I29" s="462"/>
      <c r="J29" s="462"/>
      <c r="K29" s="300">
        <v>1454.64</v>
      </c>
      <c r="L29" s="301">
        <v>1636.67</v>
      </c>
      <c r="M29" s="1037">
        <f t="shared" si="1"/>
        <v>1454.64</v>
      </c>
      <c r="N29" s="1037">
        <f t="shared" si="2"/>
        <v>1636.67</v>
      </c>
      <c r="O29" s="303">
        <f t="shared" si="0"/>
        <v>955.83239911404644</v>
      </c>
      <c r="P29" s="273"/>
      <c r="Q29" s="305">
        <f t="shared" si="3"/>
        <v>1.204818986124206</v>
      </c>
      <c r="R29" s="305"/>
      <c r="S29" s="305">
        <f t="shared" si="4"/>
        <v>40.475723398379095</v>
      </c>
      <c r="T29" s="460"/>
      <c r="U29" s="305"/>
      <c r="V29" s="305"/>
      <c r="W29" s="307"/>
      <c r="X29" s="305"/>
      <c r="Y29" s="454">
        <f t="shared" si="5"/>
        <v>85.373340875974975</v>
      </c>
      <c r="Z29" s="273">
        <f t="shared" si="6"/>
        <v>456.81759618460643</v>
      </c>
      <c r="AA29" s="300">
        <f t="shared" si="7"/>
        <v>371.96091966896182</v>
      </c>
      <c r="AB29" s="455">
        <f t="shared" si="8"/>
        <v>498.80760088595366</v>
      </c>
      <c r="AC29" s="303">
        <f t="shared" si="9"/>
        <v>112.5137491063081</v>
      </c>
      <c r="AD29" s="303">
        <v>0</v>
      </c>
      <c r="AE29" s="302">
        <f t="shared" si="10"/>
        <v>3.0095478561525391</v>
      </c>
      <c r="AF29" s="308">
        <v>4.58</v>
      </c>
      <c r="AG29" s="467">
        <f t="shared" si="11"/>
        <v>-182.02999999999997</v>
      </c>
      <c r="AH29" s="250"/>
      <c r="AI29" s="250"/>
      <c r="AJ29" s="250"/>
    </row>
    <row r="30" spans="1:36" s="124" customFormat="1" x14ac:dyDescent="0.25">
      <c r="A30" s="13">
        <v>23</v>
      </c>
      <c r="B30" s="574">
        <v>42461</v>
      </c>
      <c r="C30" s="42" t="s">
        <v>43</v>
      </c>
      <c r="D30" s="13">
        <v>1955</v>
      </c>
      <c r="E30" s="36">
        <v>1</v>
      </c>
      <c r="F30" s="36">
        <v>4</v>
      </c>
      <c r="G30" s="36">
        <v>6</v>
      </c>
      <c r="H30" s="462">
        <v>121.87</v>
      </c>
      <c r="I30" s="462"/>
      <c r="J30" s="462"/>
      <c r="K30" s="300">
        <v>2232.6799999999998</v>
      </c>
      <c r="L30" s="301">
        <v>2370.08</v>
      </c>
      <c r="M30" s="1037">
        <f t="shared" si="1"/>
        <v>2232.6799999999998</v>
      </c>
      <c r="N30" s="1037">
        <f t="shared" si="2"/>
        <v>2370.08</v>
      </c>
      <c r="O30" s="303">
        <f t="shared" si="0"/>
        <v>1467.085747629171</v>
      </c>
      <c r="P30" s="273"/>
      <c r="Q30" s="305">
        <f t="shared" si="3"/>
        <v>1.8492605773168385</v>
      </c>
      <c r="R30" s="305"/>
      <c r="S30" s="305">
        <f t="shared" si="4"/>
        <v>62.125647488167004</v>
      </c>
      <c r="T30" s="460"/>
      <c r="U30" s="305"/>
      <c r="V30" s="305"/>
      <c r="W30" s="307"/>
      <c r="X30" s="305"/>
      <c r="Y30" s="454">
        <f t="shared" si="5"/>
        <v>131.03840116568097</v>
      </c>
      <c r="Z30" s="273">
        <f t="shared" si="6"/>
        <v>701.1545885232407</v>
      </c>
      <c r="AA30" s="300">
        <f t="shared" si="7"/>
        <v>570.91784987476547</v>
      </c>
      <c r="AB30" s="455">
        <f t="shared" si="8"/>
        <v>765.59425237082883</v>
      </c>
      <c r="AC30" s="303">
        <f t="shared" si="9"/>
        <v>106.15403909203289</v>
      </c>
      <c r="AD30" s="303">
        <v>0</v>
      </c>
      <c r="AE30" s="302">
        <f t="shared" si="10"/>
        <v>3.0095301297061847</v>
      </c>
      <c r="AF30" s="308">
        <v>4.58</v>
      </c>
      <c r="AG30" s="467">
        <f t="shared" si="11"/>
        <v>-137.40000000000009</v>
      </c>
      <c r="AH30" s="250"/>
      <c r="AI30" s="250"/>
      <c r="AJ30" s="250"/>
    </row>
    <row r="31" spans="1:36" s="124" customFormat="1" x14ac:dyDescent="0.25">
      <c r="A31" s="13">
        <v>24</v>
      </c>
      <c r="B31" s="573"/>
      <c r="C31" s="42" t="s">
        <v>44</v>
      </c>
      <c r="D31" s="13">
        <v>1976</v>
      </c>
      <c r="E31" s="36">
        <v>2</v>
      </c>
      <c r="F31" s="36">
        <v>4</v>
      </c>
      <c r="G31" s="36">
        <v>22</v>
      </c>
      <c r="H31" s="121">
        <v>266.82</v>
      </c>
      <c r="I31" s="121"/>
      <c r="J31" s="121"/>
      <c r="K31" s="300">
        <v>7406.96</v>
      </c>
      <c r="L31" s="301">
        <v>7256.33</v>
      </c>
      <c r="M31" s="1037">
        <f t="shared" si="1"/>
        <v>7406.96</v>
      </c>
      <c r="N31" s="1037">
        <f t="shared" si="2"/>
        <v>7256.33</v>
      </c>
      <c r="O31" s="303">
        <f t="shared" si="0"/>
        <v>7090.2760437025636</v>
      </c>
      <c r="P31" s="273"/>
      <c r="Q31" s="305">
        <f t="shared" si="3"/>
        <v>4.0487380589126021</v>
      </c>
      <c r="R31" s="305"/>
      <c r="S31" s="305">
        <f t="shared" si="4"/>
        <v>136.01678233193337</v>
      </c>
      <c r="T31" s="460"/>
      <c r="U31" s="305"/>
      <c r="V31" s="305"/>
      <c r="W31" s="307">
        <f t="shared" ref="W31:W32" si="15">241529.89/25091.1*H31</f>
        <v>2568.4408116742593</v>
      </c>
      <c r="X31" s="305">
        <f t="shared" ref="X31:X32" si="16">W31*0.202</f>
        <v>518.82504395820035</v>
      </c>
      <c r="Y31" s="454">
        <f t="shared" si="5"/>
        <v>286.89313365903826</v>
      </c>
      <c r="Z31" s="273">
        <f t="shared" si="6"/>
        <v>2326.0941966641453</v>
      </c>
      <c r="AA31" s="300">
        <f t="shared" si="7"/>
        <v>1249.9573373560754</v>
      </c>
      <c r="AB31" s="455">
        <f t="shared" si="8"/>
        <v>316.68395629743645</v>
      </c>
      <c r="AC31" s="303">
        <f t="shared" si="9"/>
        <v>97.966372168879005</v>
      </c>
      <c r="AD31" s="303">
        <v>0</v>
      </c>
      <c r="AE31" s="302">
        <f t="shared" si="10"/>
        <v>6.6433138854869984</v>
      </c>
      <c r="AF31" s="308">
        <v>6.94</v>
      </c>
      <c r="AG31" s="467">
        <f t="shared" si="11"/>
        <v>150.63000000000011</v>
      </c>
      <c r="AH31" s="250"/>
      <c r="AI31" s="250"/>
      <c r="AJ31" s="250"/>
    </row>
    <row r="32" spans="1:36" s="124" customFormat="1" x14ac:dyDescent="0.25">
      <c r="A32" s="13">
        <v>25</v>
      </c>
      <c r="B32" s="573"/>
      <c r="C32" s="42" t="s">
        <v>45</v>
      </c>
      <c r="D32" s="13">
        <v>1976</v>
      </c>
      <c r="E32" s="36">
        <v>2</v>
      </c>
      <c r="F32" s="36">
        <v>4</v>
      </c>
      <c r="G32" s="36">
        <v>12</v>
      </c>
      <c r="H32" s="121">
        <v>266.56</v>
      </c>
      <c r="I32" s="121"/>
      <c r="J32" s="121"/>
      <c r="K32" s="300">
        <v>7399.68</v>
      </c>
      <c r="L32" s="301">
        <v>6408.23</v>
      </c>
      <c r="M32" s="1037">
        <f t="shared" si="1"/>
        <v>7399.68</v>
      </c>
      <c r="N32" s="1037">
        <f t="shared" si="2"/>
        <v>6408.23</v>
      </c>
      <c r="O32" s="303">
        <f t="shared" si="0"/>
        <v>7083.3474123218748</v>
      </c>
      <c r="P32" s="273"/>
      <c r="Q32" s="305">
        <f t="shared" si="3"/>
        <v>4.0447928078245381</v>
      </c>
      <c r="R32" s="305"/>
      <c r="S32" s="305">
        <f t="shared" si="4"/>
        <v>135.88424217974725</v>
      </c>
      <c r="T32" s="460"/>
      <c r="U32" s="305"/>
      <c r="V32" s="305"/>
      <c r="W32" s="307">
        <f t="shared" si="15"/>
        <v>2565.9380209875217</v>
      </c>
      <c r="X32" s="305">
        <f t="shared" si="16"/>
        <v>518.31948023947939</v>
      </c>
      <c r="Y32" s="454">
        <f t="shared" si="5"/>
        <v>286.61357360075425</v>
      </c>
      <c r="Z32" s="273">
        <f t="shared" si="6"/>
        <v>2323.8079731997664</v>
      </c>
      <c r="AA32" s="300">
        <f t="shared" si="7"/>
        <v>1248.7393293067817</v>
      </c>
      <c r="AB32" s="455">
        <f t="shared" si="8"/>
        <v>316.33258767812549</v>
      </c>
      <c r="AC32" s="303">
        <f t="shared" si="9"/>
        <v>86.601447630167783</v>
      </c>
      <c r="AD32" s="303">
        <v>0</v>
      </c>
      <c r="AE32" s="302">
        <f t="shared" si="10"/>
        <v>6.643295517258661</v>
      </c>
      <c r="AF32" s="308">
        <v>6.94</v>
      </c>
      <c r="AG32" s="467">
        <f t="shared" si="11"/>
        <v>991.45000000000073</v>
      </c>
      <c r="AH32" s="250"/>
      <c r="AI32" s="250"/>
      <c r="AJ32" s="250"/>
    </row>
    <row r="33" spans="1:36" s="124" customFormat="1" x14ac:dyDescent="0.25">
      <c r="A33" s="13">
        <v>26</v>
      </c>
      <c r="B33" s="573"/>
      <c r="C33" s="42" t="s">
        <v>46</v>
      </c>
      <c r="D33" s="13">
        <v>1958</v>
      </c>
      <c r="E33" s="36">
        <v>1</v>
      </c>
      <c r="F33" s="36">
        <v>2</v>
      </c>
      <c r="G33" s="36">
        <v>2</v>
      </c>
      <c r="H33" s="462">
        <v>68.42</v>
      </c>
      <c r="I33" s="462"/>
      <c r="J33" s="462"/>
      <c r="K33" s="300">
        <v>1253.44</v>
      </c>
      <c r="L33" s="301">
        <v>1253.44</v>
      </c>
      <c r="M33" s="1037">
        <f t="shared" si="1"/>
        <v>1253.44</v>
      </c>
      <c r="N33" s="1037">
        <f t="shared" si="2"/>
        <v>1253.44</v>
      </c>
      <c r="O33" s="303">
        <f t="shared" si="0"/>
        <v>823.63987543144083</v>
      </c>
      <c r="P33" s="273"/>
      <c r="Q33" s="305">
        <f t="shared" si="3"/>
        <v>1.0382079978667276</v>
      </c>
      <c r="R33" s="305"/>
      <c r="S33" s="305">
        <f t="shared" si="4"/>
        <v>34.878450817595684</v>
      </c>
      <c r="T33" s="460"/>
      <c r="U33" s="305"/>
      <c r="V33" s="305"/>
      <c r="W33" s="307"/>
      <c r="X33" s="305"/>
      <c r="Y33" s="454">
        <f t="shared" si="5"/>
        <v>73.567304568440903</v>
      </c>
      <c r="Z33" s="273">
        <f t="shared" si="6"/>
        <v>393.63240922952281</v>
      </c>
      <c r="AA33" s="300">
        <f t="shared" si="7"/>
        <v>320.52350281801472</v>
      </c>
      <c r="AB33" s="455">
        <f t="shared" si="8"/>
        <v>429.80012456855923</v>
      </c>
      <c r="AC33" s="303">
        <f t="shared" si="9"/>
        <v>100</v>
      </c>
      <c r="AD33" s="303">
        <v>0</v>
      </c>
      <c r="AE33" s="302">
        <f t="shared" si="10"/>
        <v>3.0094996909947413</v>
      </c>
      <c r="AF33" s="308">
        <v>4.58</v>
      </c>
      <c r="AG33" s="467">
        <f t="shared" si="11"/>
        <v>0</v>
      </c>
      <c r="AH33" s="250"/>
      <c r="AI33" s="250"/>
      <c r="AJ33" s="250"/>
    </row>
    <row r="34" spans="1:36" s="124" customFormat="1" x14ac:dyDescent="0.25">
      <c r="A34" s="13">
        <v>27</v>
      </c>
      <c r="B34" s="573"/>
      <c r="C34" s="42" t="s">
        <v>47</v>
      </c>
      <c r="D34" s="13">
        <v>1970</v>
      </c>
      <c r="E34" s="36">
        <v>2</v>
      </c>
      <c r="F34" s="36">
        <v>9</v>
      </c>
      <c r="G34" s="36">
        <v>2</v>
      </c>
      <c r="H34" s="121">
        <v>393.8</v>
      </c>
      <c r="I34" s="121">
        <v>652.79999999999995</v>
      </c>
      <c r="J34" s="121">
        <v>299.14</v>
      </c>
      <c r="K34" s="300">
        <v>5858.6</v>
      </c>
      <c r="L34" s="301">
        <v>4820.45</v>
      </c>
      <c r="M34" s="1037">
        <f t="shared" si="1"/>
        <v>6511.4000000000005</v>
      </c>
      <c r="N34" s="1037">
        <f t="shared" si="2"/>
        <v>5119.59</v>
      </c>
      <c r="O34" s="303">
        <f t="shared" si="0"/>
        <v>9990.1870654967643</v>
      </c>
      <c r="P34" s="273"/>
      <c r="Q34" s="305">
        <f t="shared" si="3"/>
        <v>5.9755379941525479</v>
      </c>
      <c r="R34" s="305">
        <v>1118.8800000000001</v>
      </c>
      <c r="S34" s="305">
        <f t="shared" si="4"/>
        <v>200.7473535803739</v>
      </c>
      <c r="T34" s="460"/>
      <c r="U34" s="305"/>
      <c r="V34" s="305"/>
      <c r="W34" s="307">
        <f t="shared" ref="W34:W35" si="17">241529.89/25091.1*H34</f>
        <v>3790.7652786047647</v>
      </c>
      <c r="X34" s="305">
        <f t="shared" ref="X34:X35" si="18">W34*0.202</f>
        <v>765.73458627816251</v>
      </c>
      <c r="Y34" s="454">
        <f t="shared" si="5"/>
        <v>423.42596520099426</v>
      </c>
      <c r="Z34" s="273">
        <f t="shared" si="6"/>
        <v>1839.8446137925089</v>
      </c>
      <c r="AA34" s="300">
        <f t="shared" si="7"/>
        <v>1844.8137300458081</v>
      </c>
      <c r="AB34" s="455">
        <f t="shared" si="8"/>
        <v>-3478.7870654967637</v>
      </c>
      <c r="AC34" s="303">
        <f t="shared" si="9"/>
        <v>82.279896220940145</v>
      </c>
      <c r="AD34" s="303">
        <f>J34/I34*100</f>
        <v>45.824142156862749</v>
      </c>
      <c r="AE34" s="302">
        <f t="shared" si="10"/>
        <v>6.3421705596094231</v>
      </c>
      <c r="AF34" s="308">
        <v>4.76</v>
      </c>
      <c r="AG34" s="467">
        <f t="shared" si="11"/>
        <v>1391.8100000000004</v>
      </c>
      <c r="AH34" s="250"/>
      <c r="AI34" s="250"/>
      <c r="AJ34" s="250"/>
    </row>
    <row r="35" spans="1:36" s="124" customFormat="1" x14ac:dyDescent="0.25">
      <c r="A35" s="13">
        <v>28</v>
      </c>
      <c r="B35" s="573"/>
      <c r="C35" s="42" t="s">
        <v>48</v>
      </c>
      <c r="D35" s="13">
        <v>1970</v>
      </c>
      <c r="E35" s="36">
        <v>2</v>
      </c>
      <c r="F35" s="36">
        <v>12</v>
      </c>
      <c r="G35" s="36">
        <v>25</v>
      </c>
      <c r="H35" s="121">
        <v>462.1</v>
      </c>
      <c r="I35" s="121">
        <v>928.71</v>
      </c>
      <c r="J35" s="121">
        <v>271.97000000000003</v>
      </c>
      <c r="K35" s="300">
        <v>8798.36</v>
      </c>
      <c r="L35" s="301">
        <v>5892.7</v>
      </c>
      <c r="M35" s="1037">
        <f t="shared" si="1"/>
        <v>9727.07</v>
      </c>
      <c r="N35" s="1037">
        <f t="shared" si="2"/>
        <v>6164.67</v>
      </c>
      <c r="O35" s="303">
        <f t="shared" si="0"/>
        <v>12257.239097199306</v>
      </c>
      <c r="P35" s="273"/>
      <c r="Q35" s="305">
        <f t="shared" si="3"/>
        <v>7.0119251069017077</v>
      </c>
      <c r="R35" s="305">
        <v>1243.2</v>
      </c>
      <c r="S35" s="305">
        <f t="shared" si="4"/>
        <v>235.56463202003752</v>
      </c>
      <c r="T35" s="460"/>
      <c r="U35" s="305"/>
      <c r="V35" s="305"/>
      <c r="W35" s="307">
        <f t="shared" si="17"/>
        <v>4448.2291397746621</v>
      </c>
      <c r="X35" s="305">
        <f t="shared" si="18"/>
        <v>898.54228623448182</v>
      </c>
      <c r="Y35" s="454">
        <f t="shared" si="5"/>
        <v>496.86424205022712</v>
      </c>
      <c r="Z35" s="273">
        <f t="shared" si="6"/>
        <v>2763.0517967103842</v>
      </c>
      <c r="AA35" s="300">
        <f t="shared" si="7"/>
        <v>2164.7750753026103</v>
      </c>
      <c r="AB35" s="455">
        <f t="shared" si="8"/>
        <v>-2530.1690971993066</v>
      </c>
      <c r="AC35" s="303">
        <f t="shared" si="9"/>
        <v>66.974981701135206</v>
      </c>
      <c r="AD35" s="303">
        <f>J35/I35*100</f>
        <v>29.284706743762857</v>
      </c>
      <c r="AE35" s="302">
        <f t="shared" si="10"/>
        <v>6.6312697993936949</v>
      </c>
      <c r="AF35" s="308">
        <v>4.76</v>
      </c>
      <c r="AG35" s="467">
        <f t="shared" si="11"/>
        <v>3562.3999999999996</v>
      </c>
      <c r="AH35" s="250"/>
      <c r="AI35" s="250"/>
      <c r="AJ35" s="250"/>
    </row>
    <row r="36" spans="1:36" s="124" customFormat="1" x14ac:dyDescent="0.25">
      <c r="A36" s="13">
        <v>29</v>
      </c>
      <c r="B36" s="573"/>
      <c r="C36" s="42" t="s">
        <v>49</v>
      </c>
      <c r="D36" s="13">
        <v>1951</v>
      </c>
      <c r="E36" s="36">
        <v>1</v>
      </c>
      <c r="F36" s="36">
        <v>2</v>
      </c>
      <c r="G36" s="36">
        <v>5</v>
      </c>
      <c r="H36" s="462">
        <v>46.6</v>
      </c>
      <c r="I36" s="462"/>
      <c r="J36" s="462"/>
      <c r="K36" s="300">
        <v>853.68</v>
      </c>
      <c r="L36" s="301">
        <v>0</v>
      </c>
      <c r="M36" s="1037">
        <f t="shared" si="1"/>
        <v>853.68</v>
      </c>
      <c r="N36" s="1037">
        <f t="shared" si="2"/>
        <v>0</v>
      </c>
      <c r="O36" s="303">
        <f t="shared" si="0"/>
        <v>560.96377308113324</v>
      </c>
      <c r="P36" s="273"/>
      <c r="Q36" s="305">
        <f t="shared" si="3"/>
        <v>0.70711038732226694</v>
      </c>
      <c r="R36" s="305"/>
      <c r="S36" s="305">
        <f t="shared" si="4"/>
        <v>23.755273430282944</v>
      </c>
      <c r="T36" s="460"/>
      <c r="U36" s="305"/>
      <c r="V36" s="305"/>
      <c r="W36" s="307"/>
      <c r="X36" s="305"/>
      <c r="Y36" s="454">
        <f t="shared" si="5"/>
        <v>50.105764292448782</v>
      </c>
      <c r="Z36" s="273">
        <f t="shared" si="6"/>
        <v>268.09110536687751</v>
      </c>
      <c r="AA36" s="300">
        <f t="shared" si="7"/>
        <v>218.30451960420177</v>
      </c>
      <c r="AB36" s="455">
        <f t="shared" si="8"/>
        <v>292.71622691886671</v>
      </c>
      <c r="AC36" s="303">
        <f t="shared" si="9"/>
        <v>0</v>
      </c>
      <c r="AD36" s="303">
        <v>0</v>
      </c>
      <c r="AE36" s="302">
        <f t="shared" si="10"/>
        <v>3.0094623019374098</v>
      </c>
      <c r="AF36" s="308">
        <v>4.58</v>
      </c>
      <c r="AG36" s="467">
        <f t="shared" si="11"/>
        <v>853.68</v>
      </c>
      <c r="AH36" s="250"/>
      <c r="AI36" s="250"/>
      <c r="AJ36" s="250"/>
    </row>
    <row r="37" spans="1:36" s="124" customFormat="1" x14ac:dyDescent="0.25">
      <c r="A37" s="13">
        <v>30</v>
      </c>
      <c r="B37" s="573"/>
      <c r="C37" s="42" t="s">
        <v>241</v>
      </c>
      <c r="D37" s="13">
        <v>1955</v>
      </c>
      <c r="E37" s="36">
        <v>1</v>
      </c>
      <c r="F37" s="36">
        <v>2</v>
      </c>
      <c r="G37" s="36">
        <v>3</v>
      </c>
      <c r="H37" s="462">
        <v>76</v>
      </c>
      <c r="I37" s="462"/>
      <c r="J37" s="462"/>
      <c r="K37" s="300">
        <v>1392.32</v>
      </c>
      <c r="L37" s="301">
        <v>0</v>
      </c>
      <c r="M37" s="1037">
        <f t="shared" si="1"/>
        <v>1392.32</v>
      </c>
      <c r="N37" s="1037">
        <f t="shared" si="2"/>
        <v>0</v>
      </c>
      <c r="O37" s="303">
        <f t="shared" si="0"/>
        <v>914.89292926058465</v>
      </c>
      <c r="P37" s="273"/>
      <c r="Q37" s="305">
        <f t="shared" si="3"/>
        <v>1.1532272411264439</v>
      </c>
      <c r="R37" s="305"/>
      <c r="S37" s="305">
        <f t="shared" si="4"/>
        <v>38.742506023637418</v>
      </c>
      <c r="T37" s="460"/>
      <c r="U37" s="305"/>
      <c r="V37" s="305"/>
      <c r="W37" s="307"/>
      <c r="X37" s="305"/>
      <c r="Y37" s="454">
        <f t="shared" si="5"/>
        <v>81.717555498414328</v>
      </c>
      <c r="Z37" s="273">
        <f t="shared" si="6"/>
        <v>437.24651839613313</v>
      </c>
      <c r="AA37" s="300">
        <f t="shared" si="7"/>
        <v>356.03312210127325</v>
      </c>
      <c r="AB37" s="455">
        <f t="shared" si="8"/>
        <v>477.42707073941529</v>
      </c>
      <c r="AC37" s="303">
        <f t="shared" si="9"/>
        <v>0</v>
      </c>
      <c r="AD37" s="303">
        <v>0</v>
      </c>
      <c r="AE37" s="302">
        <f t="shared" si="10"/>
        <v>3.0095162146729759</v>
      </c>
      <c r="AF37" s="308">
        <v>4.58</v>
      </c>
      <c r="AG37" s="467">
        <f t="shared" si="11"/>
        <v>1392.32</v>
      </c>
      <c r="AH37" s="250"/>
      <c r="AI37" s="250"/>
      <c r="AJ37" s="250"/>
    </row>
    <row r="38" spans="1:36" s="124" customFormat="1" x14ac:dyDescent="0.25">
      <c r="A38" s="13">
        <v>31</v>
      </c>
      <c r="B38" s="573"/>
      <c r="C38" s="42" t="s">
        <v>242</v>
      </c>
      <c r="D38" s="13">
        <v>1955</v>
      </c>
      <c r="E38" s="36">
        <v>1</v>
      </c>
      <c r="F38" s="36">
        <v>2</v>
      </c>
      <c r="G38" s="36">
        <v>2</v>
      </c>
      <c r="H38" s="462">
        <v>86.1</v>
      </c>
      <c r="I38" s="462"/>
      <c r="J38" s="462"/>
      <c r="K38" s="300">
        <v>1577.36</v>
      </c>
      <c r="L38" s="301">
        <v>1577.36</v>
      </c>
      <c r="M38" s="1037">
        <f t="shared" si="1"/>
        <v>1577.36</v>
      </c>
      <c r="N38" s="1037">
        <f t="shared" si="2"/>
        <v>1577.36</v>
      </c>
      <c r="O38" s="303">
        <f t="shared" si="0"/>
        <v>1036.47989666685</v>
      </c>
      <c r="P38" s="273"/>
      <c r="Q38" s="305">
        <f t="shared" si="3"/>
        <v>1.3064850718550896</v>
      </c>
      <c r="R38" s="305"/>
      <c r="S38" s="305">
        <f t="shared" si="4"/>
        <v>43.891181166252387</v>
      </c>
      <c r="T38" s="460"/>
      <c r="U38" s="305"/>
      <c r="V38" s="305"/>
      <c r="W38" s="307"/>
      <c r="X38" s="305"/>
      <c r="Y38" s="454">
        <f t="shared" si="5"/>
        <v>92.577388531756228</v>
      </c>
      <c r="Z38" s="273">
        <f t="shared" si="6"/>
        <v>495.35679172699133</v>
      </c>
      <c r="AA38" s="300">
        <f t="shared" si="7"/>
        <v>403.34805016999508</v>
      </c>
      <c r="AB38" s="455">
        <f t="shared" si="8"/>
        <v>540.88010333314992</v>
      </c>
      <c r="AC38" s="303">
        <f t="shared" si="9"/>
        <v>100</v>
      </c>
      <c r="AD38" s="303">
        <v>0</v>
      </c>
      <c r="AE38" s="302">
        <f t="shared" si="10"/>
        <v>3.0095235094856272</v>
      </c>
      <c r="AF38" s="308">
        <v>4.58</v>
      </c>
      <c r="AG38" s="467">
        <f t="shared" si="11"/>
        <v>0</v>
      </c>
      <c r="AH38" s="250"/>
      <c r="AI38" s="250"/>
      <c r="AJ38" s="250"/>
    </row>
    <row r="39" spans="1:36" s="124" customFormat="1" x14ac:dyDescent="0.25">
      <c r="A39" s="13">
        <v>32</v>
      </c>
      <c r="B39" s="573"/>
      <c r="C39" s="42" t="s">
        <v>50</v>
      </c>
      <c r="D39" s="13">
        <v>1970</v>
      </c>
      <c r="E39" s="36">
        <v>2</v>
      </c>
      <c r="F39" s="36">
        <v>12</v>
      </c>
      <c r="G39" s="36">
        <v>30</v>
      </c>
      <c r="H39" s="121">
        <v>462.9</v>
      </c>
      <c r="I39" s="121">
        <v>859.44</v>
      </c>
      <c r="J39" s="121">
        <v>566.86</v>
      </c>
      <c r="K39" s="300">
        <v>8206.24</v>
      </c>
      <c r="L39" s="301">
        <v>7739.95</v>
      </c>
      <c r="M39" s="1037">
        <f t="shared" si="1"/>
        <v>9065.68</v>
      </c>
      <c r="N39" s="1037">
        <f t="shared" si="2"/>
        <v>8306.81</v>
      </c>
      <c r="O39" s="303">
        <f t="shared" si="0"/>
        <v>12075.213066924221</v>
      </c>
      <c r="P39" s="273"/>
      <c r="Q39" s="305">
        <f t="shared" si="3"/>
        <v>7.0240643410188266</v>
      </c>
      <c r="R39" s="305">
        <v>1232.8399999999999</v>
      </c>
      <c r="S39" s="305">
        <f t="shared" si="4"/>
        <v>235.97244787291788</v>
      </c>
      <c r="T39" s="460"/>
      <c r="U39" s="305"/>
      <c r="V39" s="305"/>
      <c r="W39" s="307">
        <f t="shared" ref="W39:W40" si="19">241529.89/25091.1*H39</f>
        <v>4455.9300341953922</v>
      </c>
      <c r="X39" s="305">
        <f t="shared" ref="X39:X40" si="20">W39*0.202</f>
        <v>900.09786690746932</v>
      </c>
      <c r="Y39" s="454">
        <f t="shared" si="5"/>
        <v>497.72442684494723</v>
      </c>
      <c r="Z39" s="273">
        <f t="shared" si="6"/>
        <v>2577.1014343851152</v>
      </c>
      <c r="AA39" s="300">
        <f t="shared" si="7"/>
        <v>2168.5227923773605</v>
      </c>
      <c r="AB39" s="455">
        <f t="shared" si="8"/>
        <v>-3009.5330669242212</v>
      </c>
      <c r="AC39" s="303">
        <f t="shared" si="9"/>
        <v>94.317860554894821</v>
      </c>
      <c r="AD39" s="303">
        <f>J39/I39*100</f>
        <v>65.956902168854143</v>
      </c>
      <c r="AE39" s="302">
        <f t="shared" si="10"/>
        <v>6.5215019804084156</v>
      </c>
      <c r="AF39" s="308">
        <v>4.76</v>
      </c>
      <c r="AG39" s="467">
        <f t="shared" si="11"/>
        <v>758.8700000000008</v>
      </c>
      <c r="AH39" s="250"/>
      <c r="AI39" s="250"/>
      <c r="AJ39" s="250"/>
    </row>
    <row r="40" spans="1:36" s="124" customFormat="1" x14ac:dyDescent="0.25">
      <c r="A40" s="187">
        <v>33</v>
      </c>
      <c r="B40" s="576"/>
      <c r="C40" s="202" t="s">
        <v>51</v>
      </c>
      <c r="D40" s="187">
        <v>1971</v>
      </c>
      <c r="E40" s="187">
        <v>2</v>
      </c>
      <c r="F40" s="187">
        <v>11</v>
      </c>
      <c r="G40" s="187">
        <v>34</v>
      </c>
      <c r="H40" s="233">
        <v>464.6</v>
      </c>
      <c r="I40" s="233">
        <v>862.08</v>
      </c>
      <c r="J40" s="233">
        <v>431.44</v>
      </c>
      <c r="K40" s="237">
        <v>8261.52</v>
      </c>
      <c r="L40" s="238">
        <v>6598.14</v>
      </c>
      <c r="M40" s="1037">
        <f t="shared" si="1"/>
        <v>9123.6</v>
      </c>
      <c r="N40" s="1037">
        <f t="shared" si="2"/>
        <v>7029.58</v>
      </c>
      <c r="O40" s="303">
        <f t="shared" si="0"/>
        <v>12122.927496859282</v>
      </c>
      <c r="P40" s="309"/>
      <c r="Q40" s="305">
        <f t="shared" si="3"/>
        <v>7.0498602135177091</v>
      </c>
      <c r="R40" s="310">
        <v>1232.8399999999999</v>
      </c>
      <c r="S40" s="305">
        <f t="shared" si="4"/>
        <v>236.83905656028875</v>
      </c>
      <c r="T40" s="460"/>
      <c r="U40" s="305"/>
      <c r="V40" s="312"/>
      <c r="W40" s="307">
        <f t="shared" si="19"/>
        <v>4472.2944348394458</v>
      </c>
      <c r="X40" s="305">
        <f t="shared" si="20"/>
        <v>903.40347583756807</v>
      </c>
      <c r="Y40" s="454">
        <f t="shared" si="5"/>
        <v>499.5523195337276</v>
      </c>
      <c r="Z40" s="273">
        <f t="shared" si="6"/>
        <v>2594.4616587135301</v>
      </c>
      <c r="AA40" s="300">
        <f t="shared" si="7"/>
        <v>2176.4866911612048</v>
      </c>
      <c r="AB40" s="455">
        <f t="shared" si="8"/>
        <v>-2999.3274968592814</v>
      </c>
      <c r="AC40" s="303">
        <f t="shared" si="9"/>
        <v>79.86593266130204</v>
      </c>
      <c r="AD40" s="303">
        <f>J40/I40*100</f>
        <v>50.046399406087602</v>
      </c>
      <c r="AE40" s="302">
        <f t="shared" si="10"/>
        <v>6.5233144085553603</v>
      </c>
      <c r="AF40" s="314">
        <v>4.76</v>
      </c>
      <c r="AG40" s="467">
        <f t="shared" si="11"/>
        <v>2094.0200000000004</v>
      </c>
      <c r="AH40" s="250"/>
      <c r="AI40" s="250"/>
      <c r="AJ40" s="250"/>
    </row>
    <row r="41" spans="1:36" s="124" customFormat="1" x14ac:dyDescent="0.25">
      <c r="A41" s="7"/>
      <c r="B41" s="578"/>
      <c r="C41" s="457" t="s">
        <v>52</v>
      </c>
      <c r="D41" s="7"/>
      <c r="E41" s="7"/>
      <c r="F41" s="458">
        <f>SUM(F9:F40)</f>
        <v>543</v>
      </c>
      <c r="G41" s="458">
        <f>SUM(G9:G40)</f>
        <v>1407</v>
      </c>
      <c r="H41" s="288">
        <f>SUM(H8:H40)</f>
        <v>26250.749999999989</v>
      </c>
      <c r="I41" s="288">
        <f>SUM(I10:I40)</f>
        <v>49870.680000000008</v>
      </c>
      <c r="J41" s="288">
        <f>SUM(J10:J40)</f>
        <v>30170.560000000001</v>
      </c>
      <c r="K41" s="456">
        <f t="shared" ref="K41:S41" si="21">SUM(K9:K40)</f>
        <v>780291.7</v>
      </c>
      <c r="L41" s="456">
        <f t="shared" si="21"/>
        <v>737213.97999999975</v>
      </c>
      <c r="M41" s="456">
        <f t="shared" si="21"/>
        <v>830162.38</v>
      </c>
      <c r="N41" s="456">
        <f t="shared" si="21"/>
        <v>767384.54</v>
      </c>
      <c r="O41" s="459">
        <f t="shared" si="21"/>
        <v>744157.93778000004</v>
      </c>
      <c r="P41" s="394">
        <f t="shared" si="21"/>
        <v>13251.62</v>
      </c>
      <c r="Q41" s="397">
        <f t="shared" si="21"/>
        <v>398.32999999999993</v>
      </c>
      <c r="R41" s="397">
        <f t="shared" si="21"/>
        <v>30562.000000000007</v>
      </c>
      <c r="S41" s="383">
        <f t="shared" si="21"/>
        <v>13381.840000000002</v>
      </c>
      <c r="T41" s="383">
        <f t="shared" ref="T41:Z41" si="22">SUM(T9:T40)</f>
        <v>0</v>
      </c>
      <c r="U41" s="383">
        <f t="shared" si="22"/>
        <v>0</v>
      </c>
      <c r="V41" s="383">
        <f t="shared" si="22"/>
        <v>0</v>
      </c>
      <c r="W41" s="383">
        <f t="shared" si="22"/>
        <v>241529.88999999998</v>
      </c>
      <c r="X41" s="383">
        <f t="shared" si="22"/>
        <v>48789.037780000006</v>
      </c>
      <c r="Y41" s="383">
        <f t="shared" si="22"/>
        <v>28225.62</v>
      </c>
      <c r="Z41" s="383">
        <f t="shared" si="22"/>
        <v>245044.12</v>
      </c>
      <c r="AA41" s="383">
        <f>SUM(AA9:AA40)</f>
        <v>122975.48</v>
      </c>
      <c r="AB41" s="397">
        <f>K41-O41</f>
        <v>36133.762219999917</v>
      </c>
      <c r="AC41" s="397">
        <f>SUM(AC9:AC40)</f>
        <v>2717.8812294544291</v>
      </c>
      <c r="AD41" s="1069">
        <f>J41/I41*100</f>
        <v>60.497590969282946</v>
      </c>
      <c r="AE41" s="1070">
        <f t="shared" si="10"/>
        <v>7.0870159688770826</v>
      </c>
      <c r="AF41" s="394"/>
      <c r="AG41" s="1027">
        <f>SUM(AG9:AG40)</f>
        <v>62777.84</v>
      </c>
      <c r="AH41" s="250"/>
      <c r="AI41" s="250"/>
      <c r="AJ41" s="250"/>
    </row>
    <row r="42" spans="1:36" x14ac:dyDescent="0.25">
      <c r="P42" s="1067">
        <f>P41+Q41</f>
        <v>13649.95</v>
      </c>
      <c r="W42" s="1068">
        <f>W41+X41</f>
        <v>290318.92777999997</v>
      </c>
      <c r="AG42" s="250"/>
      <c r="AH42" s="250"/>
      <c r="AI42" s="250"/>
      <c r="AJ42" s="250"/>
    </row>
    <row r="43" spans="1:36" x14ac:dyDescent="0.25">
      <c r="A43" s="9"/>
      <c r="B43" s="9"/>
      <c r="C43" s="295" t="s">
        <v>327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86"/>
    </row>
    <row r="44" spans="1:36" ht="15.75" x14ac:dyDescent="0.25">
      <c r="A44" s="87"/>
      <c r="B44" s="87"/>
      <c r="C44" s="14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86"/>
    </row>
    <row r="45" spans="1:36" ht="18" x14ac:dyDescent="0.25">
      <c r="A45" s="87"/>
      <c r="B45" s="87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9"/>
      <c r="P45" s="9"/>
      <c r="Q45" s="9"/>
      <c r="R45" s="9"/>
      <c r="S45" s="9"/>
      <c r="T45" s="9"/>
      <c r="U45" s="9"/>
      <c r="V45" s="9"/>
      <c r="W45" s="9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86"/>
    </row>
    <row r="46" spans="1:36" x14ac:dyDescent="0.25">
      <c r="A46" s="2208"/>
      <c r="B46" s="570"/>
      <c r="C46" s="2208"/>
      <c r="D46" s="2208"/>
      <c r="E46" s="2208"/>
      <c r="F46" s="2208"/>
      <c r="G46" s="2208"/>
      <c r="H46" s="2208"/>
      <c r="I46" s="1024"/>
      <c r="J46" s="1024"/>
      <c r="K46" s="228"/>
      <c r="L46" s="228"/>
      <c r="M46" s="1024"/>
      <c r="N46" s="1024"/>
      <c r="O46" s="2208"/>
      <c r="P46" s="2209"/>
      <c r="Q46" s="2209"/>
      <c r="R46" s="2209"/>
      <c r="S46" s="2209"/>
      <c r="T46" s="2209"/>
      <c r="U46" s="2209"/>
      <c r="V46" s="2209"/>
      <c r="W46" s="2209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83"/>
    </row>
    <row r="47" spans="1:36" x14ac:dyDescent="0.25">
      <c r="A47" s="2208"/>
      <c r="B47" s="570"/>
      <c r="C47" s="2208"/>
      <c r="D47" s="2208"/>
      <c r="E47" s="2208"/>
      <c r="F47" s="2208"/>
      <c r="G47" s="2208"/>
      <c r="H47" s="2208"/>
      <c r="I47" s="1024"/>
      <c r="J47" s="1024"/>
      <c r="K47" s="228"/>
      <c r="L47" s="228"/>
      <c r="M47" s="1024"/>
      <c r="N47" s="1024"/>
      <c r="O47" s="2208"/>
      <c r="P47" s="2209"/>
      <c r="Q47" s="2209"/>
      <c r="R47" s="2209"/>
      <c r="S47" s="2209"/>
      <c r="T47" s="2209"/>
      <c r="U47" s="2209"/>
      <c r="V47" s="2209"/>
      <c r="W47" s="2209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83"/>
    </row>
    <row r="48" spans="1:36" s="124" customFormat="1" ht="15.75" x14ac:dyDescent="0.25">
      <c r="A48" s="10"/>
      <c r="B48" s="10"/>
      <c r="C48" s="222" t="s">
        <v>614</v>
      </c>
      <c r="D48" s="222"/>
      <c r="E48" s="222"/>
      <c r="F48" s="222"/>
      <c r="G48" s="222"/>
      <c r="H48" s="222"/>
      <c r="I48" s="222"/>
      <c r="J48" s="222"/>
      <c r="K48" s="222"/>
      <c r="L48" s="11"/>
      <c r="M48" s="11"/>
      <c r="N48" s="11"/>
      <c r="O48"/>
      <c r="P48"/>
      <c r="Q48"/>
      <c r="R48"/>
      <c r="S48"/>
      <c r="T48"/>
      <c r="U48"/>
      <c r="V48"/>
      <c r="W48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35"/>
    </row>
    <row r="49" spans="1:35" s="124" customFormat="1" ht="18" x14ac:dyDescent="0.25">
      <c r="A49" s="10"/>
      <c r="B49" s="10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/>
      <c r="P49"/>
      <c r="Q49"/>
      <c r="R49"/>
      <c r="S49"/>
      <c r="T49"/>
      <c r="U49"/>
      <c r="V49"/>
      <c r="W49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35"/>
    </row>
    <row r="50" spans="1:35" s="124" customFormat="1" ht="15.75" customHeight="1" x14ac:dyDescent="0.25">
      <c r="A50" s="2278" t="s">
        <v>0</v>
      </c>
      <c r="B50" s="2279"/>
      <c r="C50" s="2278" t="s">
        <v>184</v>
      </c>
      <c r="D50" s="2017" t="s">
        <v>54</v>
      </c>
      <c r="E50" s="2017" t="s">
        <v>55</v>
      </c>
      <c r="F50" s="2017" t="s">
        <v>56</v>
      </c>
      <c r="G50" s="2017" t="s">
        <v>57</v>
      </c>
      <c r="H50" s="2017" t="s">
        <v>6</v>
      </c>
      <c r="I50" s="2281"/>
      <c r="J50" s="2282"/>
      <c r="K50" s="1989" t="s">
        <v>284</v>
      </c>
      <c r="L50" s="1990"/>
      <c r="M50" s="615"/>
      <c r="N50" s="615"/>
      <c r="O50" s="1987" t="s">
        <v>457</v>
      </c>
      <c r="P50" s="2009" t="s">
        <v>332</v>
      </c>
      <c r="Q50" s="1987" t="s">
        <v>333</v>
      </c>
      <c r="R50" s="2102" t="s">
        <v>371</v>
      </c>
      <c r="S50" s="2003" t="s">
        <v>314</v>
      </c>
      <c r="T50" s="1987" t="s">
        <v>616</v>
      </c>
      <c r="U50" s="1987" t="s">
        <v>375</v>
      </c>
      <c r="V50" s="2001" t="s">
        <v>504</v>
      </c>
      <c r="W50" s="1999" t="s">
        <v>505</v>
      </c>
      <c r="X50" s="2009" t="s">
        <v>175</v>
      </c>
      <c r="Y50" s="2009" t="s">
        <v>183</v>
      </c>
      <c r="Z50" s="2108" t="s">
        <v>182</v>
      </c>
      <c r="AA50" s="2277" t="s">
        <v>544</v>
      </c>
      <c r="AB50" s="2257" t="s">
        <v>566</v>
      </c>
      <c r="AC50" s="223"/>
      <c r="AD50" s="223"/>
      <c r="AE50" s="223"/>
      <c r="AF50" s="223"/>
      <c r="AG50" s="223"/>
      <c r="AH50" s="223"/>
      <c r="AI50" s="35"/>
    </row>
    <row r="51" spans="1:35" s="124" customFormat="1" ht="30" customHeight="1" x14ac:dyDescent="0.25">
      <c r="A51" s="2278"/>
      <c r="B51" s="2280"/>
      <c r="C51" s="2278"/>
      <c r="D51" s="2017"/>
      <c r="E51" s="2017"/>
      <c r="F51" s="2017"/>
      <c r="G51" s="2017"/>
      <c r="H51" s="2017"/>
      <c r="I51" s="1038"/>
      <c r="J51" s="1038"/>
      <c r="K51" s="150" t="s">
        <v>15</v>
      </c>
      <c r="L51" s="232" t="s">
        <v>16</v>
      </c>
      <c r="M51" s="1045"/>
      <c r="N51" s="1045"/>
      <c r="O51" s="1988"/>
      <c r="P51" s="2009"/>
      <c r="Q51" s="1988"/>
      <c r="R51" s="2102"/>
      <c r="S51" s="2004"/>
      <c r="T51" s="1988"/>
      <c r="U51" s="1988"/>
      <c r="V51" s="2002"/>
      <c r="W51" s="2000"/>
      <c r="X51" s="2009"/>
      <c r="Y51" s="2009"/>
      <c r="Z51" s="2108"/>
      <c r="AA51" s="2277"/>
      <c r="AB51" s="2258"/>
      <c r="AC51" s="223"/>
      <c r="AD51" s="223"/>
      <c r="AE51" s="223"/>
      <c r="AF51" s="223"/>
      <c r="AG51" s="223"/>
      <c r="AH51" s="223"/>
      <c r="AI51" s="35"/>
    </row>
    <row r="52" spans="1:35" s="124" customFormat="1" ht="15.75" customHeight="1" x14ac:dyDescent="0.25">
      <c r="A52" s="329">
        <v>1</v>
      </c>
      <c r="B52" s="329"/>
      <c r="C52" s="330" t="s">
        <v>306</v>
      </c>
      <c r="D52" s="119">
        <v>1962</v>
      </c>
      <c r="E52" s="119">
        <v>1</v>
      </c>
      <c r="F52" s="119">
        <v>6</v>
      </c>
      <c r="G52" s="119">
        <v>11</v>
      </c>
      <c r="H52" s="264">
        <v>288.2</v>
      </c>
      <c r="I52" s="1058"/>
      <c r="J52" s="1058"/>
      <c r="K52" s="1059">
        <v>2305.6</v>
      </c>
      <c r="L52" s="316">
        <v>2785.11</v>
      </c>
      <c r="M52" s="1046"/>
      <c r="N52" s="1046"/>
      <c r="O52" s="317">
        <f>P52+Q52+R52+S52+T52+U52+V52+W52</f>
        <v>0</v>
      </c>
      <c r="P52" s="318"/>
      <c r="Q52" s="319"/>
      <c r="R52" s="320"/>
      <c r="S52" s="320"/>
      <c r="T52" s="292"/>
      <c r="U52" s="1072"/>
      <c r="V52" s="1072"/>
      <c r="W52" s="1073"/>
      <c r="X52" s="467">
        <f>K52-O52</f>
        <v>2305.6</v>
      </c>
      <c r="Y52" s="1071">
        <f>L52/K52*100</f>
        <v>120.79762317834839</v>
      </c>
      <c r="Z52" s="467">
        <f>O52/H52/4</f>
        <v>0</v>
      </c>
      <c r="AA52" s="467">
        <v>2</v>
      </c>
      <c r="AB52" s="467">
        <f>K52-L52</f>
        <v>-479.51000000000022</v>
      </c>
      <c r="AC52" s="223"/>
      <c r="AD52" s="223"/>
      <c r="AE52" s="223"/>
      <c r="AF52" s="223"/>
      <c r="AG52" s="223"/>
      <c r="AH52" s="223"/>
      <c r="AI52" s="35"/>
    </row>
    <row r="53" spans="1:35" s="124" customFormat="1" x14ac:dyDescent="0.25">
      <c r="A53" s="329">
        <v>2</v>
      </c>
      <c r="B53" s="329"/>
      <c r="C53" s="330" t="s">
        <v>24</v>
      </c>
      <c r="D53" s="112">
        <v>1966</v>
      </c>
      <c r="E53" s="112">
        <v>2</v>
      </c>
      <c r="F53" s="112">
        <v>16</v>
      </c>
      <c r="G53" s="30">
        <v>34</v>
      </c>
      <c r="H53" s="289">
        <v>627.76</v>
      </c>
      <c r="I53" s="1039"/>
      <c r="J53" s="1039"/>
      <c r="K53" s="321">
        <v>8537.32</v>
      </c>
      <c r="L53" s="321">
        <v>7974</v>
      </c>
      <c r="M53" s="1047"/>
      <c r="N53" s="1047"/>
      <c r="O53" s="317">
        <f t="shared" ref="O53:O75" si="23">P53+Q53+R53+S53+T53+U53+V53+W53</f>
        <v>0</v>
      </c>
      <c r="P53" s="322"/>
      <c r="Q53" s="319"/>
      <c r="R53" s="313"/>
      <c r="S53" s="313"/>
      <c r="T53" s="292"/>
      <c r="U53" s="1072"/>
      <c r="V53" s="1072"/>
      <c r="W53" s="1074"/>
      <c r="X53" s="467">
        <f t="shared" ref="X53:X76" si="24">K53-O53</f>
        <v>8537.32</v>
      </c>
      <c r="Y53" s="1071">
        <f t="shared" ref="Y53:Y76" si="25">L53/K53*100</f>
        <v>93.401676404304865</v>
      </c>
      <c r="Z53" s="467">
        <f t="shared" ref="Z53:Z76" si="26">O53/H53/4</f>
        <v>0</v>
      </c>
      <c r="AA53" s="467">
        <v>3.4</v>
      </c>
      <c r="AB53" s="467">
        <f t="shared" ref="AB53:AB75" si="27">K53-L53</f>
        <v>563.31999999999971</v>
      </c>
      <c r="AC53" s="223"/>
      <c r="AD53" s="223"/>
      <c r="AE53" s="223"/>
      <c r="AF53" s="223"/>
      <c r="AG53" s="223"/>
      <c r="AH53" s="223"/>
      <c r="AI53" s="35"/>
    </row>
    <row r="54" spans="1:35" s="124" customFormat="1" x14ac:dyDescent="0.25">
      <c r="A54" s="331">
        <v>3</v>
      </c>
      <c r="B54" s="331"/>
      <c r="C54" s="332" t="s">
        <v>25</v>
      </c>
      <c r="D54" s="13">
        <v>1966</v>
      </c>
      <c r="E54" s="13">
        <v>2</v>
      </c>
      <c r="F54" s="13">
        <v>16</v>
      </c>
      <c r="G54" s="177">
        <v>35</v>
      </c>
      <c r="H54" s="290">
        <v>626.47</v>
      </c>
      <c r="I54" s="1040"/>
      <c r="J54" s="1040"/>
      <c r="K54" s="321">
        <v>8144.24</v>
      </c>
      <c r="L54" s="321">
        <v>8517.76</v>
      </c>
      <c r="M54" s="1047"/>
      <c r="N54" s="1047"/>
      <c r="O54" s="317">
        <f t="shared" si="23"/>
        <v>821</v>
      </c>
      <c r="P54" s="322">
        <v>821</v>
      </c>
      <c r="Q54" s="319"/>
      <c r="R54" s="313"/>
      <c r="S54" s="313"/>
      <c r="T54" s="292"/>
      <c r="U54" s="1072"/>
      <c r="V54" s="1072"/>
      <c r="W54" s="1074"/>
      <c r="X54" s="467">
        <f t="shared" si="24"/>
        <v>7323.24</v>
      </c>
      <c r="Y54" s="1071">
        <f t="shared" si="25"/>
        <v>104.58630885140909</v>
      </c>
      <c r="Z54" s="467">
        <f t="shared" si="26"/>
        <v>0.32762941561447473</v>
      </c>
      <c r="AA54" s="391">
        <v>3.25</v>
      </c>
      <c r="AB54" s="467">
        <f t="shared" si="27"/>
        <v>-373.52000000000044</v>
      </c>
      <c r="AC54" s="223"/>
      <c r="AD54" s="223"/>
      <c r="AE54" s="223"/>
      <c r="AF54" s="223"/>
      <c r="AG54" s="223"/>
      <c r="AH54" s="223"/>
      <c r="AI54" s="35"/>
    </row>
    <row r="55" spans="1:35" s="124" customFormat="1" x14ac:dyDescent="0.25">
      <c r="A55" s="331">
        <v>4</v>
      </c>
      <c r="B55" s="331"/>
      <c r="C55" s="332" t="s">
        <v>26</v>
      </c>
      <c r="D55" s="13">
        <v>1961</v>
      </c>
      <c r="E55" s="13">
        <v>2</v>
      </c>
      <c r="F55" s="13">
        <v>12</v>
      </c>
      <c r="G55" s="30">
        <v>39</v>
      </c>
      <c r="H55" s="290">
        <v>456.5</v>
      </c>
      <c r="I55" s="1040"/>
      <c r="J55" s="1040"/>
      <c r="K55" s="321">
        <v>6409.28</v>
      </c>
      <c r="L55" s="321">
        <v>4883.7700000000004</v>
      </c>
      <c r="M55" s="1047"/>
      <c r="N55" s="1047"/>
      <c r="O55" s="317">
        <f t="shared" si="23"/>
        <v>73104.290000000008</v>
      </c>
      <c r="P55" s="322">
        <v>24393.29</v>
      </c>
      <c r="Q55" s="319"/>
      <c r="R55" s="313"/>
      <c r="S55" s="313"/>
      <c r="T55" s="292"/>
      <c r="U55" s="1072">
        <v>48711</v>
      </c>
      <c r="V55" s="1072"/>
      <c r="W55" s="1074"/>
      <c r="X55" s="467">
        <f t="shared" si="24"/>
        <v>-66695.010000000009</v>
      </c>
      <c r="Y55" s="1071">
        <f t="shared" si="25"/>
        <v>76.198418543112496</v>
      </c>
      <c r="Z55" s="467">
        <f t="shared" si="26"/>
        <v>40.035208105147866</v>
      </c>
      <c r="AA55" s="391">
        <v>3.51</v>
      </c>
      <c r="AB55" s="467">
        <f t="shared" si="27"/>
        <v>1525.5099999999993</v>
      </c>
      <c r="AC55" s="223"/>
      <c r="AD55" s="223"/>
      <c r="AE55" s="223"/>
      <c r="AF55" s="223"/>
      <c r="AG55" s="223"/>
      <c r="AH55" s="223"/>
      <c r="AI55" s="35"/>
    </row>
    <row r="56" spans="1:35" s="124" customFormat="1" x14ac:dyDescent="0.25">
      <c r="A56" s="331">
        <v>5</v>
      </c>
      <c r="B56" s="331"/>
      <c r="C56" s="332" t="s">
        <v>27</v>
      </c>
      <c r="D56" s="13">
        <v>1961</v>
      </c>
      <c r="E56" s="13">
        <v>2</v>
      </c>
      <c r="F56" s="13">
        <v>12</v>
      </c>
      <c r="G56" s="177">
        <v>35</v>
      </c>
      <c r="H56" s="290">
        <v>459.7</v>
      </c>
      <c r="I56" s="1040"/>
      <c r="J56" s="1040"/>
      <c r="K56" s="321">
        <v>6123.24</v>
      </c>
      <c r="L56" s="321">
        <v>5382.05</v>
      </c>
      <c r="M56" s="1047"/>
      <c r="N56" s="1047"/>
      <c r="O56" s="317">
        <f t="shared" si="23"/>
        <v>57776.770000000004</v>
      </c>
      <c r="P56" s="322">
        <v>9065.77</v>
      </c>
      <c r="Q56" s="319"/>
      <c r="R56" s="313"/>
      <c r="S56" s="313"/>
      <c r="T56" s="292"/>
      <c r="U56" s="1072">
        <v>48711</v>
      </c>
      <c r="V56" s="1072"/>
      <c r="W56" s="1074"/>
      <c r="X56" s="467">
        <f t="shared" si="24"/>
        <v>-51653.530000000006</v>
      </c>
      <c r="Y56" s="1071">
        <f t="shared" si="25"/>
        <v>87.895460573160619</v>
      </c>
      <c r="Z56" s="467">
        <f t="shared" si="26"/>
        <v>31.420910376332394</v>
      </c>
      <c r="AA56" s="391">
        <v>3.33</v>
      </c>
      <c r="AB56" s="467">
        <f t="shared" si="27"/>
        <v>741.1899999999996</v>
      </c>
      <c r="AC56" s="223"/>
      <c r="AD56" s="223"/>
      <c r="AE56" s="223"/>
      <c r="AF56" s="223"/>
      <c r="AG56" s="223"/>
      <c r="AH56" s="223"/>
      <c r="AI56" s="35"/>
    </row>
    <row r="57" spans="1:35" s="124" customFormat="1" ht="15" customHeight="1" x14ac:dyDescent="0.25">
      <c r="A57" s="331">
        <v>6</v>
      </c>
      <c r="B57" s="331"/>
      <c r="C57" s="332" t="s">
        <v>28</v>
      </c>
      <c r="D57" s="13">
        <v>1960</v>
      </c>
      <c r="E57" s="13">
        <v>1</v>
      </c>
      <c r="F57" s="13">
        <v>6</v>
      </c>
      <c r="G57" s="30">
        <v>10</v>
      </c>
      <c r="H57" s="290">
        <v>129.56</v>
      </c>
      <c r="I57" s="1040"/>
      <c r="J57" s="1040"/>
      <c r="K57" s="321">
        <v>111.88</v>
      </c>
      <c r="L57" s="321">
        <v>99.64</v>
      </c>
      <c r="M57" s="1047"/>
      <c r="N57" s="1047"/>
      <c r="O57" s="317">
        <f t="shared" si="23"/>
        <v>0</v>
      </c>
      <c r="P57" s="322"/>
      <c r="Q57" s="319"/>
      <c r="R57" s="313"/>
      <c r="S57" s="313"/>
      <c r="T57" s="292"/>
      <c r="U57" s="1072"/>
      <c r="V57" s="1072"/>
      <c r="W57" s="1074"/>
      <c r="X57" s="467">
        <f t="shared" si="24"/>
        <v>111.88</v>
      </c>
      <c r="Y57" s="1071">
        <f t="shared" si="25"/>
        <v>89.059706828745092</v>
      </c>
      <c r="Z57" s="467">
        <f t="shared" si="26"/>
        <v>0</v>
      </c>
      <c r="AA57" s="391">
        <v>0.26</v>
      </c>
      <c r="AB57" s="467">
        <f t="shared" si="27"/>
        <v>12.239999999999995</v>
      </c>
      <c r="AC57" s="223"/>
      <c r="AD57" s="223"/>
      <c r="AE57" s="223"/>
      <c r="AF57" s="223"/>
      <c r="AG57" s="223"/>
      <c r="AH57" s="223"/>
      <c r="AI57" s="35"/>
    </row>
    <row r="58" spans="1:35" s="124" customFormat="1" x14ac:dyDescent="0.25">
      <c r="A58" s="331">
        <v>7</v>
      </c>
      <c r="B58" s="331"/>
      <c r="C58" s="333" t="s">
        <v>29</v>
      </c>
      <c r="D58" s="36">
        <v>1985</v>
      </c>
      <c r="E58" s="36">
        <v>4</v>
      </c>
      <c r="F58" s="36">
        <v>48</v>
      </c>
      <c r="G58" s="225">
        <v>106</v>
      </c>
      <c r="H58" s="293">
        <v>2625.8</v>
      </c>
      <c r="I58" s="1040"/>
      <c r="J58" s="1040"/>
      <c r="K58" s="323">
        <v>28778.84</v>
      </c>
      <c r="L58" s="323">
        <v>25622.28</v>
      </c>
      <c r="M58" s="1047"/>
      <c r="N58" s="1047"/>
      <c r="O58" s="317">
        <f t="shared" si="23"/>
        <v>0</v>
      </c>
      <c r="P58" s="273"/>
      <c r="Q58" s="319"/>
      <c r="R58" s="307"/>
      <c r="S58" s="307"/>
      <c r="T58" s="292"/>
      <c r="U58" s="1072"/>
      <c r="V58" s="1072"/>
      <c r="W58" s="1074"/>
      <c r="X58" s="467">
        <f t="shared" si="24"/>
        <v>28778.84</v>
      </c>
      <c r="Y58" s="1071">
        <f t="shared" si="25"/>
        <v>89.031663541685475</v>
      </c>
      <c r="Z58" s="467">
        <f t="shared" si="26"/>
        <v>0</v>
      </c>
      <c r="AA58" s="391">
        <v>2.74</v>
      </c>
      <c r="AB58" s="467">
        <f t="shared" si="27"/>
        <v>3156.5600000000013</v>
      </c>
      <c r="AC58" s="223"/>
      <c r="AD58" s="223"/>
      <c r="AE58" s="223"/>
      <c r="AF58" s="223"/>
      <c r="AG58" s="223"/>
      <c r="AH58" s="223"/>
      <c r="AI58" s="35"/>
    </row>
    <row r="59" spans="1:35" s="124" customFormat="1" x14ac:dyDescent="0.25">
      <c r="A59" s="331">
        <v>8</v>
      </c>
      <c r="B59" s="331"/>
      <c r="C59" s="332" t="s">
        <v>30</v>
      </c>
      <c r="D59" s="13">
        <v>1968</v>
      </c>
      <c r="E59" s="13">
        <v>2</v>
      </c>
      <c r="F59" s="13">
        <v>22</v>
      </c>
      <c r="G59" s="30">
        <v>60</v>
      </c>
      <c r="H59" s="290">
        <v>857.42</v>
      </c>
      <c r="I59" s="1040"/>
      <c r="J59" s="1040"/>
      <c r="K59" s="321">
        <v>12209.96</v>
      </c>
      <c r="L59" s="321">
        <v>11848.62</v>
      </c>
      <c r="M59" s="1047"/>
      <c r="N59" s="1047"/>
      <c r="O59" s="317">
        <f t="shared" si="23"/>
        <v>44154.5</v>
      </c>
      <c r="P59" s="322">
        <v>4068.5</v>
      </c>
      <c r="Q59" s="319"/>
      <c r="R59" s="313"/>
      <c r="S59" s="313"/>
      <c r="T59" s="292"/>
      <c r="U59" s="1072">
        <v>40086</v>
      </c>
      <c r="V59" s="1072"/>
      <c r="W59" s="1074"/>
      <c r="X59" s="467">
        <f t="shared" si="24"/>
        <v>-31944.54</v>
      </c>
      <c r="Y59" s="1071">
        <f t="shared" si="25"/>
        <v>97.040612745660113</v>
      </c>
      <c r="Z59" s="467">
        <f t="shared" si="26"/>
        <v>12.874233164610111</v>
      </c>
      <c r="AA59" s="391">
        <v>3.56</v>
      </c>
      <c r="AB59" s="467">
        <f t="shared" si="27"/>
        <v>361.33999999999833</v>
      </c>
      <c r="AC59" s="223"/>
      <c r="AD59" s="223"/>
      <c r="AE59" s="223"/>
      <c r="AF59" s="223"/>
      <c r="AG59" s="223"/>
      <c r="AH59" s="223"/>
      <c r="AI59" s="35"/>
    </row>
    <row r="60" spans="1:35" s="124" customFormat="1" x14ac:dyDescent="0.25">
      <c r="A60" s="331">
        <v>9</v>
      </c>
      <c r="B60" s="331"/>
      <c r="C60" s="333" t="s">
        <v>31</v>
      </c>
      <c r="D60" s="36">
        <v>1969</v>
      </c>
      <c r="E60" s="36">
        <v>2</v>
      </c>
      <c r="F60" s="36">
        <v>22</v>
      </c>
      <c r="G60" s="225">
        <v>55</v>
      </c>
      <c r="H60" s="293">
        <v>805.1</v>
      </c>
      <c r="I60" s="1040"/>
      <c r="J60" s="1040"/>
      <c r="K60" s="323">
        <v>11787.36</v>
      </c>
      <c r="L60" s="323">
        <v>11687.9</v>
      </c>
      <c r="M60" s="1047"/>
      <c r="N60" s="1047"/>
      <c r="O60" s="317">
        <f t="shared" si="23"/>
        <v>52746.48</v>
      </c>
      <c r="P60" s="273">
        <v>10991</v>
      </c>
      <c r="Q60" s="319"/>
      <c r="R60" s="307"/>
      <c r="S60" s="307"/>
      <c r="T60" s="292"/>
      <c r="U60" s="1072">
        <v>41755.480000000003</v>
      </c>
      <c r="V60" s="1072"/>
      <c r="W60" s="1074"/>
      <c r="X60" s="467">
        <f t="shared" si="24"/>
        <v>-40959.120000000003</v>
      </c>
      <c r="Y60" s="1071">
        <f t="shared" si="25"/>
        <v>99.156214792794984</v>
      </c>
      <c r="Z60" s="467">
        <f t="shared" si="26"/>
        <v>16.378859768972799</v>
      </c>
      <c r="AA60" s="391">
        <v>3.66</v>
      </c>
      <c r="AB60" s="467">
        <f t="shared" si="27"/>
        <v>99.460000000000946</v>
      </c>
      <c r="AC60" s="223"/>
      <c r="AD60" s="223"/>
      <c r="AE60" s="223"/>
      <c r="AF60" s="223"/>
      <c r="AG60" s="223"/>
      <c r="AH60" s="223"/>
      <c r="AI60" s="35"/>
    </row>
    <row r="61" spans="1:35" s="124" customFormat="1" x14ac:dyDescent="0.25">
      <c r="A61" s="331">
        <v>10</v>
      </c>
      <c r="B61" s="331"/>
      <c r="C61" s="332" t="s">
        <v>32</v>
      </c>
      <c r="D61" s="13">
        <v>1963</v>
      </c>
      <c r="E61" s="13">
        <v>2</v>
      </c>
      <c r="F61" s="13">
        <v>16</v>
      </c>
      <c r="G61" s="30">
        <v>25</v>
      </c>
      <c r="H61" s="290">
        <v>636.21</v>
      </c>
      <c r="I61" s="1040"/>
      <c r="J61" s="1040"/>
      <c r="K61" s="321">
        <v>8882.56</v>
      </c>
      <c r="L61" s="321">
        <v>8915.09</v>
      </c>
      <c r="M61" s="1047"/>
      <c r="N61" s="1047"/>
      <c r="O61" s="317">
        <f t="shared" si="23"/>
        <v>628.97</v>
      </c>
      <c r="P61" s="322">
        <v>628.97</v>
      </c>
      <c r="Q61" s="319"/>
      <c r="R61" s="313"/>
      <c r="S61" s="313"/>
      <c r="T61" s="292"/>
      <c r="U61" s="1072"/>
      <c r="V61" s="1072"/>
      <c r="W61" s="1074"/>
      <c r="X61" s="467">
        <f t="shared" si="24"/>
        <v>8253.59</v>
      </c>
      <c r="Y61" s="1071">
        <f t="shared" si="25"/>
        <v>100.36622325095468</v>
      </c>
      <c r="Z61" s="467">
        <f t="shared" si="26"/>
        <v>0.24715502742805048</v>
      </c>
      <c r="AA61" s="391">
        <v>3.49</v>
      </c>
      <c r="AB61" s="467">
        <f t="shared" si="27"/>
        <v>-32.530000000000655</v>
      </c>
      <c r="AC61" s="223"/>
      <c r="AD61" s="223"/>
      <c r="AE61" s="223"/>
      <c r="AF61" s="223"/>
      <c r="AG61" s="223"/>
      <c r="AH61" s="223"/>
      <c r="AI61" s="35"/>
    </row>
    <row r="62" spans="1:35" s="124" customFormat="1" x14ac:dyDescent="0.25">
      <c r="A62" s="331">
        <v>11</v>
      </c>
      <c r="B62" s="331"/>
      <c r="C62" s="332" t="s">
        <v>33</v>
      </c>
      <c r="D62" s="13">
        <v>1972</v>
      </c>
      <c r="E62" s="13">
        <v>2</v>
      </c>
      <c r="F62" s="13">
        <v>18</v>
      </c>
      <c r="G62" s="177">
        <v>44</v>
      </c>
      <c r="H62" s="290">
        <v>779.26</v>
      </c>
      <c r="I62" s="1040"/>
      <c r="J62" s="1040"/>
      <c r="K62" s="321">
        <v>5985.16</v>
      </c>
      <c r="L62" s="321">
        <v>4216.47</v>
      </c>
      <c r="M62" s="1047"/>
      <c r="N62" s="1047"/>
      <c r="O62" s="317">
        <f t="shared" si="23"/>
        <v>0</v>
      </c>
      <c r="P62" s="322"/>
      <c r="Q62" s="319"/>
      <c r="R62" s="313"/>
      <c r="S62" s="313"/>
      <c r="T62" s="292"/>
      <c r="U62" s="1072"/>
      <c r="V62" s="1072"/>
      <c r="W62" s="1074"/>
      <c r="X62" s="467">
        <f t="shared" si="24"/>
        <v>5985.16</v>
      </c>
      <c r="Y62" s="1071">
        <f t="shared" si="25"/>
        <v>70.44874322490962</v>
      </c>
      <c r="Z62" s="467">
        <f t="shared" si="26"/>
        <v>0</v>
      </c>
      <c r="AA62" s="391">
        <v>1.92</v>
      </c>
      <c r="AB62" s="467">
        <f t="shared" si="27"/>
        <v>1768.6899999999996</v>
      </c>
      <c r="AC62" s="223"/>
      <c r="AD62" s="223"/>
      <c r="AE62" s="223"/>
      <c r="AF62" s="223"/>
      <c r="AG62" s="223"/>
      <c r="AH62" s="223"/>
      <c r="AI62" s="35"/>
    </row>
    <row r="63" spans="1:35" s="124" customFormat="1" x14ac:dyDescent="0.25">
      <c r="A63" s="331">
        <v>12</v>
      </c>
      <c r="B63" s="331"/>
      <c r="C63" s="332" t="s">
        <v>34</v>
      </c>
      <c r="D63" s="13">
        <v>1972</v>
      </c>
      <c r="E63" s="13">
        <v>2</v>
      </c>
      <c r="F63" s="13">
        <v>18</v>
      </c>
      <c r="G63" s="30">
        <v>44</v>
      </c>
      <c r="H63" s="290">
        <v>771.52</v>
      </c>
      <c r="I63" s="1040"/>
      <c r="J63" s="1040"/>
      <c r="K63" s="321">
        <v>6048.8</v>
      </c>
      <c r="L63" s="321">
        <v>5771.31</v>
      </c>
      <c r="M63" s="1047"/>
      <c r="N63" s="1047"/>
      <c r="O63" s="317">
        <f t="shared" si="23"/>
        <v>0</v>
      </c>
      <c r="P63" s="322"/>
      <c r="Q63" s="319"/>
      <c r="R63" s="313"/>
      <c r="S63" s="313"/>
      <c r="T63" s="292"/>
      <c r="U63" s="1072"/>
      <c r="V63" s="1072"/>
      <c r="W63" s="1074"/>
      <c r="X63" s="467">
        <f t="shared" si="24"/>
        <v>6048.8</v>
      </c>
      <c r="Y63" s="1071">
        <f t="shared" si="25"/>
        <v>95.412478508133844</v>
      </c>
      <c r="Z63" s="467">
        <f t="shared" si="26"/>
        <v>0</v>
      </c>
      <c r="AA63" s="391">
        <v>1.96</v>
      </c>
      <c r="AB63" s="467">
        <f t="shared" si="27"/>
        <v>277.48999999999978</v>
      </c>
      <c r="AC63" s="223"/>
      <c r="AD63" s="223"/>
      <c r="AE63" s="223"/>
      <c r="AF63" s="223"/>
      <c r="AG63" s="223"/>
      <c r="AH63" s="223"/>
      <c r="AI63" s="35"/>
    </row>
    <row r="64" spans="1:35" s="124" customFormat="1" x14ac:dyDescent="0.25">
      <c r="A64" s="331">
        <v>13</v>
      </c>
      <c r="B64" s="331"/>
      <c r="C64" s="332" t="s">
        <v>35</v>
      </c>
      <c r="D64" s="13">
        <v>1978</v>
      </c>
      <c r="E64" s="13">
        <v>3</v>
      </c>
      <c r="F64" s="13">
        <v>24</v>
      </c>
      <c r="G64" s="177">
        <v>68</v>
      </c>
      <c r="H64" s="290">
        <v>1443.9</v>
      </c>
      <c r="I64" s="1040"/>
      <c r="J64" s="1040"/>
      <c r="K64" s="321">
        <v>14727.96</v>
      </c>
      <c r="L64" s="321">
        <v>14123.36</v>
      </c>
      <c r="M64" s="1047"/>
      <c r="N64" s="1047"/>
      <c r="O64" s="317">
        <f t="shared" si="23"/>
        <v>0</v>
      </c>
      <c r="P64" s="322"/>
      <c r="Q64" s="319"/>
      <c r="R64" s="313"/>
      <c r="S64" s="313"/>
      <c r="T64" s="292"/>
      <c r="U64" s="1072"/>
      <c r="V64" s="1072"/>
      <c r="W64" s="1074"/>
      <c r="X64" s="467">
        <f t="shared" si="24"/>
        <v>14727.96</v>
      </c>
      <c r="Y64" s="1071">
        <f t="shared" si="25"/>
        <v>95.894882930154623</v>
      </c>
      <c r="Z64" s="467">
        <f t="shared" si="26"/>
        <v>0</v>
      </c>
      <c r="AA64" s="391">
        <v>2.5499999999999998</v>
      </c>
      <c r="AB64" s="467">
        <f t="shared" si="27"/>
        <v>604.59999999999854</v>
      </c>
      <c r="AC64" s="223"/>
      <c r="AD64" s="223"/>
      <c r="AE64" s="223"/>
      <c r="AF64" s="223"/>
      <c r="AG64" s="223"/>
      <c r="AH64" s="223"/>
      <c r="AI64" s="35"/>
    </row>
    <row r="65" spans="1:35" s="124" customFormat="1" x14ac:dyDescent="0.25">
      <c r="A65" s="331">
        <v>14</v>
      </c>
      <c r="B65" s="331"/>
      <c r="C65" s="332" t="s">
        <v>36</v>
      </c>
      <c r="D65" s="13">
        <v>1979</v>
      </c>
      <c r="E65" s="13">
        <v>5</v>
      </c>
      <c r="F65" s="13">
        <v>60</v>
      </c>
      <c r="G65" s="30">
        <v>181</v>
      </c>
      <c r="H65" s="290">
        <v>3240.38</v>
      </c>
      <c r="I65" s="1040"/>
      <c r="J65" s="1040"/>
      <c r="K65" s="321">
        <v>31231.96</v>
      </c>
      <c r="L65" s="321">
        <v>30093.46</v>
      </c>
      <c r="M65" s="1047"/>
      <c r="N65" s="1047"/>
      <c r="O65" s="317">
        <f t="shared" si="23"/>
        <v>0</v>
      </c>
      <c r="P65" s="322"/>
      <c r="Q65" s="319"/>
      <c r="R65" s="313"/>
      <c r="S65" s="313"/>
      <c r="T65" s="1079"/>
      <c r="U65" s="1072"/>
      <c r="V65" s="1072"/>
      <c r="W65" s="1074"/>
      <c r="X65" s="467">
        <f t="shared" si="24"/>
        <v>31231.96</v>
      </c>
      <c r="Y65" s="1071">
        <f t="shared" si="25"/>
        <v>96.354695638698303</v>
      </c>
      <c r="Z65" s="467">
        <f t="shared" si="26"/>
        <v>0</v>
      </c>
      <c r="AA65" s="391">
        <v>2.41</v>
      </c>
      <c r="AB65" s="467">
        <f t="shared" si="27"/>
        <v>1138.5</v>
      </c>
      <c r="AC65" s="223"/>
      <c r="AD65" s="223"/>
      <c r="AE65" s="223"/>
      <c r="AF65" s="223"/>
      <c r="AG65" s="223"/>
      <c r="AH65" s="223"/>
      <c r="AI65" s="35"/>
    </row>
    <row r="66" spans="1:35" s="124" customFormat="1" x14ac:dyDescent="0.25">
      <c r="A66" s="331">
        <v>15</v>
      </c>
      <c r="B66" s="331"/>
      <c r="C66" s="332" t="s">
        <v>37</v>
      </c>
      <c r="D66" s="13">
        <v>1981</v>
      </c>
      <c r="E66" s="13">
        <v>5</v>
      </c>
      <c r="F66" s="13">
        <v>60</v>
      </c>
      <c r="G66" s="177">
        <v>163</v>
      </c>
      <c r="H66" s="290">
        <v>3236.3</v>
      </c>
      <c r="I66" s="1040"/>
      <c r="J66" s="1040"/>
      <c r="K66" s="321">
        <v>30165.93</v>
      </c>
      <c r="L66" s="321">
        <v>29400.71</v>
      </c>
      <c r="M66" s="1047"/>
      <c r="N66" s="1047"/>
      <c r="O66" s="317">
        <f t="shared" si="23"/>
        <v>50000</v>
      </c>
      <c r="P66" s="322"/>
      <c r="Q66" s="319"/>
      <c r="R66" s="313"/>
      <c r="S66" s="313"/>
      <c r="T66" s="1079">
        <v>50000</v>
      </c>
      <c r="U66" s="1072"/>
      <c r="V66" s="1072"/>
      <c r="W66" s="1074"/>
      <c r="X66" s="467">
        <f t="shared" si="24"/>
        <v>-19834.07</v>
      </c>
      <c r="Y66" s="1071">
        <f t="shared" si="25"/>
        <v>97.463297170019274</v>
      </c>
      <c r="Z66" s="467">
        <f t="shared" si="26"/>
        <v>3.8624354973271946</v>
      </c>
      <c r="AA66" s="391">
        <v>2.33</v>
      </c>
      <c r="AB66" s="467">
        <f t="shared" si="27"/>
        <v>765.22000000000116</v>
      </c>
      <c r="AC66" s="223"/>
      <c r="AD66" s="223"/>
      <c r="AE66" s="223"/>
      <c r="AF66" s="223"/>
      <c r="AG66" s="223"/>
      <c r="AH66" s="223"/>
      <c r="AI66" s="35"/>
    </row>
    <row r="67" spans="1:35" s="124" customFormat="1" x14ac:dyDescent="0.25">
      <c r="A67" s="331">
        <v>16</v>
      </c>
      <c r="B67" s="331"/>
      <c r="C67" s="332" t="s">
        <v>38</v>
      </c>
      <c r="D67" s="13">
        <v>1981</v>
      </c>
      <c r="E67" s="13">
        <v>5</v>
      </c>
      <c r="F67" s="13">
        <v>60</v>
      </c>
      <c r="G67" s="30">
        <v>184</v>
      </c>
      <c r="H67" s="290">
        <v>3273.8</v>
      </c>
      <c r="I67" s="1040"/>
      <c r="J67" s="1040"/>
      <c r="K67" s="321">
        <v>38857.68</v>
      </c>
      <c r="L67" s="321">
        <v>35363.21</v>
      </c>
      <c r="M67" s="1047"/>
      <c r="N67" s="1047"/>
      <c r="O67" s="317">
        <f t="shared" si="23"/>
        <v>0</v>
      </c>
      <c r="P67" s="322"/>
      <c r="Q67" s="319"/>
      <c r="R67" s="313"/>
      <c r="S67" s="313"/>
      <c r="T67" s="292"/>
      <c r="U67" s="1072"/>
      <c r="V67" s="1072"/>
      <c r="W67" s="1074"/>
      <c r="X67" s="467">
        <f t="shared" si="24"/>
        <v>38857.68</v>
      </c>
      <c r="Y67" s="1071">
        <f t="shared" si="25"/>
        <v>91.007002991429232</v>
      </c>
      <c r="Z67" s="467">
        <f t="shared" si="26"/>
        <v>0</v>
      </c>
      <c r="AA67" s="391">
        <v>2.4300000000000002</v>
      </c>
      <c r="AB67" s="467">
        <f t="shared" si="27"/>
        <v>3494.4700000000012</v>
      </c>
      <c r="AC67" s="223"/>
      <c r="AD67" s="223"/>
      <c r="AE67" s="223"/>
      <c r="AF67" s="223"/>
      <c r="AG67" s="223"/>
      <c r="AH67" s="223"/>
      <c r="AI67" s="35"/>
    </row>
    <row r="68" spans="1:35" s="124" customFormat="1" x14ac:dyDescent="0.25">
      <c r="A68" s="331">
        <v>17</v>
      </c>
      <c r="B68" s="331"/>
      <c r="C68" s="332" t="s">
        <v>39</v>
      </c>
      <c r="D68" s="13">
        <v>1987</v>
      </c>
      <c r="E68" s="13">
        <v>3</v>
      </c>
      <c r="F68" s="13">
        <v>27</v>
      </c>
      <c r="G68" s="177">
        <v>72</v>
      </c>
      <c r="H68" s="290">
        <v>1466.1</v>
      </c>
      <c r="I68" s="1040"/>
      <c r="J68" s="1040"/>
      <c r="K68" s="321">
        <v>14479.08</v>
      </c>
      <c r="L68" s="321">
        <v>14223.13</v>
      </c>
      <c r="M68" s="1047"/>
      <c r="N68" s="1047"/>
      <c r="O68" s="317">
        <f t="shared" si="23"/>
        <v>0</v>
      </c>
      <c r="P68" s="322"/>
      <c r="Q68" s="319"/>
      <c r="R68" s="313"/>
      <c r="S68" s="313"/>
      <c r="T68" s="292"/>
      <c r="U68" s="1072"/>
      <c r="V68" s="1072"/>
      <c r="W68" s="1074"/>
      <c r="X68" s="467">
        <f t="shared" si="24"/>
        <v>14479.08</v>
      </c>
      <c r="Y68" s="1071">
        <f t="shared" si="25"/>
        <v>98.232277188882165</v>
      </c>
      <c r="Z68" s="467">
        <f t="shared" si="26"/>
        <v>0</v>
      </c>
      <c r="AA68" s="391">
        <v>2.4700000000000002</v>
      </c>
      <c r="AB68" s="467">
        <f t="shared" si="27"/>
        <v>255.95000000000073</v>
      </c>
      <c r="AC68" s="223"/>
      <c r="AD68" s="223"/>
      <c r="AE68" s="223"/>
      <c r="AF68" s="223"/>
      <c r="AG68" s="223"/>
      <c r="AH68" s="223"/>
      <c r="AI68" s="35"/>
    </row>
    <row r="69" spans="1:35" s="124" customFormat="1" x14ac:dyDescent="0.25">
      <c r="A69" s="334">
        <v>18</v>
      </c>
      <c r="B69" s="334"/>
      <c r="C69" s="335" t="s">
        <v>40</v>
      </c>
      <c r="D69" s="187">
        <v>1989</v>
      </c>
      <c r="E69" s="187">
        <v>3</v>
      </c>
      <c r="F69" s="187">
        <v>27</v>
      </c>
      <c r="G69" s="30">
        <v>78</v>
      </c>
      <c r="H69" s="291">
        <v>1468.1</v>
      </c>
      <c r="I69" s="1041"/>
      <c r="J69" s="1041"/>
      <c r="K69" s="324">
        <v>14863.92</v>
      </c>
      <c r="L69" s="324">
        <v>16479.099999999999</v>
      </c>
      <c r="M69" s="1060"/>
      <c r="N69" s="1060"/>
      <c r="O69" s="317">
        <f t="shared" si="23"/>
        <v>0</v>
      </c>
      <c r="P69" s="309"/>
      <c r="Q69" s="319"/>
      <c r="R69" s="311"/>
      <c r="S69" s="311"/>
      <c r="T69" s="292"/>
      <c r="U69" s="1072"/>
      <c r="V69" s="1072"/>
      <c r="W69" s="1075"/>
      <c r="X69" s="467">
        <f t="shared" si="24"/>
        <v>14863.92</v>
      </c>
      <c r="Y69" s="1071">
        <f t="shared" si="25"/>
        <v>110.86644707452675</v>
      </c>
      <c r="Z69" s="467">
        <f t="shared" si="26"/>
        <v>0</v>
      </c>
      <c r="AA69" s="391">
        <v>2.5299999999999998</v>
      </c>
      <c r="AB69" s="467">
        <f t="shared" si="27"/>
        <v>-1615.1799999999985</v>
      </c>
      <c r="AC69" s="223"/>
      <c r="AD69" s="223"/>
      <c r="AE69" s="223"/>
      <c r="AF69" s="223"/>
      <c r="AG69" s="223"/>
      <c r="AH69" s="223"/>
      <c r="AI69" s="35"/>
    </row>
    <row r="70" spans="1:35" s="124" customFormat="1" x14ac:dyDescent="0.25">
      <c r="A70" s="331">
        <v>19</v>
      </c>
      <c r="B70" s="331"/>
      <c r="C70" s="332" t="s">
        <v>44</v>
      </c>
      <c r="D70" s="13">
        <v>1976</v>
      </c>
      <c r="E70" s="13">
        <v>2</v>
      </c>
      <c r="F70" s="13">
        <v>4</v>
      </c>
      <c r="G70" s="13">
        <v>22</v>
      </c>
      <c r="H70" s="14">
        <v>266.82</v>
      </c>
      <c r="I70" s="1042"/>
      <c r="J70" s="1042"/>
      <c r="K70" s="544">
        <v>960.56</v>
      </c>
      <c r="L70" s="326">
        <v>941.02</v>
      </c>
      <c r="M70" s="1060"/>
      <c r="N70" s="1060"/>
      <c r="O70" s="317">
        <f t="shared" si="23"/>
        <v>0</v>
      </c>
      <c r="P70" s="322"/>
      <c r="Q70" s="319"/>
      <c r="R70" s="322"/>
      <c r="S70" s="322"/>
      <c r="T70" s="292"/>
      <c r="U70" s="1072"/>
      <c r="V70" s="1072"/>
      <c r="W70" s="1076"/>
      <c r="X70" s="467">
        <f t="shared" si="24"/>
        <v>960.56</v>
      </c>
      <c r="Y70" s="1071">
        <f t="shared" si="25"/>
        <v>97.965769967518952</v>
      </c>
      <c r="Z70" s="467">
        <f t="shared" si="26"/>
        <v>0</v>
      </c>
      <c r="AA70" s="467">
        <v>0.9</v>
      </c>
      <c r="AB70" s="467">
        <f t="shared" si="27"/>
        <v>19.539999999999964</v>
      </c>
      <c r="AC70" s="223"/>
      <c r="AD70" s="223"/>
      <c r="AE70" s="223"/>
      <c r="AF70" s="223"/>
      <c r="AG70" s="223"/>
      <c r="AH70" s="223"/>
      <c r="AI70" s="35"/>
    </row>
    <row r="71" spans="1:35" s="124" customFormat="1" x14ac:dyDescent="0.25">
      <c r="A71" s="334">
        <v>20</v>
      </c>
      <c r="B71" s="334"/>
      <c r="C71" s="335" t="s">
        <v>45</v>
      </c>
      <c r="D71" s="187">
        <v>1976</v>
      </c>
      <c r="E71" s="187">
        <v>2</v>
      </c>
      <c r="F71" s="187">
        <v>4</v>
      </c>
      <c r="G71" s="187">
        <v>12</v>
      </c>
      <c r="H71" s="233">
        <v>266.56</v>
      </c>
      <c r="I71" s="1043"/>
      <c r="J71" s="1043"/>
      <c r="K71" s="545">
        <v>959.64</v>
      </c>
      <c r="L71" s="328">
        <v>831.05</v>
      </c>
      <c r="M71" s="1048"/>
      <c r="N71" s="1048"/>
      <c r="O71" s="317">
        <f t="shared" si="23"/>
        <v>0</v>
      </c>
      <c r="P71" s="309"/>
      <c r="Q71" s="319"/>
      <c r="R71" s="309"/>
      <c r="S71" s="309"/>
      <c r="T71" s="546"/>
      <c r="U71" s="1077"/>
      <c r="V71" s="1077"/>
      <c r="W71" s="1078"/>
      <c r="X71" s="467">
        <f t="shared" si="24"/>
        <v>959.64</v>
      </c>
      <c r="Y71" s="1071">
        <f t="shared" si="25"/>
        <v>86.600183402109124</v>
      </c>
      <c r="Z71" s="467">
        <f t="shared" si="26"/>
        <v>0</v>
      </c>
      <c r="AA71" s="467">
        <v>0.9</v>
      </c>
      <c r="AB71" s="467">
        <f t="shared" si="27"/>
        <v>128.59000000000003</v>
      </c>
      <c r="AC71" s="223"/>
      <c r="AD71" s="223"/>
      <c r="AE71" s="223"/>
      <c r="AF71" s="223"/>
      <c r="AG71" s="223"/>
      <c r="AH71" s="223"/>
      <c r="AI71" s="35"/>
    </row>
    <row r="72" spans="1:35" s="124" customFormat="1" x14ac:dyDescent="0.25">
      <c r="A72" s="334">
        <v>21</v>
      </c>
      <c r="B72" s="334"/>
      <c r="C72" s="335" t="s">
        <v>47</v>
      </c>
      <c r="D72" s="13">
        <v>1970</v>
      </c>
      <c r="E72" s="36">
        <v>2</v>
      </c>
      <c r="F72" s="36">
        <v>9</v>
      </c>
      <c r="G72" s="36">
        <v>2</v>
      </c>
      <c r="H72" s="121">
        <v>393.8</v>
      </c>
      <c r="I72" s="1042"/>
      <c r="J72" s="1042"/>
      <c r="K72" s="48">
        <v>8615.6</v>
      </c>
      <c r="L72" s="48">
        <v>7088.9</v>
      </c>
      <c r="M72" s="1049"/>
      <c r="N72" s="1049"/>
      <c r="O72" s="317">
        <f t="shared" si="23"/>
        <v>0</v>
      </c>
      <c r="P72" s="121"/>
      <c r="Q72" s="319"/>
      <c r="R72" s="309"/>
      <c r="S72" s="309"/>
      <c r="T72" s="546"/>
      <c r="U72" s="1077"/>
      <c r="V72" s="1077"/>
      <c r="W72" s="1078"/>
      <c r="X72" s="467">
        <f t="shared" si="24"/>
        <v>8615.6</v>
      </c>
      <c r="Y72" s="1071">
        <f t="shared" si="25"/>
        <v>82.279818004549881</v>
      </c>
      <c r="Z72" s="467">
        <f t="shared" si="26"/>
        <v>0</v>
      </c>
      <c r="AA72" s="467">
        <v>7</v>
      </c>
      <c r="AB72" s="467">
        <f t="shared" si="27"/>
        <v>1526.7000000000007</v>
      </c>
      <c r="AC72" s="223"/>
      <c r="AD72" s="223"/>
      <c r="AE72" s="223"/>
      <c r="AF72" s="223"/>
      <c r="AG72" s="223"/>
      <c r="AH72" s="223"/>
      <c r="AI72" s="35"/>
    </row>
    <row r="73" spans="1:35" s="124" customFormat="1" x14ac:dyDescent="0.25">
      <c r="A73" s="334">
        <v>22</v>
      </c>
      <c r="B73" s="334"/>
      <c r="C73" s="335" t="s">
        <v>48</v>
      </c>
      <c r="D73" s="13">
        <v>1970</v>
      </c>
      <c r="E73" s="36">
        <v>2</v>
      </c>
      <c r="F73" s="36">
        <v>12</v>
      </c>
      <c r="G73" s="36">
        <v>25</v>
      </c>
      <c r="H73" s="121">
        <v>462.1</v>
      </c>
      <c r="I73" s="1042"/>
      <c r="J73" s="1042"/>
      <c r="K73" s="48">
        <v>12938.8</v>
      </c>
      <c r="L73" s="48">
        <v>8628.36</v>
      </c>
      <c r="M73" s="1049"/>
      <c r="N73" s="1049"/>
      <c r="O73" s="317">
        <f t="shared" si="23"/>
        <v>0</v>
      </c>
      <c r="P73" s="121"/>
      <c r="Q73" s="319"/>
      <c r="R73" s="309"/>
      <c r="S73" s="309"/>
      <c r="T73" s="546"/>
      <c r="U73" s="1077"/>
      <c r="V73" s="1077"/>
      <c r="W73" s="1078"/>
      <c r="X73" s="467">
        <f t="shared" si="24"/>
        <v>12938.8</v>
      </c>
      <c r="Y73" s="1071">
        <f t="shared" si="25"/>
        <v>66.685936872043783</v>
      </c>
      <c r="Z73" s="467">
        <f t="shared" si="26"/>
        <v>0</v>
      </c>
      <c r="AA73" s="467"/>
      <c r="AB73" s="467">
        <f t="shared" si="27"/>
        <v>4310.4399999999987</v>
      </c>
      <c r="AC73" s="223"/>
      <c r="AD73" s="223"/>
      <c r="AE73" s="223"/>
      <c r="AF73" s="223"/>
      <c r="AG73" s="223"/>
      <c r="AH73" s="223"/>
      <c r="AI73" s="35"/>
    </row>
    <row r="74" spans="1:35" s="124" customFormat="1" x14ac:dyDescent="0.25">
      <c r="A74" s="334">
        <v>23</v>
      </c>
      <c r="B74" s="334"/>
      <c r="C74" s="42" t="s">
        <v>50</v>
      </c>
      <c r="D74" s="13">
        <v>1970</v>
      </c>
      <c r="E74" s="36">
        <v>2</v>
      </c>
      <c r="F74" s="36">
        <v>12</v>
      </c>
      <c r="G74" s="36">
        <v>30</v>
      </c>
      <c r="H74" s="121">
        <v>462.9</v>
      </c>
      <c r="I74" s="1042"/>
      <c r="J74" s="1042"/>
      <c r="K74" s="48">
        <v>12068</v>
      </c>
      <c r="L74" s="48">
        <v>11382.3</v>
      </c>
      <c r="M74" s="1049"/>
      <c r="N74" s="1049"/>
      <c r="O74" s="317">
        <f t="shared" si="23"/>
        <v>0</v>
      </c>
      <c r="P74" s="121"/>
      <c r="Q74" s="319"/>
      <c r="R74" s="309"/>
      <c r="S74" s="309"/>
      <c r="T74" s="546"/>
      <c r="U74" s="1077"/>
      <c r="V74" s="1077"/>
      <c r="W74" s="1078"/>
      <c r="X74" s="467">
        <f t="shared" si="24"/>
        <v>12068</v>
      </c>
      <c r="Y74" s="1071">
        <f t="shared" si="25"/>
        <v>94.318031156778247</v>
      </c>
      <c r="Z74" s="467">
        <f t="shared" si="26"/>
        <v>0</v>
      </c>
      <c r="AA74" s="467"/>
      <c r="AB74" s="467">
        <f t="shared" si="27"/>
        <v>685.70000000000073</v>
      </c>
      <c r="AC74" s="223"/>
      <c r="AD74" s="223"/>
      <c r="AE74" s="223"/>
      <c r="AF74" s="223"/>
      <c r="AG74" s="223"/>
      <c r="AH74" s="223"/>
      <c r="AI74" s="35"/>
    </row>
    <row r="75" spans="1:35" s="124" customFormat="1" x14ac:dyDescent="0.25">
      <c r="A75" s="334">
        <v>24</v>
      </c>
      <c r="B75" s="334"/>
      <c r="C75" s="202" t="s">
        <v>51</v>
      </c>
      <c r="D75" s="187">
        <v>1971</v>
      </c>
      <c r="E75" s="187">
        <v>2</v>
      </c>
      <c r="F75" s="187">
        <v>11</v>
      </c>
      <c r="G75" s="187">
        <v>34</v>
      </c>
      <c r="H75" s="233">
        <v>464.6</v>
      </c>
      <c r="I75" s="1043"/>
      <c r="J75" s="1043"/>
      <c r="K75" s="48">
        <v>12149.2</v>
      </c>
      <c r="L75" s="48">
        <v>9724.19</v>
      </c>
      <c r="M75" s="1049"/>
      <c r="N75" s="1049"/>
      <c r="O75" s="317">
        <f t="shared" si="23"/>
        <v>0</v>
      </c>
      <c r="P75" s="121"/>
      <c r="Q75" s="319"/>
      <c r="R75" s="309"/>
      <c r="S75" s="309"/>
      <c r="T75" s="546"/>
      <c r="U75" s="1077"/>
      <c r="V75" s="1077"/>
      <c r="W75" s="1078"/>
      <c r="X75" s="467">
        <f t="shared" si="24"/>
        <v>12149.2</v>
      </c>
      <c r="Y75" s="1071">
        <f t="shared" si="25"/>
        <v>80.039755704079283</v>
      </c>
      <c r="Z75" s="467">
        <f t="shared" si="26"/>
        <v>0</v>
      </c>
      <c r="AA75" s="467"/>
      <c r="AB75" s="467">
        <f t="shared" si="27"/>
        <v>2425.0100000000002</v>
      </c>
      <c r="AC75" s="223"/>
      <c r="AD75" s="223"/>
      <c r="AE75" s="223"/>
      <c r="AF75" s="223"/>
      <c r="AG75" s="223"/>
      <c r="AH75" s="223"/>
      <c r="AI75" s="35"/>
    </row>
    <row r="76" spans="1:35" s="124" customFormat="1" x14ac:dyDescent="0.25">
      <c r="A76" s="382"/>
      <c r="B76" s="382"/>
      <c r="C76" s="464" t="s">
        <v>52</v>
      </c>
      <c r="D76" s="57">
        <v>1961</v>
      </c>
      <c r="E76" s="57">
        <v>1</v>
      </c>
      <c r="F76" s="57">
        <v>5</v>
      </c>
      <c r="G76" s="57">
        <v>11</v>
      </c>
      <c r="H76" s="288">
        <f>SUM(H52:H75)</f>
        <v>25508.859999999993</v>
      </c>
      <c r="I76" s="1044"/>
      <c r="J76" s="1044"/>
      <c r="K76" s="465">
        <f>SUM(K52:K75)</f>
        <v>297342.57</v>
      </c>
      <c r="L76" s="465">
        <f t="shared" ref="L76:S76" si="28">SUM(L52:L75)</f>
        <v>275982.78999999992</v>
      </c>
      <c r="M76" s="1050"/>
      <c r="N76" s="1050"/>
      <c r="O76" s="465">
        <f t="shared" si="28"/>
        <v>279232.01</v>
      </c>
      <c r="P76" s="465">
        <f t="shared" si="28"/>
        <v>49968.53</v>
      </c>
      <c r="Q76" s="465">
        <f>SUM(Q52:Q75)</f>
        <v>0</v>
      </c>
      <c r="R76" s="465">
        <f t="shared" si="28"/>
        <v>0</v>
      </c>
      <c r="S76" s="465">
        <f t="shared" si="28"/>
        <v>0</v>
      </c>
      <c r="T76" s="465">
        <f>SUM(T52:T75)</f>
        <v>50000</v>
      </c>
      <c r="U76" s="465">
        <f t="shared" ref="U76" si="29">SUM(U52:U75)</f>
        <v>179263.48</v>
      </c>
      <c r="V76" s="465">
        <f t="shared" ref="V76" si="30">SUM(V52:V75)</f>
        <v>0</v>
      </c>
      <c r="W76" s="465">
        <f t="shared" ref="W76" si="31">SUM(W52:W75)</f>
        <v>0</v>
      </c>
      <c r="X76" s="1027">
        <f t="shared" si="24"/>
        <v>18110.559999999998</v>
      </c>
      <c r="Y76" s="1027">
        <f t="shared" si="25"/>
        <v>92.816440646221594</v>
      </c>
      <c r="Z76" s="1027">
        <f t="shared" si="26"/>
        <v>2.7366178849231217</v>
      </c>
      <c r="AA76" s="1080"/>
      <c r="AB76" s="1027">
        <f>SUM(AB52:AB75)</f>
        <v>21359.78</v>
      </c>
      <c r="AC76" s="223"/>
      <c r="AD76" s="223"/>
      <c r="AE76" s="223"/>
      <c r="AF76" s="223"/>
      <c r="AG76" s="223"/>
      <c r="AH76" s="223"/>
      <c r="AI76" s="35"/>
    </row>
    <row r="77" spans="1:35" s="124" customFormat="1" x14ac:dyDescent="0.25">
      <c r="A77" s="466"/>
      <c r="B77" s="466"/>
      <c r="C77" s="466"/>
      <c r="D77" s="466"/>
      <c r="E77" s="466"/>
      <c r="F77" s="466"/>
      <c r="G77" s="466"/>
      <c r="H77" s="466"/>
      <c r="I77" s="466"/>
      <c r="J77" s="466"/>
      <c r="K77" s="466"/>
      <c r="L77" s="466"/>
      <c r="M77" s="466"/>
      <c r="N77" s="466"/>
      <c r="O77" s="466"/>
      <c r="P77" s="466"/>
      <c r="Q77" s="466"/>
      <c r="R77" s="466"/>
      <c r="S77" s="466"/>
      <c r="T77" s="466"/>
      <c r="U77" s="466"/>
      <c r="V77" s="466"/>
      <c r="W77" s="466"/>
      <c r="X77" s="466"/>
      <c r="Y77" s="466"/>
      <c r="Z77" s="466"/>
      <c r="AA77" s="466"/>
      <c r="AB77" s="466"/>
      <c r="AC77" s="466"/>
      <c r="AD77" s="466"/>
      <c r="AE77" s="466"/>
      <c r="AF77" s="466"/>
      <c r="AG77" s="466"/>
      <c r="AH77" s="466"/>
      <c r="AI77" s="35"/>
    </row>
    <row r="78" spans="1:35" s="124" customFormat="1" x14ac:dyDescent="0.25">
      <c r="A78" s="466"/>
      <c r="B78" s="466"/>
      <c r="C78" s="466"/>
      <c r="D78" s="466"/>
      <c r="E78" s="466"/>
      <c r="F78" s="466"/>
      <c r="G78" s="466"/>
      <c r="H78" s="466"/>
      <c r="I78" s="466"/>
      <c r="J78" s="466"/>
      <c r="K78" s="466"/>
      <c r="L78" s="466"/>
      <c r="M78" s="466"/>
      <c r="N78" s="466"/>
      <c r="O78" s="466"/>
      <c r="P78" s="466"/>
      <c r="Q78" s="466"/>
      <c r="R78" s="466"/>
      <c r="S78" s="466"/>
      <c r="T78" s="466"/>
      <c r="U78" s="466"/>
      <c r="V78" s="466"/>
      <c r="W78" s="466"/>
      <c r="X78" s="466"/>
      <c r="Y78" s="466"/>
      <c r="Z78" s="466"/>
      <c r="AA78" s="466"/>
      <c r="AB78" s="466"/>
      <c r="AC78" s="466"/>
      <c r="AD78" s="466"/>
      <c r="AE78" s="466"/>
      <c r="AF78" s="466"/>
      <c r="AG78" s="466"/>
      <c r="AH78" s="466"/>
      <c r="AI78" s="35"/>
    </row>
    <row r="79" spans="1:35" s="124" customFormat="1" x14ac:dyDescent="0.25">
      <c r="A79" s="466"/>
      <c r="B79" s="466"/>
      <c r="C79" s="466"/>
      <c r="D79" s="466"/>
      <c r="E79" s="466"/>
      <c r="F79" s="466"/>
      <c r="G79" s="466"/>
      <c r="H79" s="466"/>
      <c r="I79" s="466"/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6"/>
      <c r="X79" s="466"/>
      <c r="Y79" s="466"/>
      <c r="Z79" s="466"/>
      <c r="AA79" s="466"/>
      <c r="AB79" s="466"/>
      <c r="AC79" s="466"/>
      <c r="AD79" s="466"/>
      <c r="AE79" s="466"/>
      <c r="AF79" s="466"/>
      <c r="AG79" s="466"/>
      <c r="AH79" s="466"/>
      <c r="AI79" s="35"/>
    </row>
    <row r="80" spans="1:35" s="124" customFormat="1" ht="15.75" x14ac:dyDescent="0.25">
      <c r="A80" s="466"/>
      <c r="B80" s="466"/>
      <c r="C80" s="222" t="s">
        <v>615</v>
      </c>
      <c r="D80" s="222"/>
      <c r="E80" s="222"/>
      <c r="F80" s="222"/>
      <c r="G80" s="222"/>
      <c r="H80" s="222"/>
      <c r="I80" s="222"/>
      <c r="J80" s="222"/>
      <c r="K80" s="466"/>
      <c r="L80" s="466"/>
      <c r="M80" s="466"/>
      <c r="N80" s="466"/>
      <c r="O80" s="466"/>
      <c r="P80" s="466"/>
      <c r="Q80" s="466"/>
      <c r="R80" s="466"/>
      <c r="S80" s="466"/>
      <c r="T80" s="466"/>
      <c r="U80" s="466"/>
      <c r="V80" s="466"/>
      <c r="W80" s="466"/>
      <c r="X80" s="466"/>
      <c r="Y80" s="466"/>
      <c r="Z80" s="466"/>
      <c r="AA80" s="466"/>
      <c r="AB80" s="466"/>
      <c r="AC80" s="466"/>
      <c r="AD80" s="466"/>
      <c r="AE80" s="466"/>
      <c r="AF80" s="466"/>
      <c r="AG80" s="466"/>
      <c r="AH80" s="466"/>
      <c r="AI80" s="35"/>
    </row>
    <row r="81" spans="1:554" s="124" customFormat="1" x14ac:dyDescent="0.25">
      <c r="A81" s="466"/>
      <c r="B81" s="466"/>
      <c r="C81" s="466"/>
      <c r="D81" s="466"/>
      <c r="E81" s="466"/>
      <c r="F81" s="466"/>
      <c r="G81" s="466"/>
      <c r="H81" s="466"/>
      <c r="I81" s="466"/>
      <c r="J81" s="466"/>
      <c r="K81" s="466"/>
      <c r="L81" s="466"/>
      <c r="M81" s="466"/>
      <c r="N81" s="466"/>
      <c r="O81" s="466"/>
      <c r="P81" s="466"/>
      <c r="Q81" s="466"/>
      <c r="R81" s="466"/>
      <c r="S81" s="466"/>
      <c r="T81" s="466"/>
      <c r="U81" s="466"/>
      <c r="V81" s="466"/>
      <c r="W81" s="466"/>
      <c r="X81" s="466"/>
      <c r="Y81" s="466"/>
      <c r="Z81" s="466"/>
      <c r="AA81" s="466"/>
      <c r="AB81" s="466"/>
      <c r="AC81" s="466"/>
      <c r="AD81" s="466"/>
      <c r="AE81" s="466"/>
      <c r="AF81" s="466"/>
      <c r="AG81" s="466"/>
      <c r="AH81" s="466"/>
      <c r="AI81" s="35"/>
    </row>
    <row r="82" spans="1:554" s="124" customFormat="1" ht="15.75" customHeight="1" x14ac:dyDescent="0.25">
      <c r="A82" s="466"/>
      <c r="B82" s="466"/>
      <c r="C82" s="466"/>
      <c r="D82" s="466"/>
      <c r="E82" s="466"/>
      <c r="F82" s="466"/>
      <c r="G82" s="466"/>
      <c r="H82" s="466"/>
      <c r="I82" s="466"/>
      <c r="J82" s="466"/>
      <c r="K82" s="466"/>
      <c r="L82" s="466"/>
      <c r="M82" s="466"/>
      <c r="N82" s="466"/>
      <c r="O82" s="466"/>
      <c r="P82" s="466"/>
      <c r="Q82" s="466"/>
      <c r="R82" s="466"/>
      <c r="S82" s="466"/>
      <c r="T82" s="466"/>
      <c r="U82" s="466"/>
      <c r="V82" s="466"/>
      <c r="W82" s="466"/>
      <c r="X82" s="466"/>
      <c r="Y82" s="466"/>
      <c r="Z82" s="466"/>
      <c r="AA82" s="466"/>
      <c r="AB82" s="466"/>
      <c r="AC82" s="466"/>
      <c r="AD82" s="466"/>
      <c r="AE82" s="466"/>
      <c r="AF82" s="466"/>
      <c r="AG82" s="466"/>
      <c r="AH82" s="466"/>
      <c r="AI82" s="35"/>
    </row>
    <row r="83" spans="1:554" s="124" customFormat="1" ht="18.75" customHeight="1" x14ac:dyDescent="0.25">
      <c r="A83" s="466"/>
      <c r="B83" s="466"/>
      <c r="C83" s="466"/>
      <c r="D83" s="466"/>
      <c r="E83" s="466"/>
      <c r="F83" s="466"/>
      <c r="G83" s="466"/>
      <c r="H83" s="466"/>
      <c r="I83" s="466"/>
      <c r="J83" s="466"/>
      <c r="K83" s="466"/>
      <c r="L83" s="466"/>
      <c r="M83" s="466"/>
      <c r="N83" s="466"/>
      <c r="O83" s="466"/>
      <c r="P83" s="466"/>
      <c r="Q83" s="466"/>
      <c r="R83" s="466"/>
      <c r="S83" s="466"/>
      <c r="T83" s="466"/>
      <c r="U83" s="466"/>
      <c r="V83" s="466"/>
      <c r="W83" s="466"/>
      <c r="X83" s="466"/>
      <c r="Y83" s="466"/>
      <c r="Z83" s="466"/>
      <c r="AA83" s="466"/>
      <c r="AB83" s="466"/>
      <c r="AC83" s="466"/>
      <c r="AD83" s="466"/>
      <c r="AE83" s="466"/>
      <c r="AF83" s="466"/>
      <c r="AG83" s="466"/>
      <c r="AH83" s="466"/>
      <c r="AI83" s="466"/>
      <c r="AJ83" s="466"/>
      <c r="AK83" s="466"/>
      <c r="AL83" s="466"/>
      <c r="AM83" s="466"/>
      <c r="AN83" s="466"/>
      <c r="AO83" s="466"/>
      <c r="AP83" s="466"/>
      <c r="AQ83" s="466"/>
      <c r="AR83" s="466"/>
      <c r="AS83" s="466"/>
      <c r="AT83" s="466"/>
      <c r="AU83" s="466"/>
      <c r="AV83" s="466"/>
      <c r="AW83" s="466"/>
      <c r="AX83" s="466"/>
      <c r="AY83" s="466"/>
      <c r="AZ83" s="466"/>
      <c r="BA83" s="466"/>
      <c r="BB83" s="466"/>
    </row>
    <row r="84" spans="1:554" s="124" customFormat="1" ht="27.75" customHeight="1" x14ac:dyDescent="0.25">
      <c r="A84" s="2017" t="s">
        <v>0</v>
      </c>
      <c r="B84" s="2020"/>
      <c r="C84" s="2017" t="s">
        <v>184</v>
      </c>
      <c r="D84" s="2017" t="s">
        <v>54</v>
      </c>
      <c r="E84" s="2017" t="s">
        <v>55</v>
      </c>
      <c r="F84" s="2017" t="s">
        <v>56</v>
      </c>
      <c r="G84" s="2017" t="s">
        <v>57</v>
      </c>
      <c r="H84" s="2017" t="s">
        <v>6</v>
      </c>
      <c r="I84" s="1051"/>
      <c r="J84" s="1051"/>
      <c r="K84" s="1989" t="s">
        <v>558</v>
      </c>
      <c r="L84" s="1990"/>
      <c r="M84" s="615"/>
      <c r="N84" s="615"/>
      <c r="O84" s="1987" t="s">
        <v>457</v>
      </c>
      <c r="P84" s="2009" t="s">
        <v>332</v>
      </c>
      <c r="Q84" s="1987" t="s">
        <v>333</v>
      </c>
      <c r="R84" s="2003" t="s">
        <v>313</v>
      </c>
      <c r="S84" s="1987" t="s">
        <v>554</v>
      </c>
      <c r="T84" s="1987" t="s">
        <v>175</v>
      </c>
      <c r="U84" s="1987" t="s">
        <v>183</v>
      </c>
      <c r="V84" s="2108" t="s">
        <v>182</v>
      </c>
      <c r="W84" s="2277" t="s">
        <v>544</v>
      </c>
      <c r="X84" s="2277" t="s">
        <v>506</v>
      </c>
      <c r="Y84" s="2257" t="s">
        <v>566</v>
      </c>
      <c r="Z84" s="466"/>
      <c r="AA84" s="466"/>
      <c r="AB84" s="466"/>
      <c r="AC84" s="466"/>
      <c r="AD84" s="466"/>
      <c r="AE84" s="466"/>
      <c r="AF84" s="466"/>
      <c r="AG84" s="466"/>
      <c r="AH84" s="466"/>
      <c r="AI84" s="466"/>
      <c r="AJ84" s="466"/>
      <c r="AK84" s="466"/>
      <c r="AL84" s="466"/>
      <c r="AM84" s="466"/>
      <c r="AN84" s="466"/>
      <c r="AO84" s="466"/>
      <c r="AP84" s="466"/>
      <c r="AQ84" s="466"/>
      <c r="AR84" s="466"/>
      <c r="AS84" s="466"/>
      <c r="AT84" s="466"/>
      <c r="AU84" s="466"/>
      <c r="AV84" s="466"/>
      <c r="AW84" s="466"/>
      <c r="AX84" s="466"/>
      <c r="AY84" s="466"/>
      <c r="AZ84" s="466"/>
      <c r="BA84" s="466"/>
      <c r="BB84" s="466"/>
    </row>
    <row r="85" spans="1:554" s="124" customFormat="1" ht="21" customHeight="1" x14ac:dyDescent="0.25">
      <c r="A85" s="2017"/>
      <c r="B85" s="2021"/>
      <c r="C85" s="2017"/>
      <c r="D85" s="2017"/>
      <c r="E85" s="2017"/>
      <c r="F85" s="2017"/>
      <c r="G85" s="2017"/>
      <c r="H85" s="2017"/>
      <c r="I85" s="1038"/>
      <c r="J85" s="1038"/>
      <c r="K85" s="150" t="s">
        <v>15</v>
      </c>
      <c r="L85" s="232" t="s">
        <v>16</v>
      </c>
      <c r="M85" s="1045"/>
      <c r="N85" s="1045"/>
      <c r="O85" s="1988"/>
      <c r="P85" s="2009"/>
      <c r="Q85" s="1988"/>
      <c r="R85" s="2004"/>
      <c r="S85" s="1988"/>
      <c r="T85" s="1988"/>
      <c r="U85" s="1988"/>
      <c r="V85" s="2108"/>
      <c r="W85" s="2277"/>
      <c r="X85" s="2277"/>
      <c r="Y85" s="2258"/>
      <c r="Z85" s="466"/>
      <c r="AA85" s="466"/>
      <c r="AB85" s="466"/>
      <c r="AC85" s="466"/>
      <c r="AD85" s="466"/>
      <c r="AE85" s="466"/>
      <c r="AF85" s="466"/>
      <c r="AG85" s="466"/>
      <c r="AH85" s="466"/>
      <c r="AI85" s="466"/>
      <c r="AJ85" s="466"/>
      <c r="AK85" s="466"/>
      <c r="AL85" s="466"/>
      <c r="AM85" s="466"/>
      <c r="AN85" s="466"/>
      <c r="AO85" s="466"/>
      <c r="AP85" s="466"/>
      <c r="AQ85" s="466"/>
      <c r="AR85" s="466"/>
      <c r="AS85" s="466"/>
      <c r="AT85" s="466"/>
      <c r="AU85" s="466"/>
      <c r="AV85" s="466"/>
      <c r="AW85" s="466"/>
      <c r="AX85" s="466"/>
      <c r="AY85" s="466"/>
      <c r="AZ85" s="466"/>
      <c r="BA85" s="466"/>
      <c r="BB85" s="466"/>
    </row>
    <row r="86" spans="1:554" x14ac:dyDescent="0.25">
      <c r="A86" s="331">
        <v>1</v>
      </c>
      <c r="B86" s="331"/>
      <c r="C86" s="332" t="s">
        <v>29</v>
      </c>
      <c r="D86" s="331">
        <v>1985</v>
      </c>
      <c r="E86" s="331">
        <v>4</v>
      </c>
      <c r="F86" s="331">
        <v>48</v>
      </c>
      <c r="G86" s="336">
        <v>106</v>
      </c>
      <c r="H86" s="325">
        <v>2625.8</v>
      </c>
      <c r="I86" s="1052"/>
      <c r="J86" s="1052"/>
      <c r="K86" s="338">
        <v>26678.240000000002</v>
      </c>
      <c r="L86" s="338">
        <v>23869.21</v>
      </c>
      <c r="M86" s="1055"/>
      <c r="N86" s="1055"/>
      <c r="O86" s="61">
        <f>P86+Q86+R86+S86</f>
        <v>22864.79503600355</v>
      </c>
      <c r="P86" s="322">
        <v>262.22000000000003</v>
      </c>
      <c r="Q86" s="313">
        <f>709.5/16754.38*H86</f>
        <v>111.19510838359881</v>
      </c>
      <c r="R86" s="313">
        <f>125864.72/2115.5*X86</f>
        <v>18711.63055542425</v>
      </c>
      <c r="S86" s="313">
        <f>R86*0.202</f>
        <v>3779.7493721956989</v>
      </c>
      <c r="T86" s="313">
        <f>K86-O86</f>
        <v>3813.4449639964514</v>
      </c>
      <c r="U86" s="313">
        <f>L86/K86*100</f>
        <v>89.470707213069517</v>
      </c>
      <c r="V86" s="313">
        <f>O86/H86/4</f>
        <v>2.1769360800521316</v>
      </c>
      <c r="W86" s="313">
        <v>2.54</v>
      </c>
      <c r="X86" s="194">
        <v>314.5</v>
      </c>
      <c r="Y86" s="1081">
        <f>K86-L86</f>
        <v>2809.0300000000025</v>
      </c>
      <c r="Z86" s="466"/>
      <c r="AA86" s="466"/>
      <c r="AB86" s="466"/>
      <c r="AC86" s="466"/>
      <c r="AD86" s="466"/>
      <c r="AE86" s="466"/>
      <c r="AF86" s="466"/>
      <c r="AG86" s="466"/>
      <c r="AH86" s="466"/>
      <c r="AI86" s="466"/>
      <c r="AJ86" s="466"/>
      <c r="AK86" s="466"/>
      <c r="AL86" s="466"/>
      <c r="AM86" s="466"/>
      <c r="AN86" s="466"/>
      <c r="AO86" s="466"/>
      <c r="AP86" s="466"/>
      <c r="AQ86" s="466"/>
      <c r="AR86" s="466"/>
      <c r="AS86" s="466"/>
      <c r="AT86" s="466"/>
      <c r="AU86" s="466"/>
      <c r="AV86" s="466"/>
      <c r="AW86" s="466"/>
      <c r="AX86" s="466"/>
      <c r="AY86" s="466"/>
      <c r="AZ86" s="466"/>
      <c r="BA86" s="466"/>
      <c r="BB86" s="466"/>
    </row>
    <row r="87" spans="1:554" x14ac:dyDescent="0.25">
      <c r="A87" s="331">
        <v>2</v>
      </c>
      <c r="B87" s="331"/>
      <c r="C87" s="332" t="s">
        <v>35</v>
      </c>
      <c r="D87" s="331">
        <v>1978</v>
      </c>
      <c r="E87" s="331">
        <v>3</v>
      </c>
      <c r="F87" s="331">
        <v>24</v>
      </c>
      <c r="G87" s="336">
        <v>68</v>
      </c>
      <c r="H87" s="325">
        <v>1443.9</v>
      </c>
      <c r="I87" s="1052"/>
      <c r="J87" s="1052"/>
      <c r="K87" s="338">
        <v>14727.96</v>
      </c>
      <c r="L87" s="338">
        <v>14123.36</v>
      </c>
      <c r="M87" s="1055"/>
      <c r="N87" s="1055"/>
      <c r="O87" s="61">
        <f t="shared" ref="O87:O92" si="32">P87+Q87+R87+S87</f>
        <v>12902.804549667755</v>
      </c>
      <c r="P87" s="322">
        <v>262.22000000000003</v>
      </c>
      <c r="Q87" s="313">
        <f t="shared" ref="Q87:Q92" si="33">709.5/16754.38*H87</f>
        <v>61.145028941685702</v>
      </c>
      <c r="R87" s="313">
        <f t="shared" ref="R87:R92" si="34">125864.72/2115.5*X87</f>
        <v>10465.423894114867</v>
      </c>
      <c r="S87" s="313">
        <f t="shared" ref="S87:S92" si="35">R87*0.202</f>
        <v>2114.0156266112031</v>
      </c>
      <c r="T87" s="313">
        <f t="shared" ref="T87:T92" si="36">K87-O87</f>
        <v>1825.1554503322441</v>
      </c>
      <c r="U87" s="313">
        <f t="shared" ref="U87:U93" si="37">L87/K87*100</f>
        <v>95.894882930154623</v>
      </c>
      <c r="V87" s="313">
        <f t="shared" ref="V87:V92" si="38">O87/H87/4</f>
        <v>2.2340197641228192</v>
      </c>
      <c r="W87" s="313">
        <v>2.5499999999999998</v>
      </c>
      <c r="X87" s="194">
        <v>175.9</v>
      </c>
      <c r="Y87" s="1081">
        <f t="shared" ref="Y87:Y92" si="39">K87-L87</f>
        <v>604.59999999999854</v>
      </c>
      <c r="Z87" s="466"/>
      <c r="AA87" s="466"/>
      <c r="AB87" s="466"/>
      <c r="AC87" s="466"/>
      <c r="AD87" s="466"/>
      <c r="AE87" s="466"/>
      <c r="AF87" s="466"/>
      <c r="AG87" s="466"/>
      <c r="AH87" s="466"/>
      <c r="AI87" s="466"/>
      <c r="AJ87" s="466"/>
      <c r="AK87" s="466"/>
      <c r="AL87" s="466"/>
      <c r="AM87" s="466"/>
      <c r="AN87" s="466"/>
      <c r="AO87" s="466"/>
      <c r="AP87" s="466"/>
      <c r="AQ87" s="466"/>
      <c r="AR87" s="466"/>
      <c r="AS87" s="466"/>
      <c r="AT87" s="466"/>
      <c r="AU87" s="466"/>
      <c r="AV87" s="466"/>
      <c r="AW87" s="466"/>
      <c r="AX87" s="466"/>
      <c r="AY87" s="466"/>
      <c r="AZ87" s="466"/>
      <c r="BA87" s="466"/>
      <c r="BB87" s="466"/>
    </row>
    <row r="88" spans="1:554" x14ac:dyDescent="0.25">
      <c r="A88" s="331">
        <v>3</v>
      </c>
      <c r="B88" s="331"/>
      <c r="C88" s="332" t="s">
        <v>36</v>
      </c>
      <c r="D88" s="331">
        <v>1979</v>
      </c>
      <c r="E88" s="331">
        <v>5</v>
      </c>
      <c r="F88" s="331">
        <v>60</v>
      </c>
      <c r="G88" s="126">
        <v>181</v>
      </c>
      <c r="H88" s="325">
        <v>3240.38</v>
      </c>
      <c r="I88" s="1052"/>
      <c r="J88" s="1052"/>
      <c r="K88" s="338">
        <v>32786.92</v>
      </c>
      <c r="L88" s="338">
        <v>31591.72</v>
      </c>
      <c r="M88" s="1055"/>
      <c r="N88" s="1055"/>
      <c r="O88" s="61">
        <f t="shared" si="32"/>
        <v>28662.058767658451</v>
      </c>
      <c r="P88" s="322">
        <v>262.22000000000003</v>
      </c>
      <c r="Q88" s="313">
        <f t="shared" si="33"/>
        <v>137.22081091630966</v>
      </c>
      <c r="R88" s="313">
        <f t="shared" si="34"/>
        <v>23512.993308437723</v>
      </c>
      <c r="S88" s="313">
        <f t="shared" si="35"/>
        <v>4749.6246483044206</v>
      </c>
      <c r="T88" s="313">
        <f t="shared" si="36"/>
        <v>4124.8612323415473</v>
      </c>
      <c r="U88" s="313">
        <f t="shared" si="37"/>
        <v>96.354643864077516</v>
      </c>
      <c r="V88" s="313">
        <f t="shared" si="38"/>
        <v>2.2113192563571595</v>
      </c>
      <c r="W88" s="313">
        <v>2.5299999999999998</v>
      </c>
      <c r="X88" s="194">
        <v>395.2</v>
      </c>
      <c r="Y88" s="1081">
        <f t="shared" si="39"/>
        <v>1195.1999999999971</v>
      </c>
      <c r="Z88" s="466"/>
      <c r="AA88" s="466"/>
      <c r="AB88" s="466"/>
      <c r="AC88" s="466"/>
      <c r="AD88" s="466"/>
      <c r="AE88" s="466"/>
      <c r="AF88" s="466"/>
      <c r="AG88" s="466"/>
      <c r="AH88" s="466"/>
      <c r="AI88" s="466"/>
      <c r="AJ88" s="466"/>
      <c r="AK88" s="466"/>
      <c r="AL88" s="466"/>
      <c r="AM88" s="466"/>
      <c r="AN88" s="466"/>
      <c r="AO88" s="466"/>
      <c r="AP88" s="466"/>
      <c r="AQ88" s="466"/>
      <c r="AR88" s="466"/>
      <c r="AS88" s="466"/>
      <c r="AT88" s="466"/>
      <c r="AU88" s="466"/>
      <c r="AV88" s="466"/>
      <c r="AW88" s="466"/>
      <c r="AX88" s="466"/>
      <c r="AY88" s="466"/>
      <c r="AZ88" s="466"/>
      <c r="BA88" s="466"/>
      <c r="BB88" s="466"/>
    </row>
    <row r="89" spans="1:554" x14ac:dyDescent="0.25">
      <c r="A89" s="331">
        <v>4</v>
      </c>
      <c r="B89" s="331"/>
      <c r="C89" s="332" t="s">
        <v>37</v>
      </c>
      <c r="D89" s="331">
        <v>1981</v>
      </c>
      <c r="E89" s="331">
        <v>5</v>
      </c>
      <c r="F89" s="331">
        <v>60</v>
      </c>
      <c r="G89" s="336">
        <v>163</v>
      </c>
      <c r="H89" s="325">
        <v>3236.3</v>
      </c>
      <c r="I89" s="1052"/>
      <c r="J89" s="1052"/>
      <c r="K89" s="338">
        <v>32755.38</v>
      </c>
      <c r="L89" s="338">
        <v>31924.46</v>
      </c>
      <c r="M89" s="1055"/>
      <c r="N89" s="1055"/>
      <c r="O89" s="61">
        <f t="shared" si="32"/>
        <v>28491.574214105258</v>
      </c>
      <c r="P89" s="322">
        <v>149.12</v>
      </c>
      <c r="Q89" s="313">
        <f t="shared" si="33"/>
        <v>137.04803460348876</v>
      </c>
      <c r="R89" s="313">
        <f t="shared" si="34"/>
        <v>23465.39615599149</v>
      </c>
      <c r="S89" s="313">
        <f t="shared" si="35"/>
        <v>4740.0100235102809</v>
      </c>
      <c r="T89" s="313">
        <f t="shared" si="36"/>
        <v>4263.8057858947432</v>
      </c>
      <c r="U89" s="313">
        <f t="shared" si="37"/>
        <v>97.463256417724352</v>
      </c>
      <c r="V89" s="313">
        <f t="shared" si="38"/>
        <v>2.200937352385846</v>
      </c>
      <c r="W89" s="313">
        <v>2.5299999999999998</v>
      </c>
      <c r="X89" s="194">
        <v>394.4</v>
      </c>
      <c r="Y89" s="1081">
        <f t="shared" si="39"/>
        <v>830.92000000000189</v>
      </c>
      <c r="Z89" s="466"/>
      <c r="AA89" s="466"/>
      <c r="AB89" s="466"/>
      <c r="AC89" s="466"/>
      <c r="AD89" s="466"/>
      <c r="AE89" s="466"/>
      <c r="AF89" s="466"/>
      <c r="AG89" s="466"/>
      <c r="AH89" s="466"/>
      <c r="AI89" s="466"/>
      <c r="AJ89" s="466"/>
      <c r="AK89" s="466"/>
      <c r="AL89" s="466"/>
      <c r="AM89" s="466"/>
      <c r="AN89" s="466"/>
      <c r="AO89" s="466"/>
      <c r="AP89" s="466"/>
      <c r="AQ89" s="466"/>
      <c r="AR89" s="466"/>
      <c r="AS89" s="466"/>
      <c r="AT89" s="466"/>
      <c r="AU89" s="466"/>
      <c r="AV89" s="466"/>
      <c r="AW89" s="466"/>
      <c r="AX89" s="466"/>
      <c r="AY89" s="466"/>
      <c r="AZ89" s="466"/>
      <c r="BA89" s="466"/>
      <c r="BB89" s="466"/>
    </row>
    <row r="90" spans="1:554" x14ac:dyDescent="0.25">
      <c r="A90" s="331">
        <v>5</v>
      </c>
      <c r="B90" s="331"/>
      <c r="C90" s="332" t="s">
        <v>38</v>
      </c>
      <c r="D90" s="331">
        <v>1981</v>
      </c>
      <c r="E90" s="331">
        <v>5</v>
      </c>
      <c r="F90" s="331">
        <v>60</v>
      </c>
      <c r="G90" s="126">
        <v>184</v>
      </c>
      <c r="H90" s="325">
        <v>3273.8</v>
      </c>
      <c r="I90" s="1052"/>
      <c r="J90" s="1052"/>
      <c r="K90" s="338">
        <v>32769.96</v>
      </c>
      <c r="L90" s="338">
        <v>29825.34</v>
      </c>
      <c r="M90" s="1055"/>
      <c r="N90" s="1055"/>
      <c r="O90" s="61">
        <f t="shared" si="32"/>
        <v>28541.878982290924</v>
      </c>
      <c r="P90" s="322">
        <v>262.2</v>
      </c>
      <c r="Q90" s="313">
        <f t="shared" si="33"/>
        <v>138.63605218456308</v>
      </c>
      <c r="R90" s="313">
        <f t="shared" si="34"/>
        <v>23411.849359489483</v>
      </c>
      <c r="S90" s="313">
        <f t="shared" si="35"/>
        <v>4729.1935706168761</v>
      </c>
      <c r="T90" s="313">
        <f t="shared" si="36"/>
        <v>4228.0810177090752</v>
      </c>
      <c r="U90" s="313">
        <f t="shared" si="37"/>
        <v>91.014270386659007</v>
      </c>
      <c r="V90" s="313">
        <f t="shared" si="38"/>
        <v>2.1795680083000581</v>
      </c>
      <c r="W90" s="313">
        <v>2.5299999999999998</v>
      </c>
      <c r="X90" s="194">
        <v>393.5</v>
      </c>
      <c r="Y90" s="1081">
        <f t="shared" si="39"/>
        <v>2944.619999999999</v>
      </c>
      <c r="Z90" s="466"/>
      <c r="AA90" s="466"/>
      <c r="AB90" s="466"/>
      <c r="AC90" s="466"/>
      <c r="AD90" s="466"/>
      <c r="AE90" s="466"/>
      <c r="AF90" s="466"/>
      <c r="AG90" s="466"/>
      <c r="AH90" s="466"/>
      <c r="AI90" s="466"/>
      <c r="AJ90" s="466"/>
      <c r="AK90" s="466"/>
      <c r="AL90" s="466"/>
      <c r="AM90" s="466"/>
      <c r="AN90" s="466"/>
      <c r="AO90" s="466"/>
      <c r="AP90" s="466"/>
      <c r="AQ90" s="466"/>
      <c r="AR90" s="466"/>
      <c r="AS90" s="466"/>
      <c r="AT90" s="466"/>
      <c r="AU90" s="466"/>
      <c r="AV90" s="466"/>
      <c r="AW90" s="466"/>
      <c r="AX90" s="466"/>
      <c r="AY90" s="466"/>
      <c r="AZ90" s="466"/>
      <c r="BA90" s="466"/>
      <c r="BB90" s="466"/>
      <c r="BC90" s="250"/>
      <c r="BD90" s="250"/>
      <c r="BE90" s="250"/>
      <c r="BF90" s="250"/>
      <c r="BG90" s="250"/>
      <c r="BH90" s="250"/>
      <c r="BI90" s="250"/>
      <c r="BJ90" s="250"/>
      <c r="BK90" s="250"/>
      <c r="BL90" s="250"/>
      <c r="BM90" s="250"/>
      <c r="BN90" s="250"/>
      <c r="BO90" s="250"/>
      <c r="BP90" s="250"/>
      <c r="BQ90" s="250"/>
      <c r="BR90" s="250"/>
      <c r="BS90" s="250"/>
      <c r="BT90" s="250"/>
      <c r="BU90" s="250"/>
      <c r="BV90" s="250"/>
      <c r="BW90" s="250"/>
      <c r="BX90" s="250"/>
      <c r="BY90" s="250"/>
      <c r="BZ90" s="250"/>
      <c r="CA90" s="250"/>
      <c r="CB90" s="250"/>
      <c r="CC90" s="250"/>
      <c r="CD90" s="250"/>
      <c r="CE90" s="250"/>
      <c r="CF90" s="250"/>
      <c r="CG90" s="250"/>
      <c r="CH90" s="250"/>
      <c r="CI90" s="250"/>
      <c r="CJ90" s="250"/>
      <c r="CK90" s="250"/>
      <c r="CL90" s="250"/>
      <c r="CM90" s="250"/>
      <c r="CN90" s="250"/>
      <c r="CO90" s="250"/>
      <c r="CP90" s="250"/>
      <c r="CQ90" s="250"/>
      <c r="CR90" s="250"/>
      <c r="CS90" s="250"/>
      <c r="CT90" s="250"/>
      <c r="CU90" s="250"/>
      <c r="CV90" s="250"/>
      <c r="CW90" s="250"/>
      <c r="CX90" s="250"/>
      <c r="CY90" s="250"/>
      <c r="CZ90" s="250"/>
      <c r="DA90" s="250"/>
      <c r="DB90" s="250"/>
      <c r="DC90" s="250"/>
      <c r="DD90" s="250"/>
      <c r="DE90" s="250"/>
      <c r="DF90" s="250"/>
      <c r="DG90" s="250"/>
      <c r="DH90" s="250"/>
      <c r="DI90" s="250"/>
      <c r="DJ90" s="250"/>
      <c r="DK90" s="250"/>
      <c r="DL90" s="250"/>
      <c r="DM90" s="250"/>
      <c r="DN90" s="250"/>
      <c r="DO90" s="250"/>
      <c r="DP90" s="250"/>
      <c r="DQ90" s="250"/>
      <c r="DR90" s="250"/>
      <c r="DS90" s="250"/>
      <c r="DT90" s="250"/>
      <c r="DU90" s="250"/>
      <c r="DV90" s="250"/>
      <c r="DW90" s="250"/>
      <c r="DX90" s="250"/>
      <c r="DY90" s="250"/>
      <c r="DZ90" s="250"/>
      <c r="EA90" s="250"/>
      <c r="EB90" s="250"/>
      <c r="EC90" s="250"/>
      <c r="ED90" s="250"/>
      <c r="EE90" s="250"/>
      <c r="EF90" s="250"/>
      <c r="EG90" s="250"/>
      <c r="EH90" s="250"/>
      <c r="EI90" s="250"/>
      <c r="EJ90" s="250"/>
      <c r="EK90" s="250"/>
      <c r="EL90" s="250"/>
      <c r="EM90" s="250"/>
      <c r="EN90" s="250"/>
      <c r="EO90" s="250"/>
      <c r="EP90" s="250"/>
      <c r="EQ90" s="250"/>
      <c r="ER90" s="250"/>
      <c r="ES90" s="250"/>
      <c r="ET90" s="250"/>
      <c r="EU90" s="250"/>
      <c r="EV90" s="250"/>
      <c r="EW90" s="250"/>
      <c r="EX90" s="250"/>
      <c r="EY90" s="250"/>
      <c r="EZ90" s="250"/>
      <c r="FA90" s="250"/>
      <c r="FB90" s="250"/>
      <c r="FC90" s="250"/>
      <c r="FD90" s="250"/>
      <c r="FE90" s="250"/>
      <c r="FF90" s="250"/>
      <c r="FG90" s="250"/>
      <c r="FH90" s="250"/>
      <c r="FI90" s="250"/>
      <c r="FJ90" s="250"/>
      <c r="FK90" s="250"/>
      <c r="FL90" s="250"/>
      <c r="FM90" s="250"/>
      <c r="FN90" s="250"/>
      <c r="FO90" s="250"/>
      <c r="FP90" s="250"/>
      <c r="FQ90" s="250"/>
      <c r="FR90" s="250"/>
      <c r="FS90" s="250"/>
      <c r="FT90" s="250"/>
      <c r="FU90" s="250"/>
      <c r="FV90" s="250"/>
      <c r="FW90" s="250"/>
      <c r="FX90" s="250"/>
      <c r="FY90" s="250"/>
      <c r="FZ90" s="250"/>
      <c r="GA90" s="250"/>
      <c r="GB90" s="250"/>
      <c r="GC90" s="250"/>
      <c r="GD90" s="250"/>
      <c r="GE90" s="250"/>
      <c r="GF90" s="250"/>
      <c r="GG90" s="250"/>
      <c r="GH90" s="250"/>
      <c r="GI90" s="250"/>
      <c r="GJ90" s="250"/>
      <c r="GK90" s="250"/>
      <c r="GL90" s="250"/>
      <c r="GM90" s="250"/>
      <c r="GN90" s="250"/>
      <c r="GO90" s="250"/>
      <c r="GP90" s="250"/>
      <c r="GQ90" s="250"/>
      <c r="GR90" s="250"/>
      <c r="GS90" s="250"/>
      <c r="GT90" s="250"/>
      <c r="GU90" s="250"/>
      <c r="GV90" s="250"/>
      <c r="GW90" s="250"/>
      <c r="GX90" s="250"/>
      <c r="GY90" s="250"/>
      <c r="GZ90" s="250"/>
      <c r="HA90" s="250"/>
      <c r="HB90" s="250"/>
      <c r="HC90" s="250"/>
      <c r="HD90" s="250"/>
      <c r="HE90" s="250"/>
      <c r="HF90" s="250"/>
      <c r="HG90" s="250"/>
      <c r="HH90" s="250"/>
      <c r="HI90" s="250"/>
      <c r="HJ90" s="250"/>
      <c r="HK90" s="250"/>
      <c r="HL90" s="250"/>
      <c r="HM90" s="250"/>
      <c r="HN90" s="250"/>
      <c r="HO90" s="250"/>
      <c r="HP90" s="250"/>
      <c r="HQ90" s="250"/>
      <c r="HR90" s="250"/>
      <c r="HS90" s="250"/>
      <c r="HT90" s="250"/>
      <c r="HU90" s="250"/>
      <c r="HV90" s="250"/>
      <c r="HW90" s="250"/>
      <c r="HX90" s="250"/>
      <c r="HY90" s="250"/>
      <c r="HZ90" s="250"/>
      <c r="IA90" s="250"/>
      <c r="IB90" s="250"/>
      <c r="IC90" s="250"/>
      <c r="ID90" s="250"/>
      <c r="IE90" s="250"/>
      <c r="IF90" s="250"/>
      <c r="IG90" s="250"/>
      <c r="IH90" s="250"/>
      <c r="II90" s="250"/>
      <c r="IJ90" s="250"/>
      <c r="IK90" s="250"/>
      <c r="IL90" s="250"/>
      <c r="IM90" s="250"/>
      <c r="IN90" s="250"/>
      <c r="IO90" s="250"/>
      <c r="IP90" s="250"/>
      <c r="IQ90" s="250"/>
      <c r="IR90" s="250"/>
      <c r="IS90" s="250"/>
      <c r="IT90" s="250"/>
      <c r="IU90" s="250"/>
      <c r="IV90" s="250"/>
      <c r="IW90" s="250"/>
      <c r="IX90" s="250"/>
      <c r="IY90" s="250"/>
      <c r="IZ90" s="250"/>
      <c r="JA90" s="250"/>
      <c r="JB90" s="250"/>
      <c r="JC90" s="250"/>
      <c r="JD90" s="250"/>
      <c r="JE90" s="250"/>
      <c r="JF90" s="250"/>
      <c r="JG90" s="250"/>
      <c r="JH90" s="250"/>
      <c r="JI90" s="250"/>
      <c r="JJ90" s="250"/>
      <c r="JK90" s="250"/>
      <c r="JL90" s="250"/>
      <c r="JM90" s="250"/>
      <c r="JN90" s="250"/>
      <c r="JO90" s="250"/>
      <c r="JP90" s="250"/>
      <c r="JQ90" s="250"/>
      <c r="JR90" s="250"/>
      <c r="JS90" s="250"/>
      <c r="JT90" s="250"/>
      <c r="JU90" s="250"/>
      <c r="JV90" s="250"/>
      <c r="JW90" s="250"/>
      <c r="JX90" s="250"/>
      <c r="JY90" s="250"/>
      <c r="JZ90" s="250"/>
      <c r="KA90" s="250"/>
      <c r="KB90" s="250"/>
      <c r="KC90" s="250"/>
      <c r="KD90" s="250"/>
      <c r="KE90" s="250"/>
      <c r="KF90" s="250"/>
      <c r="KG90" s="250"/>
      <c r="KH90" s="250"/>
      <c r="KI90" s="250"/>
      <c r="KJ90" s="250"/>
      <c r="KK90" s="250"/>
      <c r="KL90" s="250"/>
      <c r="KM90" s="250"/>
      <c r="KN90" s="250"/>
      <c r="KO90" s="250"/>
      <c r="KP90" s="250"/>
      <c r="KQ90" s="250"/>
      <c r="KR90" s="250"/>
      <c r="KS90" s="250"/>
      <c r="KT90" s="250"/>
      <c r="KU90" s="250"/>
      <c r="KV90" s="250"/>
      <c r="KW90" s="250"/>
      <c r="KX90" s="250"/>
      <c r="KY90" s="250"/>
      <c r="KZ90" s="250"/>
      <c r="LA90" s="250"/>
      <c r="LB90" s="250"/>
      <c r="LC90" s="250"/>
      <c r="LD90" s="250"/>
      <c r="LE90" s="250"/>
      <c r="LF90" s="250"/>
      <c r="LG90" s="250"/>
      <c r="LH90" s="250"/>
      <c r="LI90" s="250"/>
      <c r="LJ90" s="250"/>
      <c r="LK90" s="250"/>
      <c r="LL90" s="250"/>
      <c r="LM90" s="250"/>
      <c r="LN90" s="250"/>
      <c r="LO90" s="250"/>
      <c r="LP90" s="250"/>
      <c r="LQ90" s="250"/>
      <c r="LR90" s="250"/>
      <c r="LS90" s="250"/>
      <c r="LT90" s="250"/>
      <c r="LU90" s="250"/>
      <c r="LV90" s="250"/>
      <c r="LW90" s="250"/>
      <c r="LX90" s="250"/>
      <c r="LY90" s="250"/>
      <c r="LZ90" s="250"/>
      <c r="MA90" s="250"/>
      <c r="MB90" s="250"/>
      <c r="MC90" s="250"/>
      <c r="MD90" s="250"/>
      <c r="ME90" s="250"/>
      <c r="MF90" s="250"/>
      <c r="MG90" s="250"/>
      <c r="MH90" s="250"/>
      <c r="MI90" s="250"/>
      <c r="MJ90" s="250"/>
      <c r="MK90" s="250"/>
      <c r="ML90" s="250"/>
      <c r="MM90" s="250"/>
      <c r="MN90" s="250"/>
      <c r="MO90" s="250"/>
      <c r="MP90" s="250"/>
      <c r="MQ90" s="250"/>
      <c r="MR90" s="250"/>
      <c r="MS90" s="250"/>
      <c r="MT90" s="250"/>
      <c r="MU90" s="250"/>
      <c r="MV90" s="250"/>
      <c r="MW90" s="250"/>
      <c r="MX90" s="250"/>
      <c r="MY90" s="250"/>
      <c r="MZ90" s="250"/>
      <c r="NA90" s="250"/>
      <c r="NB90" s="250"/>
      <c r="NC90" s="250"/>
      <c r="ND90" s="250"/>
      <c r="NE90" s="250"/>
      <c r="NF90" s="250"/>
      <c r="NG90" s="250"/>
      <c r="NH90" s="250"/>
      <c r="NI90" s="250"/>
      <c r="NJ90" s="250"/>
      <c r="NK90" s="250"/>
      <c r="NL90" s="250"/>
      <c r="NM90" s="250"/>
      <c r="NN90" s="250"/>
      <c r="NO90" s="250"/>
      <c r="NP90" s="250"/>
      <c r="NQ90" s="250"/>
      <c r="NR90" s="250"/>
      <c r="NS90" s="250"/>
      <c r="NT90" s="250"/>
      <c r="NU90" s="250"/>
      <c r="NV90" s="250"/>
      <c r="NW90" s="250"/>
      <c r="NX90" s="250"/>
      <c r="NY90" s="250"/>
      <c r="NZ90" s="250"/>
      <c r="OA90" s="250"/>
      <c r="OB90" s="250"/>
      <c r="OC90" s="250"/>
      <c r="OD90" s="250"/>
      <c r="OE90" s="250"/>
      <c r="OF90" s="250"/>
      <c r="OG90" s="250"/>
      <c r="OH90" s="250"/>
      <c r="OI90" s="250"/>
      <c r="OJ90" s="250"/>
      <c r="OK90" s="250"/>
      <c r="OL90" s="250"/>
      <c r="OM90" s="250"/>
      <c r="ON90" s="250"/>
      <c r="OO90" s="250"/>
      <c r="OP90" s="250"/>
      <c r="OQ90" s="250"/>
      <c r="OR90" s="250"/>
      <c r="OS90" s="250"/>
      <c r="OT90" s="250"/>
      <c r="OU90" s="250"/>
      <c r="OV90" s="250"/>
      <c r="OW90" s="250"/>
      <c r="OX90" s="250"/>
      <c r="OY90" s="250"/>
      <c r="OZ90" s="250"/>
      <c r="PA90" s="250"/>
      <c r="PB90" s="250"/>
      <c r="PC90" s="250"/>
      <c r="PD90" s="250"/>
      <c r="PE90" s="250"/>
      <c r="PF90" s="250"/>
      <c r="PG90" s="250"/>
      <c r="PH90" s="250"/>
      <c r="PI90" s="250"/>
      <c r="PJ90" s="250"/>
      <c r="PK90" s="250"/>
      <c r="PL90" s="250"/>
      <c r="PM90" s="250"/>
      <c r="PN90" s="250"/>
      <c r="PO90" s="250"/>
      <c r="PP90" s="250"/>
      <c r="PQ90" s="250"/>
      <c r="PR90" s="250"/>
      <c r="PS90" s="250"/>
      <c r="PT90" s="250"/>
      <c r="PU90" s="250"/>
      <c r="PV90" s="250"/>
      <c r="PW90" s="250"/>
      <c r="PX90" s="250"/>
      <c r="PY90" s="250"/>
      <c r="PZ90" s="250"/>
      <c r="QA90" s="250"/>
      <c r="QB90" s="250"/>
      <c r="QC90" s="250"/>
      <c r="QD90" s="250"/>
      <c r="QE90" s="250"/>
      <c r="QF90" s="250"/>
      <c r="QG90" s="250"/>
      <c r="QH90" s="250"/>
      <c r="QI90" s="250"/>
      <c r="QJ90" s="250"/>
      <c r="QK90" s="250"/>
      <c r="QL90" s="250"/>
      <c r="QM90" s="250"/>
      <c r="QN90" s="250"/>
      <c r="QO90" s="250"/>
      <c r="QP90" s="250"/>
      <c r="QQ90" s="250"/>
      <c r="QR90" s="250"/>
      <c r="QS90" s="250"/>
      <c r="QT90" s="250"/>
      <c r="QU90" s="250"/>
      <c r="QV90" s="250"/>
      <c r="QW90" s="250"/>
      <c r="QX90" s="250"/>
      <c r="QY90" s="250"/>
      <c r="QZ90" s="250"/>
      <c r="RA90" s="250"/>
      <c r="RB90" s="250"/>
      <c r="RC90" s="250"/>
      <c r="RD90" s="250"/>
      <c r="RE90" s="250"/>
      <c r="RF90" s="250"/>
      <c r="RG90" s="250"/>
      <c r="RH90" s="250"/>
      <c r="RI90" s="250"/>
      <c r="RJ90" s="250"/>
      <c r="RK90" s="250"/>
      <c r="RL90" s="250"/>
      <c r="RM90" s="250"/>
      <c r="RN90" s="250"/>
      <c r="RO90" s="250"/>
      <c r="RP90" s="250"/>
      <c r="RQ90" s="250"/>
      <c r="RR90" s="250"/>
      <c r="RS90" s="250"/>
      <c r="RT90" s="250"/>
      <c r="RU90" s="250"/>
      <c r="RV90" s="250"/>
      <c r="RW90" s="250"/>
      <c r="RX90" s="250"/>
      <c r="RY90" s="250"/>
      <c r="RZ90" s="250"/>
      <c r="SA90" s="250"/>
      <c r="SB90" s="250"/>
      <c r="SC90" s="250"/>
      <c r="SD90" s="250"/>
      <c r="SE90" s="250"/>
      <c r="SF90" s="250"/>
      <c r="SG90" s="250"/>
      <c r="SH90" s="250"/>
      <c r="SI90" s="250"/>
      <c r="SJ90" s="250"/>
      <c r="SK90" s="250"/>
      <c r="SL90" s="250"/>
      <c r="SM90" s="250"/>
      <c r="SN90" s="250"/>
      <c r="SO90" s="250"/>
      <c r="SP90" s="250"/>
      <c r="SQ90" s="250"/>
      <c r="SR90" s="250"/>
      <c r="SS90" s="250"/>
      <c r="ST90" s="250"/>
      <c r="SU90" s="250"/>
      <c r="SV90" s="250"/>
      <c r="SW90" s="250"/>
      <c r="SX90" s="250"/>
      <c r="SY90" s="250"/>
      <c r="SZ90" s="250"/>
      <c r="TA90" s="250"/>
      <c r="TB90" s="250"/>
      <c r="TC90" s="250"/>
      <c r="TD90" s="250"/>
      <c r="TE90" s="250"/>
      <c r="TF90" s="250"/>
      <c r="TG90" s="250"/>
      <c r="TH90" s="250"/>
      <c r="TI90" s="250"/>
      <c r="TJ90" s="250"/>
      <c r="TK90" s="250"/>
      <c r="TL90" s="250"/>
      <c r="TM90" s="250"/>
      <c r="TN90" s="250"/>
      <c r="TO90" s="250"/>
      <c r="TP90" s="250"/>
      <c r="TQ90" s="250"/>
      <c r="TR90" s="250"/>
      <c r="TS90" s="250"/>
      <c r="TT90" s="250"/>
      <c r="TU90" s="250"/>
      <c r="TV90" s="250"/>
      <c r="TW90" s="250"/>
      <c r="TX90" s="250"/>
      <c r="TY90" s="250"/>
      <c r="TZ90" s="250"/>
      <c r="UA90" s="250"/>
      <c r="UB90" s="250"/>
      <c r="UC90" s="250"/>
      <c r="UD90" s="250"/>
      <c r="UE90" s="250"/>
      <c r="UF90" s="250"/>
      <c r="UG90" s="250"/>
      <c r="UH90" s="250"/>
    </row>
    <row r="91" spans="1:554" x14ac:dyDescent="0.25">
      <c r="A91" s="331">
        <v>6</v>
      </c>
      <c r="B91" s="331"/>
      <c r="C91" s="332" t="s">
        <v>39</v>
      </c>
      <c r="D91" s="331">
        <v>1987</v>
      </c>
      <c r="E91" s="331">
        <v>3</v>
      </c>
      <c r="F91" s="331">
        <v>27</v>
      </c>
      <c r="G91" s="336">
        <v>72</v>
      </c>
      <c r="H91" s="325">
        <v>1466.1</v>
      </c>
      <c r="I91" s="1052"/>
      <c r="J91" s="1052"/>
      <c r="K91" s="338">
        <v>14948.4</v>
      </c>
      <c r="L91" s="338">
        <v>14684.09</v>
      </c>
      <c r="M91" s="1055"/>
      <c r="N91" s="1055"/>
      <c r="O91" s="61">
        <f t="shared" si="32"/>
        <v>15866.838598001537</v>
      </c>
      <c r="P91" s="322"/>
      <c r="Q91" s="313">
        <f t="shared" si="33"/>
        <v>62.085135349681693</v>
      </c>
      <c r="R91" s="313">
        <f t="shared" si="34"/>
        <v>13148.713363271094</v>
      </c>
      <c r="S91" s="313">
        <f t="shared" si="35"/>
        <v>2656.0400993807611</v>
      </c>
      <c r="T91" s="313">
        <f t="shared" si="36"/>
        <v>-918.43859800153768</v>
      </c>
      <c r="U91" s="313">
        <f t="shared" si="37"/>
        <v>98.231850900430814</v>
      </c>
      <c r="V91" s="313">
        <f t="shared" si="38"/>
        <v>2.7056201142489491</v>
      </c>
      <c r="W91" s="313">
        <v>2.5499999999999998</v>
      </c>
      <c r="X91" s="194">
        <v>221</v>
      </c>
      <c r="Y91" s="1081">
        <f t="shared" si="39"/>
        <v>264.30999999999949</v>
      </c>
      <c r="Z91" s="466"/>
      <c r="AA91" s="466"/>
      <c r="AB91" s="466"/>
      <c r="AC91" s="466"/>
      <c r="AD91" s="466"/>
      <c r="AE91" s="466"/>
      <c r="AF91" s="466"/>
      <c r="AG91" s="466"/>
      <c r="AH91" s="466"/>
      <c r="AI91" s="466"/>
      <c r="AJ91" s="466"/>
      <c r="AK91" s="466"/>
      <c r="AL91" s="466"/>
      <c r="AM91" s="466"/>
      <c r="AN91" s="466"/>
      <c r="AO91" s="466"/>
      <c r="AP91" s="466"/>
      <c r="AQ91" s="466"/>
      <c r="AR91" s="466"/>
      <c r="AS91" s="466"/>
      <c r="AT91" s="466"/>
      <c r="AU91" s="466"/>
      <c r="AV91" s="466"/>
      <c r="AW91" s="466"/>
      <c r="AX91" s="466"/>
      <c r="AY91" s="466"/>
      <c r="AZ91" s="466"/>
      <c r="BA91" s="466"/>
      <c r="BB91" s="466"/>
      <c r="BC91" s="250"/>
      <c r="BD91" s="250"/>
      <c r="BE91" s="250"/>
      <c r="BF91" s="250"/>
      <c r="BG91" s="250"/>
      <c r="BH91" s="250"/>
      <c r="BI91" s="250"/>
      <c r="BJ91" s="250"/>
      <c r="BK91" s="250"/>
      <c r="BL91" s="250"/>
      <c r="BM91" s="250"/>
      <c r="BN91" s="250"/>
      <c r="BO91" s="250"/>
      <c r="BP91" s="250"/>
      <c r="BQ91" s="250"/>
      <c r="BR91" s="250"/>
      <c r="BS91" s="250"/>
      <c r="BT91" s="250"/>
      <c r="BU91" s="250"/>
      <c r="BV91" s="250"/>
      <c r="BW91" s="250"/>
      <c r="BX91" s="250"/>
      <c r="BY91" s="250"/>
      <c r="BZ91" s="250"/>
      <c r="CA91" s="250"/>
      <c r="CB91" s="250"/>
      <c r="CC91" s="250"/>
      <c r="CD91" s="250"/>
      <c r="CE91" s="250"/>
      <c r="CF91" s="250"/>
      <c r="CG91" s="250"/>
      <c r="CH91" s="250"/>
      <c r="CI91" s="250"/>
      <c r="CJ91" s="250"/>
      <c r="CK91" s="250"/>
      <c r="CL91" s="250"/>
      <c r="CM91" s="250"/>
      <c r="CN91" s="250"/>
      <c r="CO91" s="250"/>
      <c r="CP91" s="250"/>
      <c r="CQ91" s="250"/>
      <c r="CR91" s="250"/>
      <c r="CS91" s="250"/>
      <c r="CT91" s="250"/>
      <c r="CU91" s="250"/>
      <c r="CV91" s="250"/>
      <c r="CW91" s="250"/>
      <c r="CX91" s="250"/>
      <c r="CY91" s="250"/>
      <c r="CZ91" s="250"/>
      <c r="DA91" s="250"/>
      <c r="DB91" s="250"/>
      <c r="DC91" s="250"/>
      <c r="DD91" s="250"/>
      <c r="DE91" s="250"/>
      <c r="DF91" s="250"/>
      <c r="DG91" s="250"/>
      <c r="DH91" s="250"/>
      <c r="DI91" s="250"/>
      <c r="DJ91" s="250"/>
      <c r="DK91" s="250"/>
      <c r="DL91" s="250"/>
      <c r="DM91" s="250"/>
      <c r="DN91" s="250"/>
      <c r="DO91" s="250"/>
      <c r="DP91" s="250"/>
      <c r="DQ91" s="250"/>
      <c r="DR91" s="250"/>
      <c r="DS91" s="250"/>
      <c r="DT91" s="250"/>
      <c r="DU91" s="250"/>
      <c r="DV91" s="250"/>
      <c r="DW91" s="250"/>
      <c r="DX91" s="250"/>
      <c r="DY91" s="250"/>
      <c r="DZ91" s="250"/>
      <c r="EA91" s="250"/>
      <c r="EB91" s="250"/>
      <c r="EC91" s="250"/>
      <c r="ED91" s="250"/>
      <c r="EE91" s="250"/>
      <c r="EF91" s="250"/>
      <c r="EG91" s="250"/>
      <c r="EH91" s="250"/>
      <c r="EI91" s="250"/>
      <c r="EJ91" s="250"/>
      <c r="EK91" s="250"/>
      <c r="EL91" s="250"/>
      <c r="EM91" s="250"/>
      <c r="EN91" s="250"/>
      <c r="EO91" s="250"/>
      <c r="EP91" s="250"/>
      <c r="EQ91" s="250"/>
      <c r="ER91" s="250"/>
      <c r="ES91" s="250"/>
      <c r="ET91" s="250"/>
      <c r="EU91" s="250"/>
      <c r="EV91" s="250"/>
      <c r="EW91" s="250"/>
      <c r="EX91" s="250"/>
      <c r="EY91" s="250"/>
      <c r="EZ91" s="250"/>
      <c r="FA91" s="250"/>
      <c r="FB91" s="250"/>
      <c r="FC91" s="250"/>
      <c r="FD91" s="250"/>
      <c r="FE91" s="250"/>
      <c r="FF91" s="250"/>
      <c r="FG91" s="250"/>
      <c r="FH91" s="250"/>
      <c r="FI91" s="250"/>
      <c r="FJ91" s="250"/>
      <c r="FK91" s="250"/>
      <c r="FL91" s="250"/>
      <c r="FM91" s="250"/>
      <c r="FN91" s="250"/>
      <c r="FO91" s="250"/>
      <c r="FP91" s="250"/>
      <c r="FQ91" s="250"/>
      <c r="FR91" s="250"/>
      <c r="FS91" s="250"/>
      <c r="FT91" s="250"/>
      <c r="FU91" s="250"/>
      <c r="FV91" s="250"/>
      <c r="FW91" s="250"/>
      <c r="FX91" s="250"/>
      <c r="FY91" s="250"/>
      <c r="FZ91" s="250"/>
      <c r="GA91" s="250"/>
      <c r="GB91" s="250"/>
      <c r="GC91" s="250"/>
      <c r="GD91" s="250"/>
      <c r="GE91" s="250"/>
      <c r="GF91" s="250"/>
      <c r="GG91" s="250"/>
      <c r="GH91" s="250"/>
      <c r="GI91" s="250"/>
      <c r="GJ91" s="250"/>
      <c r="GK91" s="250"/>
      <c r="GL91" s="250"/>
      <c r="GM91" s="250"/>
      <c r="GN91" s="250"/>
      <c r="GO91" s="250"/>
      <c r="GP91" s="250"/>
      <c r="GQ91" s="250"/>
      <c r="GR91" s="250"/>
      <c r="GS91" s="250"/>
      <c r="GT91" s="250"/>
      <c r="GU91" s="250"/>
      <c r="GV91" s="250"/>
      <c r="GW91" s="250"/>
      <c r="GX91" s="250"/>
      <c r="GY91" s="250"/>
      <c r="GZ91" s="250"/>
      <c r="HA91" s="250"/>
      <c r="HB91" s="250"/>
      <c r="HC91" s="250"/>
      <c r="HD91" s="250"/>
      <c r="HE91" s="250"/>
      <c r="HF91" s="250"/>
      <c r="HG91" s="250"/>
      <c r="HH91" s="250"/>
      <c r="HI91" s="250"/>
      <c r="HJ91" s="250"/>
      <c r="HK91" s="250"/>
      <c r="HL91" s="250"/>
      <c r="HM91" s="250"/>
      <c r="HN91" s="250"/>
      <c r="HO91" s="250"/>
      <c r="HP91" s="250"/>
      <c r="HQ91" s="250"/>
      <c r="HR91" s="250"/>
      <c r="HS91" s="250"/>
      <c r="HT91" s="250"/>
      <c r="HU91" s="250"/>
      <c r="HV91" s="250"/>
      <c r="HW91" s="250"/>
      <c r="HX91" s="250"/>
      <c r="HY91" s="250"/>
      <c r="HZ91" s="250"/>
      <c r="IA91" s="250"/>
      <c r="IB91" s="250"/>
      <c r="IC91" s="250"/>
      <c r="ID91" s="250"/>
      <c r="IE91" s="250"/>
      <c r="IF91" s="250"/>
      <c r="IG91" s="250"/>
      <c r="IH91" s="250"/>
      <c r="II91" s="250"/>
      <c r="IJ91" s="250"/>
      <c r="IK91" s="250"/>
      <c r="IL91" s="250"/>
      <c r="IM91" s="250"/>
      <c r="IN91" s="250"/>
      <c r="IO91" s="250"/>
      <c r="IP91" s="250"/>
      <c r="IQ91" s="250"/>
      <c r="IR91" s="250"/>
      <c r="IS91" s="250"/>
      <c r="IT91" s="250"/>
      <c r="IU91" s="250"/>
      <c r="IV91" s="250"/>
      <c r="IW91" s="250"/>
      <c r="IX91" s="250"/>
      <c r="IY91" s="250"/>
      <c r="IZ91" s="250"/>
      <c r="JA91" s="250"/>
      <c r="JB91" s="250"/>
      <c r="JC91" s="250"/>
      <c r="JD91" s="250"/>
      <c r="JE91" s="250"/>
      <c r="JF91" s="250"/>
      <c r="JG91" s="250"/>
      <c r="JH91" s="250"/>
      <c r="JI91" s="250"/>
      <c r="JJ91" s="250"/>
      <c r="JK91" s="250"/>
      <c r="JL91" s="250"/>
      <c r="JM91" s="250"/>
      <c r="JN91" s="250"/>
      <c r="JO91" s="250"/>
      <c r="JP91" s="250"/>
      <c r="JQ91" s="250"/>
      <c r="JR91" s="250"/>
      <c r="JS91" s="250"/>
      <c r="JT91" s="250"/>
      <c r="JU91" s="250"/>
      <c r="JV91" s="250"/>
      <c r="JW91" s="250"/>
      <c r="JX91" s="250"/>
      <c r="JY91" s="250"/>
      <c r="JZ91" s="250"/>
      <c r="KA91" s="250"/>
      <c r="KB91" s="250"/>
      <c r="KC91" s="250"/>
      <c r="KD91" s="250"/>
      <c r="KE91" s="250"/>
      <c r="KF91" s="250"/>
      <c r="KG91" s="250"/>
      <c r="KH91" s="250"/>
      <c r="KI91" s="250"/>
      <c r="KJ91" s="250"/>
      <c r="KK91" s="250"/>
      <c r="KL91" s="250"/>
      <c r="KM91" s="250"/>
      <c r="KN91" s="250"/>
      <c r="KO91" s="250"/>
      <c r="KP91" s="250"/>
      <c r="KQ91" s="250"/>
      <c r="KR91" s="250"/>
      <c r="KS91" s="250"/>
      <c r="KT91" s="250"/>
      <c r="KU91" s="250"/>
      <c r="KV91" s="250"/>
      <c r="KW91" s="250"/>
      <c r="KX91" s="250"/>
      <c r="KY91" s="250"/>
      <c r="KZ91" s="250"/>
      <c r="LA91" s="250"/>
      <c r="LB91" s="250"/>
      <c r="LC91" s="250"/>
      <c r="LD91" s="250"/>
      <c r="LE91" s="250"/>
      <c r="LF91" s="250"/>
      <c r="LG91" s="250"/>
      <c r="LH91" s="250"/>
      <c r="LI91" s="250"/>
      <c r="LJ91" s="250"/>
      <c r="LK91" s="250"/>
      <c r="LL91" s="250"/>
      <c r="LM91" s="250"/>
      <c r="LN91" s="250"/>
      <c r="LO91" s="250"/>
      <c r="LP91" s="250"/>
      <c r="LQ91" s="250"/>
      <c r="LR91" s="250"/>
      <c r="LS91" s="250"/>
      <c r="LT91" s="250"/>
      <c r="LU91" s="250"/>
      <c r="LV91" s="250"/>
      <c r="LW91" s="250"/>
      <c r="LX91" s="250"/>
      <c r="LY91" s="250"/>
      <c r="LZ91" s="250"/>
      <c r="MA91" s="250"/>
      <c r="MB91" s="250"/>
      <c r="MC91" s="250"/>
      <c r="MD91" s="250"/>
      <c r="ME91" s="250"/>
      <c r="MF91" s="250"/>
      <c r="MG91" s="250"/>
      <c r="MH91" s="250"/>
      <c r="MI91" s="250"/>
      <c r="MJ91" s="250"/>
      <c r="MK91" s="250"/>
      <c r="ML91" s="250"/>
      <c r="MM91" s="250"/>
      <c r="MN91" s="250"/>
      <c r="MO91" s="250"/>
      <c r="MP91" s="250"/>
      <c r="MQ91" s="250"/>
      <c r="MR91" s="250"/>
      <c r="MS91" s="250"/>
      <c r="MT91" s="250"/>
      <c r="MU91" s="250"/>
      <c r="MV91" s="250"/>
      <c r="MW91" s="250"/>
      <c r="MX91" s="250"/>
      <c r="MY91" s="250"/>
      <c r="MZ91" s="250"/>
      <c r="NA91" s="250"/>
      <c r="NB91" s="250"/>
      <c r="NC91" s="250"/>
      <c r="ND91" s="250"/>
      <c r="NE91" s="250"/>
      <c r="NF91" s="250"/>
      <c r="NG91" s="250"/>
      <c r="NH91" s="250"/>
      <c r="NI91" s="250"/>
      <c r="NJ91" s="250"/>
      <c r="NK91" s="250"/>
      <c r="NL91" s="250"/>
      <c r="NM91" s="250"/>
      <c r="NN91" s="250"/>
      <c r="NO91" s="250"/>
      <c r="NP91" s="250"/>
      <c r="NQ91" s="250"/>
      <c r="NR91" s="250"/>
      <c r="NS91" s="250"/>
      <c r="NT91" s="250"/>
      <c r="NU91" s="250"/>
      <c r="NV91" s="250"/>
      <c r="NW91" s="250"/>
      <c r="NX91" s="250"/>
      <c r="NY91" s="250"/>
      <c r="NZ91" s="250"/>
      <c r="OA91" s="250"/>
      <c r="OB91" s="250"/>
      <c r="OC91" s="250"/>
      <c r="OD91" s="250"/>
      <c r="OE91" s="250"/>
      <c r="OF91" s="250"/>
      <c r="OG91" s="250"/>
      <c r="OH91" s="250"/>
      <c r="OI91" s="250"/>
      <c r="OJ91" s="250"/>
      <c r="OK91" s="250"/>
      <c r="OL91" s="250"/>
      <c r="OM91" s="250"/>
      <c r="ON91" s="250"/>
      <c r="OO91" s="250"/>
      <c r="OP91" s="250"/>
      <c r="OQ91" s="250"/>
      <c r="OR91" s="250"/>
      <c r="OS91" s="250"/>
      <c r="OT91" s="250"/>
      <c r="OU91" s="250"/>
      <c r="OV91" s="250"/>
      <c r="OW91" s="250"/>
      <c r="OX91" s="250"/>
      <c r="OY91" s="250"/>
      <c r="OZ91" s="250"/>
      <c r="PA91" s="250"/>
      <c r="PB91" s="250"/>
      <c r="PC91" s="250"/>
      <c r="PD91" s="250"/>
      <c r="PE91" s="250"/>
      <c r="PF91" s="250"/>
      <c r="PG91" s="250"/>
      <c r="PH91" s="250"/>
      <c r="PI91" s="250"/>
      <c r="PJ91" s="250"/>
      <c r="PK91" s="250"/>
      <c r="PL91" s="250"/>
      <c r="PM91" s="250"/>
      <c r="PN91" s="250"/>
      <c r="PO91" s="250"/>
      <c r="PP91" s="250"/>
      <c r="PQ91" s="250"/>
      <c r="PR91" s="250"/>
      <c r="PS91" s="250"/>
      <c r="PT91" s="250"/>
      <c r="PU91" s="250"/>
      <c r="PV91" s="250"/>
      <c r="PW91" s="250"/>
      <c r="PX91" s="250"/>
      <c r="PY91" s="250"/>
      <c r="PZ91" s="250"/>
      <c r="QA91" s="250"/>
      <c r="QB91" s="250"/>
      <c r="QC91" s="250"/>
      <c r="QD91" s="250"/>
      <c r="QE91" s="250"/>
      <c r="QF91" s="250"/>
      <c r="QG91" s="250"/>
      <c r="QH91" s="250"/>
      <c r="QI91" s="250"/>
      <c r="QJ91" s="250"/>
      <c r="QK91" s="250"/>
      <c r="QL91" s="250"/>
      <c r="QM91" s="250"/>
      <c r="QN91" s="250"/>
      <c r="QO91" s="250"/>
      <c r="QP91" s="250"/>
      <c r="QQ91" s="250"/>
      <c r="QR91" s="250"/>
      <c r="QS91" s="250"/>
      <c r="QT91" s="250"/>
      <c r="QU91" s="250"/>
      <c r="QV91" s="250"/>
      <c r="QW91" s="250"/>
      <c r="QX91" s="250"/>
      <c r="QY91" s="250"/>
      <c r="QZ91" s="250"/>
      <c r="RA91" s="250"/>
      <c r="RB91" s="250"/>
      <c r="RC91" s="250"/>
      <c r="RD91" s="250"/>
      <c r="RE91" s="250"/>
      <c r="RF91" s="250"/>
      <c r="RG91" s="250"/>
      <c r="RH91" s="250"/>
      <c r="RI91" s="250"/>
      <c r="RJ91" s="250"/>
      <c r="RK91" s="250"/>
      <c r="RL91" s="250"/>
      <c r="RM91" s="250"/>
      <c r="RN91" s="250"/>
      <c r="RO91" s="250"/>
      <c r="RP91" s="250"/>
      <c r="RQ91" s="250"/>
      <c r="RR91" s="250"/>
      <c r="RS91" s="250"/>
      <c r="RT91" s="250"/>
      <c r="RU91" s="250"/>
      <c r="RV91" s="250"/>
      <c r="RW91" s="250"/>
      <c r="RX91" s="250"/>
      <c r="RY91" s="250"/>
      <c r="RZ91" s="250"/>
      <c r="SA91" s="250"/>
      <c r="SB91" s="250"/>
      <c r="SC91" s="250"/>
      <c r="SD91" s="250"/>
      <c r="SE91" s="250"/>
      <c r="SF91" s="250"/>
      <c r="SG91" s="250"/>
      <c r="SH91" s="250"/>
      <c r="SI91" s="250"/>
      <c r="SJ91" s="250"/>
      <c r="SK91" s="250"/>
      <c r="SL91" s="250"/>
      <c r="SM91" s="250"/>
      <c r="SN91" s="250"/>
      <c r="SO91" s="250"/>
      <c r="SP91" s="250"/>
      <c r="SQ91" s="250"/>
      <c r="SR91" s="250"/>
      <c r="SS91" s="250"/>
      <c r="ST91" s="250"/>
      <c r="SU91" s="250"/>
      <c r="SV91" s="250"/>
      <c r="SW91" s="250"/>
      <c r="SX91" s="250"/>
      <c r="SY91" s="250"/>
      <c r="SZ91" s="250"/>
      <c r="TA91" s="250"/>
      <c r="TB91" s="250"/>
      <c r="TC91" s="250"/>
      <c r="TD91" s="250"/>
      <c r="TE91" s="250"/>
      <c r="TF91" s="250"/>
      <c r="TG91" s="250"/>
      <c r="TH91" s="250"/>
      <c r="TI91" s="250"/>
      <c r="TJ91" s="250"/>
      <c r="TK91" s="250"/>
      <c r="TL91" s="250"/>
      <c r="TM91" s="250"/>
      <c r="TN91" s="250"/>
      <c r="TO91" s="250"/>
      <c r="TP91" s="250"/>
      <c r="TQ91" s="250"/>
      <c r="TR91" s="250"/>
      <c r="TS91" s="250"/>
      <c r="TT91" s="250"/>
      <c r="TU91" s="250"/>
      <c r="TV91" s="250"/>
      <c r="TW91" s="250"/>
      <c r="TX91" s="250"/>
      <c r="TY91" s="250"/>
      <c r="TZ91" s="250"/>
      <c r="UA91" s="250"/>
      <c r="UB91" s="250"/>
      <c r="UC91" s="250"/>
      <c r="UD91" s="250"/>
      <c r="UE91" s="250"/>
      <c r="UF91" s="250"/>
      <c r="UG91" s="250"/>
      <c r="UH91" s="250"/>
    </row>
    <row r="92" spans="1:554" x14ac:dyDescent="0.25">
      <c r="A92" s="334">
        <v>7</v>
      </c>
      <c r="B92" s="334"/>
      <c r="C92" s="335" t="s">
        <v>40</v>
      </c>
      <c r="D92" s="334">
        <v>1989</v>
      </c>
      <c r="E92" s="334">
        <v>3</v>
      </c>
      <c r="F92" s="334">
        <v>27</v>
      </c>
      <c r="G92" s="126">
        <v>78</v>
      </c>
      <c r="H92" s="327">
        <v>1468.1</v>
      </c>
      <c r="I92" s="1053"/>
      <c r="J92" s="1053"/>
      <c r="K92" s="339">
        <v>14981.59</v>
      </c>
      <c r="L92" s="339">
        <v>16609.54</v>
      </c>
      <c r="M92" s="1056"/>
      <c r="N92" s="1056"/>
      <c r="O92" s="61">
        <f t="shared" si="32"/>
        <v>15866.923292272528</v>
      </c>
      <c r="P92" s="309"/>
      <c r="Q92" s="313">
        <f t="shared" si="33"/>
        <v>62.169829620672324</v>
      </c>
      <c r="R92" s="313">
        <f t="shared" si="34"/>
        <v>13148.713363271094</v>
      </c>
      <c r="S92" s="313">
        <f t="shared" si="35"/>
        <v>2656.0400993807611</v>
      </c>
      <c r="T92" s="313">
        <f t="shared" si="36"/>
        <v>-885.33329227252761</v>
      </c>
      <c r="U92" s="313">
        <f t="shared" si="37"/>
        <v>110.86633661714144</v>
      </c>
      <c r="V92" s="313">
        <f t="shared" si="38"/>
        <v>2.7019486568136588</v>
      </c>
      <c r="W92" s="311">
        <v>2.5499999999999998</v>
      </c>
      <c r="X92" s="337">
        <v>221</v>
      </c>
      <c r="Y92" s="1081">
        <f t="shared" si="39"/>
        <v>-1627.9500000000007</v>
      </c>
      <c r="Z92" s="466"/>
      <c r="AA92" s="466"/>
      <c r="AB92" s="466"/>
      <c r="AC92" s="466"/>
      <c r="AD92" s="466"/>
      <c r="AE92" s="466"/>
      <c r="AF92" s="466"/>
      <c r="AG92" s="466"/>
      <c r="AH92" s="466"/>
      <c r="AI92" s="466"/>
      <c r="AJ92" s="466"/>
      <c r="AK92" s="466"/>
      <c r="AL92" s="466"/>
      <c r="AM92" s="466"/>
      <c r="AN92" s="466"/>
      <c r="AO92" s="466"/>
      <c r="AP92" s="466"/>
      <c r="AQ92" s="466"/>
      <c r="AR92" s="466"/>
      <c r="AS92" s="466"/>
      <c r="AT92" s="466"/>
      <c r="AU92" s="466"/>
      <c r="AV92" s="466"/>
      <c r="AW92" s="466"/>
      <c r="AX92" s="466"/>
      <c r="AY92" s="466"/>
      <c r="AZ92" s="466"/>
      <c r="BA92" s="466"/>
      <c r="BB92" s="466"/>
      <c r="BC92" s="250"/>
      <c r="BD92" s="250"/>
      <c r="BE92" s="250"/>
      <c r="BF92" s="250"/>
      <c r="BG92" s="250"/>
      <c r="BH92" s="250"/>
      <c r="BI92" s="250"/>
      <c r="BJ92" s="250"/>
      <c r="BK92" s="250"/>
      <c r="BL92" s="250"/>
      <c r="BM92" s="250"/>
      <c r="BN92" s="250"/>
      <c r="BO92" s="250"/>
      <c r="BP92" s="250"/>
      <c r="BQ92" s="250"/>
      <c r="BR92" s="250"/>
      <c r="BS92" s="250"/>
      <c r="BT92" s="250"/>
      <c r="BU92" s="250"/>
      <c r="BV92" s="250"/>
      <c r="BW92" s="250"/>
      <c r="BX92" s="250"/>
      <c r="BY92" s="250"/>
      <c r="BZ92" s="250"/>
      <c r="CA92" s="250"/>
      <c r="CB92" s="250"/>
      <c r="CC92" s="250"/>
      <c r="CD92" s="250"/>
      <c r="CE92" s="250"/>
      <c r="CF92" s="250"/>
      <c r="CG92" s="250"/>
      <c r="CH92" s="250"/>
      <c r="CI92" s="250"/>
      <c r="CJ92" s="250"/>
      <c r="CK92" s="250"/>
      <c r="CL92" s="250"/>
      <c r="CM92" s="250"/>
      <c r="CN92" s="250"/>
      <c r="CO92" s="250"/>
      <c r="CP92" s="250"/>
      <c r="CQ92" s="250"/>
      <c r="CR92" s="250"/>
      <c r="CS92" s="250"/>
      <c r="CT92" s="250"/>
      <c r="CU92" s="250"/>
      <c r="CV92" s="250"/>
      <c r="CW92" s="250"/>
      <c r="CX92" s="250"/>
      <c r="CY92" s="250"/>
      <c r="CZ92" s="250"/>
      <c r="DA92" s="250"/>
      <c r="DB92" s="250"/>
      <c r="DC92" s="250"/>
      <c r="DD92" s="250"/>
      <c r="DE92" s="250"/>
      <c r="DF92" s="250"/>
      <c r="DG92" s="250"/>
      <c r="DH92" s="250"/>
      <c r="DI92" s="250"/>
      <c r="DJ92" s="250"/>
      <c r="DK92" s="250"/>
      <c r="DL92" s="250"/>
      <c r="DM92" s="250"/>
      <c r="DN92" s="250"/>
      <c r="DO92" s="250"/>
      <c r="DP92" s="250"/>
      <c r="DQ92" s="250"/>
      <c r="DR92" s="250"/>
      <c r="DS92" s="250"/>
      <c r="DT92" s="250"/>
      <c r="DU92" s="250"/>
      <c r="DV92" s="250"/>
      <c r="DW92" s="250"/>
      <c r="DX92" s="250"/>
      <c r="DY92" s="250"/>
      <c r="DZ92" s="250"/>
      <c r="EA92" s="250"/>
      <c r="EB92" s="250"/>
      <c r="EC92" s="250"/>
      <c r="ED92" s="250"/>
      <c r="EE92" s="250"/>
      <c r="EF92" s="250"/>
      <c r="EG92" s="250"/>
      <c r="EH92" s="250"/>
      <c r="EI92" s="250"/>
      <c r="EJ92" s="250"/>
      <c r="EK92" s="250"/>
      <c r="EL92" s="250"/>
      <c r="EM92" s="250"/>
      <c r="EN92" s="250"/>
      <c r="EO92" s="250"/>
      <c r="EP92" s="250"/>
      <c r="EQ92" s="250"/>
      <c r="ER92" s="250"/>
      <c r="ES92" s="250"/>
      <c r="ET92" s="250"/>
      <c r="EU92" s="250"/>
      <c r="EV92" s="250"/>
      <c r="EW92" s="250"/>
      <c r="EX92" s="250"/>
      <c r="EY92" s="250"/>
      <c r="EZ92" s="250"/>
      <c r="FA92" s="250"/>
      <c r="FB92" s="250"/>
      <c r="FC92" s="250"/>
      <c r="FD92" s="250"/>
      <c r="FE92" s="250"/>
      <c r="FF92" s="250"/>
      <c r="FG92" s="250"/>
      <c r="FH92" s="250"/>
      <c r="FI92" s="250"/>
      <c r="FJ92" s="250"/>
      <c r="FK92" s="250"/>
      <c r="FL92" s="250"/>
      <c r="FM92" s="250"/>
      <c r="FN92" s="250"/>
      <c r="FO92" s="250"/>
      <c r="FP92" s="250"/>
      <c r="FQ92" s="250"/>
      <c r="FR92" s="250"/>
      <c r="FS92" s="250"/>
      <c r="FT92" s="250"/>
      <c r="FU92" s="250"/>
      <c r="FV92" s="250"/>
      <c r="FW92" s="250"/>
      <c r="FX92" s="250"/>
      <c r="FY92" s="250"/>
      <c r="FZ92" s="250"/>
      <c r="GA92" s="250"/>
      <c r="GB92" s="250"/>
      <c r="GC92" s="250"/>
      <c r="GD92" s="250"/>
      <c r="GE92" s="250"/>
      <c r="GF92" s="250"/>
      <c r="GG92" s="250"/>
      <c r="GH92" s="250"/>
      <c r="GI92" s="250"/>
      <c r="GJ92" s="250"/>
      <c r="GK92" s="250"/>
      <c r="GL92" s="250"/>
      <c r="GM92" s="250"/>
      <c r="GN92" s="250"/>
      <c r="GO92" s="250"/>
      <c r="GP92" s="250"/>
      <c r="GQ92" s="250"/>
      <c r="GR92" s="250"/>
      <c r="GS92" s="250"/>
      <c r="GT92" s="250"/>
      <c r="GU92" s="250"/>
      <c r="GV92" s="250"/>
      <c r="GW92" s="250"/>
      <c r="GX92" s="250"/>
      <c r="GY92" s="250"/>
      <c r="GZ92" s="250"/>
      <c r="HA92" s="250"/>
      <c r="HB92" s="250"/>
      <c r="HC92" s="250"/>
      <c r="HD92" s="250"/>
      <c r="HE92" s="250"/>
      <c r="HF92" s="250"/>
      <c r="HG92" s="250"/>
      <c r="HH92" s="250"/>
      <c r="HI92" s="250"/>
      <c r="HJ92" s="250"/>
      <c r="HK92" s="250"/>
      <c r="HL92" s="250"/>
      <c r="HM92" s="250"/>
      <c r="HN92" s="250"/>
      <c r="HO92" s="250"/>
      <c r="HP92" s="250"/>
      <c r="HQ92" s="250"/>
      <c r="HR92" s="250"/>
      <c r="HS92" s="250"/>
      <c r="HT92" s="250"/>
      <c r="HU92" s="250"/>
      <c r="HV92" s="250"/>
      <c r="HW92" s="250"/>
      <c r="HX92" s="250"/>
      <c r="HY92" s="250"/>
      <c r="HZ92" s="250"/>
      <c r="IA92" s="250"/>
      <c r="IB92" s="250"/>
      <c r="IC92" s="250"/>
      <c r="ID92" s="250"/>
      <c r="IE92" s="250"/>
      <c r="IF92" s="250"/>
      <c r="IG92" s="250"/>
      <c r="IH92" s="250"/>
      <c r="II92" s="250"/>
      <c r="IJ92" s="250"/>
      <c r="IK92" s="250"/>
      <c r="IL92" s="250"/>
      <c r="IM92" s="250"/>
      <c r="IN92" s="250"/>
      <c r="IO92" s="250"/>
      <c r="IP92" s="250"/>
      <c r="IQ92" s="250"/>
      <c r="IR92" s="250"/>
      <c r="IS92" s="250"/>
      <c r="IT92" s="250"/>
      <c r="IU92" s="250"/>
      <c r="IV92" s="250"/>
      <c r="IW92" s="250"/>
      <c r="IX92" s="250"/>
      <c r="IY92" s="250"/>
      <c r="IZ92" s="250"/>
      <c r="JA92" s="250"/>
      <c r="JB92" s="250"/>
      <c r="JC92" s="250"/>
      <c r="JD92" s="250"/>
      <c r="JE92" s="250"/>
      <c r="JF92" s="250"/>
      <c r="JG92" s="250"/>
      <c r="JH92" s="250"/>
      <c r="JI92" s="250"/>
      <c r="JJ92" s="250"/>
      <c r="JK92" s="250"/>
      <c r="JL92" s="250"/>
      <c r="JM92" s="250"/>
      <c r="JN92" s="250"/>
      <c r="JO92" s="250"/>
      <c r="JP92" s="250"/>
      <c r="JQ92" s="250"/>
      <c r="JR92" s="250"/>
      <c r="JS92" s="250"/>
      <c r="JT92" s="250"/>
      <c r="JU92" s="250"/>
      <c r="JV92" s="250"/>
      <c r="JW92" s="250"/>
      <c r="JX92" s="250"/>
      <c r="JY92" s="250"/>
      <c r="JZ92" s="250"/>
      <c r="KA92" s="250"/>
      <c r="KB92" s="250"/>
      <c r="KC92" s="250"/>
      <c r="KD92" s="250"/>
      <c r="KE92" s="250"/>
      <c r="KF92" s="250"/>
      <c r="KG92" s="250"/>
      <c r="KH92" s="250"/>
      <c r="KI92" s="250"/>
      <c r="KJ92" s="250"/>
      <c r="KK92" s="250"/>
      <c r="KL92" s="250"/>
      <c r="KM92" s="250"/>
      <c r="KN92" s="250"/>
      <c r="KO92" s="250"/>
      <c r="KP92" s="250"/>
      <c r="KQ92" s="250"/>
      <c r="KR92" s="250"/>
      <c r="KS92" s="250"/>
      <c r="KT92" s="250"/>
      <c r="KU92" s="250"/>
      <c r="KV92" s="250"/>
      <c r="KW92" s="250"/>
      <c r="KX92" s="250"/>
      <c r="KY92" s="250"/>
      <c r="KZ92" s="250"/>
      <c r="LA92" s="250"/>
      <c r="LB92" s="250"/>
      <c r="LC92" s="250"/>
      <c r="LD92" s="250"/>
      <c r="LE92" s="250"/>
      <c r="LF92" s="250"/>
      <c r="LG92" s="250"/>
      <c r="LH92" s="250"/>
      <c r="LI92" s="250"/>
      <c r="LJ92" s="250"/>
      <c r="LK92" s="250"/>
      <c r="LL92" s="250"/>
      <c r="LM92" s="250"/>
      <c r="LN92" s="250"/>
      <c r="LO92" s="250"/>
      <c r="LP92" s="250"/>
      <c r="LQ92" s="250"/>
      <c r="LR92" s="250"/>
      <c r="LS92" s="250"/>
      <c r="LT92" s="250"/>
      <c r="LU92" s="250"/>
      <c r="LV92" s="250"/>
      <c r="LW92" s="250"/>
      <c r="LX92" s="250"/>
      <c r="LY92" s="250"/>
      <c r="LZ92" s="250"/>
      <c r="MA92" s="250"/>
      <c r="MB92" s="250"/>
      <c r="MC92" s="250"/>
      <c r="MD92" s="250"/>
      <c r="ME92" s="250"/>
      <c r="MF92" s="250"/>
      <c r="MG92" s="250"/>
      <c r="MH92" s="250"/>
      <c r="MI92" s="250"/>
      <c r="MJ92" s="250"/>
      <c r="MK92" s="250"/>
      <c r="ML92" s="250"/>
      <c r="MM92" s="250"/>
      <c r="MN92" s="250"/>
      <c r="MO92" s="250"/>
      <c r="MP92" s="250"/>
      <c r="MQ92" s="250"/>
      <c r="MR92" s="250"/>
      <c r="MS92" s="250"/>
      <c r="MT92" s="250"/>
      <c r="MU92" s="250"/>
      <c r="MV92" s="250"/>
      <c r="MW92" s="250"/>
      <c r="MX92" s="250"/>
      <c r="MY92" s="250"/>
      <c r="MZ92" s="250"/>
      <c r="NA92" s="250"/>
      <c r="NB92" s="250"/>
      <c r="NC92" s="250"/>
      <c r="ND92" s="250"/>
      <c r="NE92" s="250"/>
      <c r="NF92" s="250"/>
      <c r="NG92" s="250"/>
      <c r="NH92" s="250"/>
      <c r="NI92" s="250"/>
      <c r="NJ92" s="250"/>
      <c r="NK92" s="250"/>
      <c r="NL92" s="250"/>
      <c r="NM92" s="250"/>
      <c r="NN92" s="250"/>
      <c r="NO92" s="250"/>
      <c r="NP92" s="250"/>
      <c r="NQ92" s="250"/>
      <c r="NR92" s="250"/>
      <c r="NS92" s="250"/>
      <c r="NT92" s="250"/>
      <c r="NU92" s="250"/>
      <c r="NV92" s="250"/>
      <c r="NW92" s="250"/>
      <c r="NX92" s="250"/>
      <c r="NY92" s="250"/>
      <c r="NZ92" s="250"/>
      <c r="OA92" s="250"/>
      <c r="OB92" s="250"/>
      <c r="OC92" s="250"/>
      <c r="OD92" s="250"/>
      <c r="OE92" s="250"/>
      <c r="OF92" s="250"/>
      <c r="OG92" s="250"/>
      <c r="OH92" s="250"/>
      <c r="OI92" s="250"/>
      <c r="OJ92" s="250"/>
      <c r="OK92" s="250"/>
      <c r="OL92" s="250"/>
      <c r="OM92" s="250"/>
      <c r="ON92" s="250"/>
      <c r="OO92" s="250"/>
      <c r="OP92" s="250"/>
      <c r="OQ92" s="250"/>
      <c r="OR92" s="250"/>
      <c r="OS92" s="250"/>
      <c r="OT92" s="250"/>
      <c r="OU92" s="250"/>
      <c r="OV92" s="250"/>
      <c r="OW92" s="250"/>
      <c r="OX92" s="250"/>
      <c r="OY92" s="250"/>
      <c r="OZ92" s="250"/>
      <c r="PA92" s="250"/>
      <c r="PB92" s="250"/>
      <c r="PC92" s="250"/>
      <c r="PD92" s="250"/>
      <c r="PE92" s="250"/>
      <c r="PF92" s="250"/>
      <c r="PG92" s="250"/>
      <c r="PH92" s="250"/>
      <c r="PI92" s="250"/>
      <c r="PJ92" s="250"/>
      <c r="PK92" s="250"/>
      <c r="PL92" s="250"/>
      <c r="PM92" s="250"/>
      <c r="PN92" s="250"/>
      <c r="PO92" s="250"/>
      <c r="PP92" s="250"/>
      <c r="PQ92" s="250"/>
      <c r="PR92" s="250"/>
      <c r="PS92" s="250"/>
      <c r="PT92" s="250"/>
      <c r="PU92" s="250"/>
      <c r="PV92" s="250"/>
      <c r="PW92" s="250"/>
      <c r="PX92" s="250"/>
      <c r="PY92" s="250"/>
      <c r="PZ92" s="250"/>
      <c r="QA92" s="250"/>
      <c r="QB92" s="250"/>
      <c r="QC92" s="250"/>
      <c r="QD92" s="250"/>
      <c r="QE92" s="250"/>
      <c r="QF92" s="250"/>
      <c r="QG92" s="250"/>
      <c r="QH92" s="250"/>
      <c r="QI92" s="250"/>
      <c r="QJ92" s="250"/>
      <c r="QK92" s="250"/>
      <c r="QL92" s="250"/>
      <c r="QM92" s="250"/>
      <c r="QN92" s="250"/>
      <c r="QO92" s="250"/>
      <c r="QP92" s="250"/>
      <c r="QQ92" s="250"/>
      <c r="QR92" s="250"/>
      <c r="QS92" s="250"/>
      <c r="QT92" s="250"/>
      <c r="QU92" s="250"/>
      <c r="QV92" s="250"/>
      <c r="QW92" s="250"/>
      <c r="QX92" s="250"/>
      <c r="QY92" s="250"/>
      <c r="QZ92" s="250"/>
      <c r="RA92" s="250"/>
      <c r="RB92" s="250"/>
      <c r="RC92" s="250"/>
      <c r="RD92" s="250"/>
      <c r="RE92" s="250"/>
      <c r="RF92" s="250"/>
      <c r="RG92" s="250"/>
      <c r="RH92" s="250"/>
      <c r="RI92" s="250"/>
      <c r="RJ92" s="250"/>
      <c r="RK92" s="250"/>
      <c r="RL92" s="250"/>
      <c r="RM92" s="250"/>
      <c r="RN92" s="250"/>
      <c r="RO92" s="250"/>
      <c r="RP92" s="250"/>
      <c r="RQ92" s="250"/>
      <c r="RR92" s="250"/>
      <c r="RS92" s="250"/>
      <c r="RT92" s="250"/>
      <c r="RU92" s="250"/>
      <c r="RV92" s="250"/>
      <c r="RW92" s="250"/>
      <c r="RX92" s="250"/>
      <c r="RY92" s="250"/>
      <c r="RZ92" s="250"/>
      <c r="SA92" s="250"/>
      <c r="SB92" s="250"/>
      <c r="SC92" s="250"/>
      <c r="SD92" s="250"/>
      <c r="SE92" s="250"/>
      <c r="SF92" s="250"/>
      <c r="SG92" s="250"/>
      <c r="SH92" s="250"/>
      <c r="SI92" s="250"/>
      <c r="SJ92" s="250"/>
      <c r="SK92" s="250"/>
      <c r="SL92" s="250"/>
      <c r="SM92" s="250"/>
      <c r="SN92" s="250"/>
      <c r="SO92" s="250"/>
      <c r="SP92" s="250"/>
      <c r="SQ92" s="250"/>
      <c r="SR92" s="250"/>
      <c r="SS92" s="250"/>
      <c r="ST92" s="250"/>
      <c r="SU92" s="250"/>
      <c r="SV92" s="250"/>
      <c r="SW92" s="250"/>
      <c r="SX92" s="250"/>
      <c r="SY92" s="250"/>
      <c r="SZ92" s="250"/>
      <c r="TA92" s="250"/>
      <c r="TB92" s="250"/>
      <c r="TC92" s="250"/>
      <c r="TD92" s="250"/>
      <c r="TE92" s="250"/>
      <c r="TF92" s="250"/>
      <c r="TG92" s="250"/>
      <c r="TH92" s="250"/>
      <c r="TI92" s="250"/>
      <c r="TJ92" s="250"/>
      <c r="TK92" s="250"/>
      <c r="TL92" s="250"/>
      <c r="TM92" s="250"/>
      <c r="TN92" s="250"/>
      <c r="TO92" s="250"/>
      <c r="TP92" s="250"/>
      <c r="TQ92" s="250"/>
      <c r="TR92" s="250"/>
      <c r="TS92" s="250"/>
      <c r="TT92" s="250"/>
      <c r="TU92" s="250"/>
      <c r="TV92" s="250"/>
      <c r="TW92" s="250"/>
      <c r="TX92" s="250"/>
      <c r="TY92" s="250"/>
      <c r="TZ92" s="250"/>
      <c r="UA92" s="250"/>
      <c r="UB92" s="250"/>
      <c r="UC92" s="250"/>
      <c r="UD92" s="250"/>
      <c r="UE92" s="250"/>
      <c r="UF92" s="250"/>
      <c r="UG92" s="250"/>
      <c r="UH92" s="250"/>
    </row>
    <row r="93" spans="1:554" s="15" customFormat="1" x14ac:dyDescent="0.25">
      <c r="A93" s="382"/>
      <c r="B93" s="382"/>
      <c r="C93" s="464" t="s">
        <v>52</v>
      </c>
      <c r="D93" s="382">
        <v>1961</v>
      </c>
      <c r="E93" s="382">
        <v>1</v>
      </c>
      <c r="F93" s="382">
        <v>5</v>
      </c>
      <c r="G93" s="382">
        <v>11</v>
      </c>
      <c r="H93" s="383">
        <f>SUM(H86:H92)</f>
        <v>16754.38</v>
      </c>
      <c r="I93" s="1054"/>
      <c r="J93" s="1054"/>
      <c r="K93" s="390">
        <f t="shared" ref="K93:T93" si="40">SUM(K86:K92)</f>
        <v>169648.44999999998</v>
      </c>
      <c r="L93" s="397">
        <f t="shared" si="40"/>
        <v>162627.72</v>
      </c>
      <c r="M93" s="1057"/>
      <c r="N93" s="1057"/>
      <c r="O93" s="394">
        <f t="shared" si="40"/>
        <v>153196.87344</v>
      </c>
      <c r="P93" s="468">
        <f t="shared" si="40"/>
        <v>1197.98</v>
      </c>
      <c r="Q93" s="393">
        <f t="shared" si="40"/>
        <v>709.5</v>
      </c>
      <c r="R93" s="393">
        <f>SUM(R86:R92)</f>
        <v>125864.71999999999</v>
      </c>
      <c r="S93" s="393">
        <f t="shared" si="40"/>
        <v>25424.673439999999</v>
      </c>
      <c r="T93" s="393">
        <f t="shared" si="40"/>
        <v>16451.576559999998</v>
      </c>
      <c r="U93" s="470">
        <f t="shared" si="37"/>
        <v>95.86160085753805</v>
      </c>
      <c r="V93" s="470">
        <f>O93/H93/4</f>
        <v>2.2859227473651664</v>
      </c>
      <c r="W93" s="393"/>
      <c r="X93" s="294">
        <f>SUM(X86:X92)</f>
        <v>2115.5</v>
      </c>
      <c r="Y93" s="1082">
        <f>SUM(Y86:Y92)</f>
        <v>7020.7299999999977</v>
      </c>
      <c r="Z93" s="466"/>
      <c r="AA93" s="466"/>
      <c r="AB93" s="466"/>
      <c r="AC93" s="466"/>
      <c r="AD93" s="466"/>
      <c r="AE93" s="466"/>
      <c r="AF93" s="466"/>
      <c r="AG93" s="466"/>
      <c r="AH93" s="466"/>
      <c r="AI93" s="466"/>
      <c r="AJ93" s="466"/>
      <c r="AK93" s="466"/>
      <c r="AL93" s="466"/>
      <c r="AM93" s="466"/>
      <c r="AN93" s="466"/>
      <c r="AO93" s="466"/>
      <c r="AP93" s="466"/>
      <c r="AQ93" s="466"/>
      <c r="AR93" s="466"/>
      <c r="AS93" s="466"/>
      <c r="AT93" s="466"/>
      <c r="AU93" s="466"/>
      <c r="AV93" s="466"/>
      <c r="AW93" s="466"/>
      <c r="AX93" s="466"/>
      <c r="AY93" s="466"/>
      <c r="AZ93" s="466"/>
      <c r="BA93" s="466"/>
      <c r="BB93" s="466"/>
      <c r="BC93" s="250"/>
      <c r="BD93" s="250"/>
      <c r="BE93" s="250"/>
      <c r="BF93" s="250"/>
      <c r="BG93" s="250"/>
      <c r="BH93" s="250"/>
      <c r="BI93" s="250"/>
      <c r="BJ93" s="250"/>
      <c r="BK93" s="250"/>
      <c r="BL93" s="250"/>
      <c r="BM93" s="250"/>
      <c r="BN93" s="250"/>
      <c r="BO93" s="250"/>
      <c r="BP93" s="250"/>
      <c r="BQ93" s="250"/>
      <c r="BR93" s="250"/>
      <c r="BS93" s="250"/>
      <c r="BT93" s="250"/>
      <c r="BU93" s="250"/>
      <c r="BV93" s="250"/>
      <c r="BW93" s="250"/>
      <c r="BX93" s="250"/>
      <c r="BY93" s="250"/>
      <c r="BZ93" s="250"/>
      <c r="CA93" s="250"/>
      <c r="CB93" s="250"/>
      <c r="CC93" s="250"/>
      <c r="CD93" s="250"/>
      <c r="CE93" s="250"/>
      <c r="CF93" s="250"/>
      <c r="CG93" s="250"/>
      <c r="CH93" s="250"/>
      <c r="CI93" s="250"/>
      <c r="CJ93" s="250"/>
      <c r="CK93" s="250"/>
      <c r="CL93" s="250"/>
      <c r="CM93" s="250"/>
      <c r="CN93" s="250"/>
      <c r="CO93" s="250"/>
      <c r="CP93" s="250"/>
      <c r="CQ93" s="250"/>
      <c r="CR93" s="250"/>
      <c r="CS93" s="250"/>
      <c r="CT93" s="250"/>
      <c r="CU93" s="250"/>
      <c r="CV93" s="250"/>
      <c r="CW93" s="250"/>
      <c r="CX93" s="250"/>
      <c r="CY93" s="250"/>
      <c r="CZ93" s="250"/>
      <c r="DA93" s="250"/>
      <c r="DB93" s="250"/>
      <c r="DC93" s="250"/>
      <c r="DD93" s="250"/>
      <c r="DE93" s="250"/>
      <c r="DF93" s="250"/>
      <c r="DG93" s="250"/>
      <c r="DH93" s="250"/>
      <c r="DI93" s="250"/>
      <c r="DJ93" s="250"/>
      <c r="DK93" s="250"/>
      <c r="DL93" s="250"/>
      <c r="DM93" s="250"/>
      <c r="DN93" s="250"/>
      <c r="DO93" s="250"/>
      <c r="DP93" s="250"/>
      <c r="DQ93" s="250"/>
      <c r="DR93" s="250"/>
      <c r="DS93" s="250"/>
      <c r="DT93" s="250"/>
      <c r="DU93" s="250"/>
      <c r="DV93" s="250"/>
      <c r="DW93" s="250"/>
      <c r="DX93" s="250"/>
      <c r="DY93" s="250"/>
      <c r="DZ93" s="250"/>
      <c r="EA93" s="250"/>
      <c r="EB93" s="250"/>
      <c r="EC93" s="250"/>
      <c r="ED93" s="250"/>
      <c r="EE93" s="250"/>
      <c r="EF93" s="250"/>
      <c r="EG93" s="250"/>
      <c r="EH93" s="250"/>
      <c r="EI93" s="250"/>
      <c r="EJ93" s="250"/>
      <c r="EK93" s="250"/>
      <c r="EL93" s="250"/>
      <c r="EM93" s="250"/>
      <c r="EN93" s="250"/>
      <c r="EO93" s="250"/>
      <c r="EP93" s="250"/>
      <c r="EQ93" s="250"/>
      <c r="ER93" s="250"/>
      <c r="ES93" s="250"/>
      <c r="ET93" s="250"/>
      <c r="EU93" s="250"/>
      <c r="EV93" s="250"/>
      <c r="EW93" s="250"/>
      <c r="EX93" s="250"/>
      <c r="EY93" s="250"/>
      <c r="EZ93" s="250"/>
      <c r="FA93" s="250"/>
      <c r="FB93" s="250"/>
      <c r="FC93" s="250"/>
      <c r="FD93" s="250"/>
      <c r="FE93" s="250"/>
      <c r="FF93" s="250"/>
      <c r="FG93" s="250"/>
      <c r="FH93" s="250"/>
      <c r="FI93" s="250"/>
      <c r="FJ93" s="250"/>
      <c r="FK93" s="250"/>
      <c r="FL93" s="250"/>
      <c r="FM93" s="250"/>
      <c r="FN93" s="250"/>
      <c r="FO93" s="250"/>
      <c r="FP93" s="250"/>
      <c r="FQ93" s="250"/>
      <c r="FR93" s="250"/>
      <c r="FS93" s="250"/>
      <c r="FT93" s="250"/>
      <c r="FU93" s="250"/>
      <c r="FV93" s="250"/>
      <c r="FW93" s="250"/>
      <c r="FX93" s="250"/>
      <c r="FY93" s="250"/>
      <c r="FZ93" s="250"/>
      <c r="GA93" s="250"/>
      <c r="GB93" s="250"/>
      <c r="GC93" s="250"/>
      <c r="GD93" s="250"/>
      <c r="GE93" s="250"/>
      <c r="GF93" s="250"/>
      <c r="GG93" s="250"/>
      <c r="GH93" s="250"/>
      <c r="GI93" s="250"/>
      <c r="GJ93" s="250"/>
      <c r="GK93" s="250"/>
      <c r="GL93" s="250"/>
      <c r="GM93" s="250"/>
      <c r="GN93" s="250"/>
      <c r="GO93" s="250"/>
      <c r="GP93" s="250"/>
      <c r="GQ93" s="250"/>
      <c r="GR93" s="250"/>
      <c r="GS93" s="250"/>
      <c r="GT93" s="250"/>
      <c r="GU93" s="250"/>
      <c r="GV93" s="250"/>
      <c r="GW93" s="250"/>
      <c r="GX93" s="250"/>
      <c r="GY93" s="250"/>
      <c r="GZ93" s="250"/>
      <c r="HA93" s="250"/>
      <c r="HB93" s="250"/>
      <c r="HC93" s="250"/>
      <c r="HD93" s="250"/>
      <c r="HE93" s="250"/>
      <c r="HF93" s="250"/>
      <c r="HG93" s="250"/>
      <c r="HH93" s="250"/>
      <c r="HI93" s="250"/>
      <c r="HJ93" s="250"/>
      <c r="HK93" s="250"/>
      <c r="HL93" s="250"/>
      <c r="HM93" s="250"/>
      <c r="HN93" s="250"/>
      <c r="HO93" s="250"/>
      <c r="HP93" s="250"/>
      <c r="HQ93" s="250"/>
      <c r="HR93" s="250"/>
      <c r="HS93" s="250"/>
      <c r="HT93" s="250"/>
      <c r="HU93" s="250"/>
      <c r="HV93" s="250"/>
      <c r="HW93" s="250"/>
      <c r="HX93" s="250"/>
      <c r="HY93" s="250"/>
      <c r="HZ93" s="250"/>
      <c r="IA93" s="250"/>
      <c r="IB93" s="250"/>
      <c r="IC93" s="250"/>
      <c r="ID93" s="250"/>
      <c r="IE93" s="250"/>
      <c r="IF93" s="250"/>
      <c r="IG93" s="250"/>
      <c r="IH93" s="250"/>
      <c r="II93" s="250"/>
      <c r="IJ93" s="250"/>
      <c r="IK93" s="250"/>
      <c r="IL93" s="250"/>
      <c r="IM93" s="250"/>
      <c r="IN93" s="250"/>
      <c r="IO93" s="250"/>
      <c r="IP93" s="250"/>
      <c r="IQ93" s="250"/>
      <c r="IR93" s="250"/>
      <c r="IS93" s="250"/>
      <c r="IT93" s="250"/>
      <c r="IU93" s="250"/>
      <c r="IV93" s="250"/>
      <c r="IW93" s="250"/>
      <c r="IX93" s="250"/>
      <c r="IY93" s="250"/>
      <c r="IZ93" s="250"/>
      <c r="JA93" s="250"/>
      <c r="JB93" s="250"/>
      <c r="JC93" s="250"/>
      <c r="JD93" s="250"/>
      <c r="JE93" s="250"/>
      <c r="JF93" s="250"/>
      <c r="JG93" s="250"/>
      <c r="JH93" s="250"/>
      <c r="JI93" s="250"/>
      <c r="JJ93" s="250"/>
      <c r="JK93" s="250"/>
      <c r="JL93" s="250"/>
      <c r="JM93" s="250"/>
      <c r="JN93" s="250"/>
      <c r="JO93" s="250"/>
      <c r="JP93" s="250"/>
      <c r="JQ93" s="250"/>
      <c r="JR93" s="250"/>
      <c r="JS93" s="250"/>
      <c r="JT93" s="250"/>
      <c r="JU93" s="250"/>
      <c r="JV93" s="250"/>
      <c r="JW93" s="250"/>
      <c r="JX93" s="250"/>
      <c r="JY93" s="250"/>
      <c r="JZ93" s="250"/>
      <c r="KA93" s="250"/>
      <c r="KB93" s="250"/>
      <c r="KC93" s="250"/>
      <c r="KD93" s="250"/>
      <c r="KE93" s="250"/>
      <c r="KF93" s="250"/>
      <c r="KG93" s="250"/>
      <c r="KH93" s="250"/>
      <c r="KI93" s="250"/>
      <c r="KJ93" s="250"/>
      <c r="KK93" s="250"/>
      <c r="KL93" s="250"/>
      <c r="KM93" s="250"/>
      <c r="KN93" s="250"/>
      <c r="KO93" s="250"/>
      <c r="KP93" s="250"/>
      <c r="KQ93" s="250"/>
      <c r="KR93" s="250"/>
      <c r="KS93" s="250"/>
      <c r="KT93" s="250"/>
      <c r="KU93" s="250"/>
      <c r="KV93" s="250"/>
      <c r="KW93" s="250"/>
      <c r="KX93" s="250"/>
      <c r="KY93" s="250"/>
      <c r="KZ93" s="250"/>
      <c r="LA93" s="250"/>
      <c r="LB93" s="250"/>
      <c r="LC93" s="250"/>
      <c r="LD93" s="250"/>
      <c r="LE93" s="250"/>
      <c r="LF93" s="250"/>
      <c r="LG93" s="250"/>
      <c r="LH93" s="250"/>
      <c r="LI93" s="250"/>
      <c r="LJ93" s="250"/>
      <c r="LK93" s="250"/>
      <c r="LL93" s="250"/>
      <c r="LM93" s="250"/>
      <c r="LN93" s="250"/>
      <c r="LO93" s="250"/>
      <c r="LP93" s="250"/>
      <c r="LQ93" s="250"/>
      <c r="LR93" s="250"/>
      <c r="LS93" s="250"/>
      <c r="LT93" s="250"/>
      <c r="LU93" s="250"/>
      <c r="LV93" s="250"/>
      <c r="LW93" s="250"/>
      <c r="LX93" s="250"/>
      <c r="LY93" s="250"/>
      <c r="LZ93" s="250"/>
      <c r="MA93" s="250"/>
      <c r="MB93" s="250"/>
      <c r="MC93" s="250"/>
      <c r="MD93" s="250"/>
      <c r="ME93" s="250"/>
      <c r="MF93" s="250"/>
      <c r="MG93" s="250"/>
      <c r="MH93" s="250"/>
      <c r="MI93" s="250"/>
      <c r="MJ93" s="250"/>
      <c r="MK93" s="250"/>
      <c r="ML93" s="250"/>
      <c r="MM93" s="250"/>
      <c r="MN93" s="250"/>
      <c r="MO93" s="250"/>
      <c r="MP93" s="250"/>
      <c r="MQ93" s="250"/>
      <c r="MR93" s="250"/>
      <c r="MS93" s="250"/>
      <c r="MT93" s="250"/>
      <c r="MU93" s="250"/>
      <c r="MV93" s="250"/>
      <c r="MW93" s="250"/>
      <c r="MX93" s="250"/>
      <c r="MY93" s="250"/>
      <c r="MZ93" s="250"/>
      <c r="NA93" s="250"/>
      <c r="NB93" s="250"/>
      <c r="NC93" s="250"/>
      <c r="ND93" s="250"/>
      <c r="NE93" s="250"/>
      <c r="NF93" s="250"/>
      <c r="NG93" s="250"/>
      <c r="NH93" s="250"/>
      <c r="NI93" s="250"/>
      <c r="NJ93" s="250"/>
      <c r="NK93" s="250"/>
      <c r="NL93" s="250"/>
      <c r="NM93" s="250"/>
      <c r="NN93" s="250"/>
      <c r="NO93" s="250"/>
      <c r="NP93" s="250"/>
      <c r="NQ93" s="250"/>
      <c r="NR93" s="250"/>
      <c r="NS93" s="250"/>
      <c r="NT93" s="250"/>
      <c r="NU93" s="250"/>
      <c r="NV93" s="250"/>
      <c r="NW93" s="250"/>
      <c r="NX93" s="250"/>
      <c r="NY93" s="250"/>
      <c r="NZ93" s="250"/>
      <c r="OA93" s="250"/>
      <c r="OB93" s="250"/>
      <c r="OC93" s="250"/>
      <c r="OD93" s="250"/>
      <c r="OE93" s="250"/>
      <c r="OF93" s="250"/>
      <c r="OG93" s="250"/>
      <c r="OH93" s="250"/>
      <c r="OI93" s="250"/>
      <c r="OJ93" s="250"/>
      <c r="OK93" s="250"/>
      <c r="OL93" s="250"/>
      <c r="OM93" s="250"/>
      <c r="ON93" s="250"/>
      <c r="OO93" s="250"/>
      <c r="OP93" s="250"/>
      <c r="OQ93" s="250"/>
      <c r="OR93" s="250"/>
      <c r="OS93" s="250"/>
      <c r="OT93" s="250"/>
      <c r="OU93" s="250"/>
      <c r="OV93" s="250"/>
      <c r="OW93" s="250"/>
      <c r="OX93" s="250"/>
      <c r="OY93" s="250"/>
      <c r="OZ93" s="250"/>
      <c r="PA93" s="250"/>
      <c r="PB93" s="250"/>
      <c r="PC93" s="250"/>
      <c r="PD93" s="250"/>
      <c r="PE93" s="250"/>
      <c r="PF93" s="250"/>
      <c r="PG93" s="250"/>
      <c r="PH93" s="250"/>
      <c r="PI93" s="250"/>
      <c r="PJ93" s="250"/>
      <c r="PK93" s="250"/>
      <c r="PL93" s="250"/>
      <c r="PM93" s="250"/>
      <c r="PN93" s="250"/>
      <c r="PO93" s="250"/>
      <c r="PP93" s="250"/>
      <c r="PQ93" s="250"/>
      <c r="PR93" s="250"/>
      <c r="PS93" s="250"/>
      <c r="PT93" s="250"/>
      <c r="PU93" s="250"/>
      <c r="PV93" s="250"/>
      <c r="PW93" s="250"/>
      <c r="PX93" s="250"/>
      <c r="PY93" s="250"/>
      <c r="PZ93" s="250"/>
      <c r="QA93" s="250"/>
      <c r="QB93" s="250"/>
      <c r="QC93" s="250"/>
      <c r="QD93" s="250"/>
      <c r="QE93" s="250"/>
      <c r="QF93" s="250"/>
      <c r="QG93" s="250"/>
      <c r="QH93" s="250"/>
      <c r="QI93" s="250"/>
      <c r="QJ93" s="250"/>
      <c r="QK93" s="250"/>
      <c r="QL93" s="250"/>
      <c r="QM93" s="250"/>
      <c r="QN93" s="250"/>
      <c r="QO93" s="250"/>
      <c r="QP93" s="250"/>
      <c r="QQ93" s="250"/>
      <c r="QR93" s="250"/>
      <c r="QS93" s="250"/>
      <c r="QT93" s="250"/>
      <c r="QU93" s="250"/>
      <c r="QV93" s="250"/>
      <c r="QW93" s="250"/>
      <c r="QX93" s="250"/>
      <c r="QY93" s="250"/>
      <c r="QZ93" s="250"/>
      <c r="RA93" s="250"/>
      <c r="RB93" s="250"/>
      <c r="RC93" s="250"/>
      <c r="RD93" s="250"/>
      <c r="RE93" s="250"/>
      <c r="RF93" s="250"/>
      <c r="RG93" s="250"/>
      <c r="RH93" s="250"/>
      <c r="RI93" s="250"/>
      <c r="RJ93" s="250"/>
      <c r="RK93" s="250"/>
      <c r="RL93" s="250"/>
      <c r="RM93" s="250"/>
      <c r="RN93" s="250"/>
      <c r="RO93" s="250"/>
      <c r="RP93" s="250"/>
      <c r="RQ93" s="250"/>
      <c r="RR93" s="250"/>
      <c r="RS93" s="250"/>
      <c r="RT93" s="250"/>
      <c r="RU93" s="250"/>
      <c r="RV93" s="250"/>
      <c r="RW93" s="250"/>
      <c r="RX93" s="250"/>
      <c r="RY93" s="250"/>
      <c r="RZ93" s="250"/>
      <c r="SA93" s="250"/>
      <c r="SB93" s="250"/>
      <c r="SC93" s="250"/>
      <c r="SD93" s="250"/>
      <c r="SE93" s="250"/>
      <c r="SF93" s="250"/>
      <c r="SG93" s="250"/>
      <c r="SH93" s="250"/>
      <c r="SI93" s="250"/>
      <c r="SJ93" s="250"/>
      <c r="SK93" s="250"/>
      <c r="SL93" s="250"/>
      <c r="SM93" s="250"/>
      <c r="SN93" s="250"/>
      <c r="SO93" s="250"/>
      <c r="SP93" s="250"/>
      <c r="SQ93" s="250"/>
      <c r="SR93" s="250"/>
      <c r="SS93" s="250"/>
      <c r="ST93" s="250"/>
      <c r="SU93" s="250"/>
      <c r="SV93" s="250"/>
      <c r="SW93" s="250"/>
      <c r="SX93" s="250"/>
      <c r="SY93" s="250"/>
      <c r="SZ93" s="250"/>
      <c r="TA93" s="250"/>
      <c r="TB93" s="250"/>
      <c r="TC93" s="250"/>
      <c r="TD93" s="250"/>
      <c r="TE93" s="250"/>
      <c r="TF93" s="250"/>
      <c r="TG93" s="250"/>
      <c r="TH93" s="250"/>
      <c r="TI93" s="250"/>
      <c r="TJ93" s="250"/>
      <c r="TK93" s="250"/>
      <c r="TL93" s="250"/>
      <c r="TM93" s="250"/>
      <c r="TN93" s="250"/>
      <c r="TO93" s="250"/>
      <c r="TP93" s="250"/>
      <c r="TQ93" s="250"/>
      <c r="TR93" s="250"/>
      <c r="TS93" s="250"/>
      <c r="TT93" s="250"/>
      <c r="TU93" s="250"/>
      <c r="TV93" s="250"/>
      <c r="TW93" s="250"/>
      <c r="TX93" s="250"/>
      <c r="TY93" s="250"/>
      <c r="TZ93" s="250"/>
      <c r="UA93" s="250"/>
      <c r="UB93" s="250"/>
      <c r="UC93" s="250"/>
      <c r="UD93" s="250"/>
      <c r="UE93" s="250"/>
      <c r="UF93" s="250"/>
      <c r="UG93" s="250"/>
      <c r="UH93" s="250"/>
    </row>
    <row r="94" spans="1:554" x14ac:dyDescent="0.25">
      <c r="P94" s="469">
        <f>P93+Q93</f>
        <v>1907.48</v>
      </c>
      <c r="R94" s="352">
        <f>R93+S93</f>
        <v>151289.39343999999</v>
      </c>
      <c r="Y94" s="466"/>
      <c r="Z94" s="466"/>
      <c r="AA94" s="466"/>
      <c r="AB94" s="466" t="s">
        <v>178</v>
      </c>
      <c r="AC94" s="466"/>
      <c r="AD94" s="466"/>
      <c r="AE94" s="466"/>
      <c r="AF94" s="466"/>
      <c r="AG94" s="466"/>
      <c r="AH94" s="466"/>
      <c r="AI94" s="466"/>
      <c r="AJ94" s="466"/>
      <c r="AK94" s="466"/>
      <c r="AL94" s="466"/>
      <c r="AM94" s="466"/>
      <c r="AN94" s="466"/>
      <c r="AO94" s="466"/>
      <c r="AP94" s="466"/>
      <c r="AQ94" s="466"/>
      <c r="AR94" s="466"/>
      <c r="AS94" s="466"/>
      <c r="AT94" s="466"/>
      <c r="AU94" s="466"/>
      <c r="AV94" s="466"/>
      <c r="AW94" s="466"/>
      <c r="AX94" s="466"/>
      <c r="AY94" s="466"/>
      <c r="AZ94" s="466"/>
      <c r="BA94" s="466"/>
      <c r="BB94" s="466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50"/>
      <c r="CB94" s="250"/>
      <c r="CC94" s="250"/>
      <c r="CD94" s="250"/>
      <c r="CE94" s="250"/>
      <c r="CF94" s="250"/>
      <c r="CG94" s="250"/>
      <c r="CH94" s="250"/>
      <c r="CI94" s="250"/>
      <c r="CJ94" s="250"/>
      <c r="CK94" s="250"/>
      <c r="CL94" s="250"/>
      <c r="CM94" s="250"/>
      <c r="CN94" s="250"/>
      <c r="CO94" s="250"/>
      <c r="CP94" s="250"/>
      <c r="CQ94" s="250"/>
      <c r="CR94" s="250"/>
      <c r="CS94" s="250"/>
      <c r="CT94" s="250"/>
      <c r="CU94" s="250"/>
      <c r="CV94" s="250"/>
      <c r="CW94" s="250"/>
      <c r="CX94" s="250"/>
      <c r="CY94" s="250"/>
      <c r="CZ94" s="250"/>
      <c r="DA94" s="250"/>
      <c r="DB94" s="250"/>
      <c r="DC94" s="250"/>
      <c r="DD94" s="250"/>
      <c r="DE94" s="250"/>
      <c r="DF94" s="250"/>
      <c r="DG94" s="250"/>
      <c r="DH94" s="250"/>
      <c r="DI94" s="250"/>
      <c r="DJ94" s="250"/>
      <c r="DK94" s="250"/>
      <c r="DL94" s="250"/>
      <c r="DM94" s="250"/>
      <c r="DN94" s="250"/>
      <c r="DO94" s="250"/>
      <c r="DP94" s="250"/>
      <c r="DQ94" s="250"/>
      <c r="DR94" s="250"/>
      <c r="DS94" s="250"/>
      <c r="DT94" s="250"/>
      <c r="DU94" s="250"/>
      <c r="DV94" s="250"/>
      <c r="DW94" s="250"/>
      <c r="DX94" s="250"/>
      <c r="DY94" s="250"/>
      <c r="DZ94" s="250"/>
      <c r="EA94" s="250"/>
      <c r="EB94" s="250"/>
      <c r="EC94" s="250"/>
      <c r="ED94" s="250"/>
      <c r="EE94" s="250"/>
      <c r="EF94" s="250"/>
      <c r="EG94" s="250"/>
      <c r="EH94" s="250"/>
      <c r="EI94" s="250"/>
      <c r="EJ94" s="250"/>
      <c r="EK94" s="250"/>
      <c r="EL94" s="250"/>
      <c r="EM94" s="250"/>
      <c r="EN94" s="250"/>
      <c r="EO94" s="250"/>
      <c r="EP94" s="250"/>
      <c r="EQ94" s="250"/>
      <c r="ER94" s="250"/>
      <c r="ES94" s="250"/>
      <c r="ET94" s="250"/>
      <c r="EU94" s="250"/>
      <c r="EV94" s="250"/>
      <c r="EW94" s="250"/>
      <c r="EX94" s="250"/>
      <c r="EY94" s="250"/>
      <c r="EZ94" s="250"/>
      <c r="FA94" s="250"/>
      <c r="FB94" s="250"/>
      <c r="FC94" s="250"/>
      <c r="FD94" s="250"/>
      <c r="FE94" s="250"/>
      <c r="FF94" s="250"/>
      <c r="FG94" s="250"/>
      <c r="FH94" s="250"/>
      <c r="FI94" s="250"/>
      <c r="FJ94" s="250"/>
      <c r="FK94" s="250"/>
      <c r="FL94" s="250"/>
      <c r="FM94" s="250"/>
      <c r="FN94" s="250"/>
      <c r="FO94" s="250"/>
      <c r="FP94" s="250"/>
      <c r="FQ94" s="250"/>
      <c r="FR94" s="250"/>
      <c r="FS94" s="250"/>
      <c r="FT94" s="250"/>
      <c r="FU94" s="250"/>
      <c r="FV94" s="250"/>
      <c r="FW94" s="250"/>
      <c r="FX94" s="250"/>
      <c r="FY94" s="250"/>
      <c r="FZ94" s="250"/>
      <c r="GA94" s="250"/>
      <c r="GB94" s="250"/>
      <c r="GC94" s="250"/>
      <c r="GD94" s="250"/>
      <c r="GE94" s="250"/>
      <c r="GF94" s="250"/>
      <c r="GG94" s="250"/>
      <c r="GH94" s="250"/>
      <c r="GI94" s="250"/>
      <c r="GJ94" s="250"/>
      <c r="GK94" s="250"/>
      <c r="GL94" s="250"/>
      <c r="GM94" s="250"/>
      <c r="GN94" s="250"/>
      <c r="GO94" s="250"/>
      <c r="GP94" s="250"/>
      <c r="GQ94" s="250"/>
      <c r="GR94" s="250"/>
      <c r="GS94" s="250"/>
      <c r="GT94" s="250"/>
      <c r="GU94" s="250"/>
      <c r="GV94" s="250"/>
      <c r="GW94" s="250"/>
      <c r="GX94" s="250"/>
      <c r="GY94" s="250"/>
      <c r="GZ94" s="250"/>
      <c r="HA94" s="250"/>
      <c r="HB94" s="250"/>
      <c r="HC94" s="250"/>
      <c r="HD94" s="250"/>
      <c r="HE94" s="250"/>
      <c r="HF94" s="250"/>
      <c r="HG94" s="250"/>
      <c r="HH94" s="250"/>
      <c r="HI94" s="250"/>
      <c r="HJ94" s="250"/>
      <c r="HK94" s="250"/>
      <c r="HL94" s="250"/>
      <c r="HM94" s="250"/>
      <c r="HN94" s="250"/>
      <c r="HO94" s="250"/>
      <c r="HP94" s="250"/>
      <c r="HQ94" s="250"/>
      <c r="HR94" s="250"/>
      <c r="HS94" s="250"/>
      <c r="HT94" s="250"/>
      <c r="HU94" s="250"/>
      <c r="HV94" s="250"/>
      <c r="HW94" s="250"/>
      <c r="HX94" s="250"/>
      <c r="HY94" s="250"/>
      <c r="HZ94" s="250"/>
      <c r="IA94" s="250"/>
      <c r="IB94" s="250"/>
      <c r="IC94" s="250"/>
      <c r="ID94" s="250"/>
      <c r="IE94" s="250"/>
      <c r="IF94" s="250"/>
      <c r="IG94" s="250"/>
      <c r="IH94" s="250"/>
      <c r="II94" s="250"/>
      <c r="IJ94" s="250"/>
      <c r="IK94" s="250"/>
      <c r="IL94" s="250"/>
      <c r="IM94" s="250"/>
      <c r="IN94" s="250"/>
      <c r="IO94" s="250"/>
      <c r="IP94" s="250"/>
      <c r="IQ94" s="250"/>
      <c r="IR94" s="250"/>
      <c r="IS94" s="250"/>
      <c r="IT94" s="250"/>
      <c r="IU94" s="250"/>
      <c r="IV94" s="250"/>
      <c r="IW94" s="250"/>
      <c r="IX94" s="250"/>
      <c r="IY94" s="250"/>
      <c r="IZ94" s="250"/>
      <c r="JA94" s="250"/>
      <c r="JB94" s="250"/>
      <c r="JC94" s="250"/>
      <c r="JD94" s="250"/>
      <c r="JE94" s="250"/>
      <c r="JF94" s="250"/>
      <c r="JG94" s="250"/>
      <c r="JH94" s="250"/>
      <c r="JI94" s="250"/>
      <c r="JJ94" s="250"/>
      <c r="JK94" s="250"/>
      <c r="JL94" s="250"/>
      <c r="JM94" s="250"/>
      <c r="JN94" s="250"/>
      <c r="JO94" s="250"/>
      <c r="JP94" s="250"/>
      <c r="JQ94" s="250"/>
      <c r="JR94" s="250"/>
      <c r="JS94" s="250"/>
      <c r="JT94" s="250"/>
      <c r="JU94" s="250"/>
      <c r="JV94" s="250"/>
      <c r="JW94" s="250"/>
      <c r="JX94" s="250"/>
      <c r="JY94" s="250"/>
      <c r="JZ94" s="250"/>
      <c r="KA94" s="250"/>
      <c r="KB94" s="250"/>
      <c r="KC94" s="250"/>
      <c r="KD94" s="250"/>
      <c r="KE94" s="250"/>
      <c r="KF94" s="250"/>
      <c r="KG94" s="250"/>
      <c r="KH94" s="250"/>
      <c r="KI94" s="250"/>
      <c r="KJ94" s="250"/>
      <c r="KK94" s="250"/>
      <c r="KL94" s="250"/>
      <c r="KM94" s="250"/>
      <c r="KN94" s="250"/>
      <c r="KO94" s="250"/>
      <c r="KP94" s="250"/>
      <c r="KQ94" s="250"/>
      <c r="KR94" s="250"/>
      <c r="KS94" s="250"/>
      <c r="KT94" s="250"/>
      <c r="KU94" s="250"/>
      <c r="KV94" s="250"/>
      <c r="KW94" s="250"/>
      <c r="KX94" s="250"/>
      <c r="KY94" s="250"/>
      <c r="KZ94" s="250"/>
      <c r="LA94" s="250"/>
      <c r="LB94" s="250"/>
      <c r="LC94" s="250"/>
      <c r="LD94" s="250"/>
      <c r="LE94" s="250"/>
      <c r="LF94" s="250"/>
      <c r="LG94" s="250"/>
      <c r="LH94" s="250"/>
      <c r="LI94" s="250"/>
      <c r="LJ94" s="250"/>
      <c r="LK94" s="250"/>
      <c r="LL94" s="250"/>
      <c r="LM94" s="250"/>
      <c r="LN94" s="250"/>
      <c r="LO94" s="250"/>
      <c r="LP94" s="250"/>
      <c r="LQ94" s="250"/>
      <c r="LR94" s="250"/>
      <c r="LS94" s="250"/>
      <c r="LT94" s="250"/>
      <c r="LU94" s="250"/>
      <c r="LV94" s="250"/>
      <c r="LW94" s="250"/>
      <c r="LX94" s="250"/>
      <c r="LY94" s="250"/>
      <c r="LZ94" s="250"/>
      <c r="MA94" s="250"/>
      <c r="MB94" s="250"/>
      <c r="MC94" s="250"/>
      <c r="MD94" s="250"/>
      <c r="ME94" s="250"/>
      <c r="MF94" s="250"/>
      <c r="MG94" s="250"/>
      <c r="MH94" s="250"/>
      <c r="MI94" s="250"/>
      <c r="MJ94" s="250"/>
      <c r="MK94" s="250"/>
      <c r="ML94" s="250"/>
      <c r="MM94" s="250"/>
      <c r="MN94" s="250"/>
      <c r="MO94" s="250"/>
      <c r="MP94" s="250"/>
      <c r="MQ94" s="250"/>
      <c r="MR94" s="250"/>
      <c r="MS94" s="250"/>
      <c r="MT94" s="250"/>
      <c r="MU94" s="250"/>
      <c r="MV94" s="250"/>
      <c r="MW94" s="250"/>
      <c r="MX94" s="250"/>
      <c r="MY94" s="250"/>
      <c r="MZ94" s="250"/>
      <c r="NA94" s="250"/>
      <c r="NB94" s="250"/>
      <c r="NC94" s="250"/>
      <c r="ND94" s="250"/>
      <c r="NE94" s="250"/>
      <c r="NF94" s="250"/>
      <c r="NG94" s="250"/>
      <c r="NH94" s="250"/>
      <c r="NI94" s="250"/>
      <c r="NJ94" s="250"/>
      <c r="NK94" s="250"/>
      <c r="NL94" s="250"/>
      <c r="NM94" s="250"/>
      <c r="NN94" s="250"/>
      <c r="NO94" s="250"/>
      <c r="NP94" s="250"/>
      <c r="NQ94" s="250"/>
      <c r="NR94" s="250"/>
      <c r="NS94" s="250"/>
      <c r="NT94" s="250"/>
      <c r="NU94" s="250"/>
      <c r="NV94" s="250"/>
      <c r="NW94" s="250"/>
      <c r="NX94" s="250"/>
      <c r="NY94" s="250"/>
      <c r="NZ94" s="250"/>
      <c r="OA94" s="250"/>
      <c r="OB94" s="250"/>
      <c r="OC94" s="250"/>
      <c r="OD94" s="250"/>
      <c r="OE94" s="250"/>
      <c r="OF94" s="250"/>
      <c r="OG94" s="250"/>
      <c r="OH94" s="250"/>
      <c r="OI94" s="250"/>
      <c r="OJ94" s="250"/>
      <c r="OK94" s="250"/>
      <c r="OL94" s="250"/>
      <c r="OM94" s="250"/>
      <c r="ON94" s="250"/>
      <c r="OO94" s="250"/>
      <c r="OP94" s="250"/>
      <c r="OQ94" s="250"/>
      <c r="OR94" s="250"/>
      <c r="OS94" s="250"/>
      <c r="OT94" s="250"/>
      <c r="OU94" s="250"/>
      <c r="OV94" s="250"/>
      <c r="OW94" s="250"/>
      <c r="OX94" s="250"/>
      <c r="OY94" s="250"/>
      <c r="OZ94" s="250"/>
      <c r="PA94" s="250"/>
      <c r="PB94" s="250"/>
      <c r="PC94" s="250"/>
      <c r="PD94" s="250"/>
      <c r="PE94" s="250"/>
      <c r="PF94" s="250"/>
      <c r="PG94" s="250"/>
      <c r="PH94" s="250"/>
      <c r="PI94" s="250"/>
      <c r="PJ94" s="250"/>
      <c r="PK94" s="250"/>
      <c r="PL94" s="250"/>
      <c r="PM94" s="250"/>
      <c r="PN94" s="250"/>
      <c r="PO94" s="250"/>
      <c r="PP94" s="250"/>
      <c r="PQ94" s="250"/>
      <c r="PR94" s="250"/>
      <c r="PS94" s="250"/>
      <c r="PT94" s="250"/>
      <c r="PU94" s="250"/>
      <c r="PV94" s="250"/>
      <c r="PW94" s="250"/>
      <c r="PX94" s="250"/>
      <c r="PY94" s="250"/>
      <c r="PZ94" s="250"/>
      <c r="QA94" s="250"/>
      <c r="QB94" s="250"/>
      <c r="QC94" s="250"/>
      <c r="QD94" s="250"/>
      <c r="QE94" s="250"/>
      <c r="QF94" s="250"/>
      <c r="QG94" s="250"/>
      <c r="QH94" s="250"/>
      <c r="QI94" s="250"/>
      <c r="QJ94" s="250"/>
      <c r="QK94" s="250"/>
      <c r="QL94" s="250"/>
      <c r="QM94" s="250"/>
      <c r="QN94" s="250"/>
      <c r="QO94" s="250"/>
      <c r="QP94" s="250"/>
      <c r="QQ94" s="250"/>
      <c r="QR94" s="250"/>
      <c r="QS94" s="250"/>
      <c r="QT94" s="250"/>
      <c r="QU94" s="250"/>
      <c r="QV94" s="250"/>
      <c r="QW94" s="250"/>
      <c r="QX94" s="250"/>
      <c r="QY94" s="250"/>
      <c r="QZ94" s="250"/>
      <c r="RA94" s="250"/>
      <c r="RB94" s="250"/>
      <c r="RC94" s="250"/>
      <c r="RD94" s="250"/>
      <c r="RE94" s="250"/>
      <c r="RF94" s="250"/>
      <c r="RG94" s="250"/>
      <c r="RH94" s="250"/>
      <c r="RI94" s="250"/>
      <c r="RJ94" s="250"/>
      <c r="RK94" s="250"/>
      <c r="RL94" s="250"/>
      <c r="RM94" s="250"/>
      <c r="RN94" s="250"/>
      <c r="RO94" s="250"/>
      <c r="RP94" s="250"/>
      <c r="RQ94" s="250"/>
      <c r="RR94" s="250"/>
      <c r="RS94" s="250"/>
      <c r="RT94" s="250"/>
      <c r="RU94" s="250"/>
      <c r="RV94" s="250"/>
      <c r="RW94" s="250"/>
      <c r="RX94" s="250"/>
      <c r="RY94" s="250"/>
      <c r="RZ94" s="250"/>
      <c r="SA94" s="250"/>
      <c r="SB94" s="250"/>
      <c r="SC94" s="250"/>
      <c r="SD94" s="250"/>
      <c r="SE94" s="250"/>
      <c r="SF94" s="250"/>
      <c r="SG94" s="250"/>
      <c r="SH94" s="250"/>
      <c r="SI94" s="250"/>
      <c r="SJ94" s="250"/>
      <c r="SK94" s="250"/>
      <c r="SL94" s="250"/>
      <c r="SM94" s="250"/>
      <c r="SN94" s="250"/>
      <c r="SO94" s="250"/>
      <c r="SP94" s="250"/>
      <c r="SQ94" s="250"/>
      <c r="SR94" s="250"/>
      <c r="SS94" s="250"/>
      <c r="ST94" s="250"/>
      <c r="SU94" s="250"/>
      <c r="SV94" s="250"/>
      <c r="SW94" s="250"/>
      <c r="SX94" s="250"/>
      <c r="SY94" s="250"/>
      <c r="SZ94" s="250"/>
      <c r="TA94" s="250"/>
      <c r="TB94" s="250"/>
      <c r="TC94" s="250"/>
      <c r="TD94" s="250"/>
      <c r="TE94" s="250"/>
      <c r="TF94" s="250"/>
      <c r="TG94" s="250"/>
      <c r="TH94" s="250"/>
      <c r="TI94" s="250"/>
      <c r="TJ94" s="250"/>
      <c r="TK94" s="250"/>
      <c r="TL94" s="250"/>
      <c r="TM94" s="250"/>
      <c r="TN94" s="250"/>
      <c r="TO94" s="250"/>
      <c r="TP94" s="250"/>
      <c r="TQ94" s="250"/>
      <c r="TR94" s="250"/>
      <c r="TS94" s="250"/>
      <c r="TT94" s="250"/>
      <c r="TU94" s="250"/>
      <c r="TV94" s="250"/>
      <c r="TW94" s="250"/>
      <c r="TX94" s="250"/>
      <c r="TY94" s="250"/>
      <c r="TZ94" s="250"/>
      <c r="UA94" s="250"/>
      <c r="UB94" s="250"/>
      <c r="UC94" s="250"/>
      <c r="UD94" s="250"/>
      <c r="UE94" s="250"/>
      <c r="UF94" s="250"/>
      <c r="UG94" s="250"/>
      <c r="UH94" s="250"/>
    </row>
    <row r="95" spans="1:554" x14ac:dyDescent="0.25">
      <c r="Y95" s="466"/>
      <c r="Z95" s="466"/>
      <c r="AA95" s="466"/>
      <c r="AB95" s="466"/>
      <c r="AC95" s="466"/>
      <c r="AD95" s="466"/>
      <c r="AE95" s="466"/>
      <c r="AF95" s="466"/>
      <c r="AG95" s="466"/>
      <c r="AH95" s="466"/>
      <c r="AI95" s="466"/>
      <c r="AJ95" s="466"/>
      <c r="AK95" s="466"/>
      <c r="AL95" s="466"/>
      <c r="AM95" s="466"/>
      <c r="AN95" s="466"/>
      <c r="AO95" s="466"/>
      <c r="AP95" s="466"/>
      <c r="AQ95" s="466"/>
      <c r="AR95" s="466"/>
      <c r="AS95" s="466"/>
      <c r="AT95" s="466"/>
      <c r="AU95" s="466"/>
      <c r="AV95" s="466"/>
      <c r="AW95" s="466"/>
      <c r="AX95" s="466"/>
      <c r="AY95" s="466"/>
      <c r="AZ95" s="466"/>
      <c r="BA95" s="466"/>
      <c r="BB95" s="466"/>
    </row>
    <row r="96" spans="1:554" x14ac:dyDescent="0.25">
      <c r="E96" s="353" t="s">
        <v>581</v>
      </c>
      <c r="Y96" s="466"/>
      <c r="Z96" s="466"/>
      <c r="AA96" s="466"/>
      <c r="AB96" s="466"/>
      <c r="AC96" s="466"/>
      <c r="AD96" s="466"/>
      <c r="AE96" s="466"/>
      <c r="AF96" s="466"/>
      <c r="AG96" s="466"/>
      <c r="AH96" s="466"/>
      <c r="AI96" s="466"/>
      <c r="AJ96" s="466"/>
      <c r="AK96" s="466"/>
      <c r="AL96" s="466"/>
      <c r="AM96" s="466"/>
      <c r="AN96" s="466"/>
      <c r="AO96" s="466"/>
      <c r="AP96" s="466"/>
      <c r="AQ96" s="466"/>
      <c r="AR96" s="466"/>
      <c r="AS96" s="466"/>
      <c r="AT96" s="466"/>
      <c r="AU96" s="466"/>
      <c r="AV96" s="466"/>
      <c r="AW96" s="466"/>
      <c r="AX96" s="466"/>
      <c r="AY96" s="466"/>
      <c r="AZ96" s="466"/>
      <c r="BA96" s="466"/>
      <c r="BB96" s="466"/>
    </row>
    <row r="97" spans="1:33" ht="15.75" x14ac:dyDescent="0.25">
      <c r="C97" s="11"/>
      <c r="D97" s="11"/>
      <c r="E97" s="11"/>
      <c r="F97" s="11"/>
      <c r="G97" s="11"/>
      <c r="H97" s="11"/>
      <c r="I97" s="11"/>
      <c r="J97" s="11"/>
    </row>
    <row r="98" spans="1:33" ht="15.75" x14ac:dyDescent="0.25">
      <c r="A98" s="10"/>
      <c r="B98" s="1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1:33" ht="15.75" customHeight="1" x14ac:dyDescent="0.25">
      <c r="A99" s="296"/>
      <c r="B99" s="296"/>
      <c r="C99" s="296"/>
      <c r="D99" s="296"/>
      <c r="E99" s="296"/>
      <c r="F99" s="296"/>
      <c r="G99" s="296"/>
      <c r="H99" s="296"/>
      <c r="I99" s="296"/>
      <c r="J99" s="296"/>
      <c r="K99" s="296"/>
      <c r="L99" s="296"/>
      <c r="M99" s="296"/>
      <c r="N99" s="296"/>
      <c r="O99" s="296"/>
      <c r="P99" s="296"/>
      <c r="Q99" s="296"/>
      <c r="R99" s="296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</row>
    <row r="100" spans="1:33" ht="22.5" customHeight="1" x14ac:dyDescent="0.25">
      <c r="A100" s="296"/>
      <c r="B100" s="296"/>
      <c r="C100" s="296"/>
      <c r="D100" s="296"/>
      <c r="E100" s="296"/>
      <c r="F100" s="296"/>
      <c r="G100" s="296"/>
      <c r="H100" s="296"/>
      <c r="I100" s="296"/>
      <c r="J100" s="296"/>
      <c r="K100" s="296"/>
      <c r="L100" s="296"/>
      <c r="M100" s="296"/>
      <c r="N100" s="296"/>
      <c r="O100" s="296"/>
      <c r="P100" s="296"/>
      <c r="Q100" s="296"/>
      <c r="R100" s="296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</row>
    <row r="101" spans="1:33" ht="18" customHeight="1" x14ac:dyDescent="0.25">
      <c r="A101" s="296"/>
      <c r="B101" s="296"/>
      <c r="C101" s="296"/>
      <c r="D101" s="296"/>
      <c r="E101" s="296"/>
      <c r="F101" s="296"/>
      <c r="G101" s="296"/>
      <c r="H101" s="296"/>
      <c r="I101" s="296"/>
      <c r="J101" s="296"/>
      <c r="K101" s="296"/>
      <c r="L101" s="296"/>
      <c r="M101" s="296"/>
      <c r="N101" s="296"/>
      <c r="O101" s="296"/>
      <c r="P101" s="296"/>
      <c r="Q101" s="296"/>
      <c r="R101" s="296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</row>
    <row r="102" spans="1:33" ht="15" customHeight="1" x14ac:dyDescent="0.25">
      <c r="A102" s="296"/>
      <c r="B102" s="296"/>
      <c r="C102" s="296"/>
      <c r="D102" s="296"/>
      <c r="E102" s="296"/>
      <c r="F102" s="296"/>
      <c r="G102" s="296"/>
      <c r="H102" s="296"/>
      <c r="I102" s="296"/>
      <c r="J102" s="296"/>
      <c r="K102" s="296"/>
      <c r="L102" s="296"/>
      <c r="M102" s="296"/>
      <c r="N102" s="296"/>
      <c r="O102" s="296"/>
      <c r="P102" s="296"/>
      <c r="Q102" s="296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</row>
    <row r="103" spans="1:33" ht="15" customHeight="1" x14ac:dyDescent="0.25">
      <c r="A103" s="296"/>
      <c r="B103" s="296"/>
      <c r="C103" s="296"/>
      <c r="D103" s="296"/>
      <c r="E103" s="296"/>
      <c r="F103" s="296"/>
      <c r="G103" s="296"/>
      <c r="H103" s="296"/>
      <c r="I103" s="296"/>
      <c r="J103" s="296"/>
      <c r="K103" s="296"/>
      <c r="L103" s="296"/>
      <c r="M103" s="296"/>
      <c r="N103" s="296"/>
      <c r="O103" s="296"/>
      <c r="P103" s="296"/>
      <c r="Q103" s="296"/>
      <c r="R103" s="296"/>
      <c r="S103" s="296"/>
      <c r="T103" s="296"/>
      <c r="U103" s="296"/>
      <c r="V103" s="296"/>
      <c r="W103" s="296"/>
      <c r="X103" s="296"/>
      <c r="Y103" s="296"/>
      <c r="Z103" s="296"/>
      <c r="AA103" s="296"/>
      <c r="AB103" s="296"/>
      <c r="AC103" s="296"/>
      <c r="AD103" s="296"/>
      <c r="AE103" s="296"/>
      <c r="AF103" s="296"/>
      <c r="AG103" s="296"/>
    </row>
    <row r="104" spans="1:33" ht="15" customHeight="1" x14ac:dyDescent="0.25">
      <c r="A104" s="296"/>
      <c r="B104" s="296"/>
      <c r="C104" s="296"/>
      <c r="D104" s="296"/>
      <c r="E104" s="296"/>
      <c r="F104" s="296"/>
      <c r="G104" s="296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296"/>
      <c r="S104" s="296"/>
      <c r="T104" s="296"/>
      <c r="U104" s="296"/>
      <c r="V104" s="296"/>
      <c r="W104" s="296"/>
      <c r="X104" s="296"/>
      <c r="Y104" s="296"/>
      <c r="Z104" s="296"/>
      <c r="AA104" s="296"/>
      <c r="AB104" s="296"/>
      <c r="AC104" s="296"/>
      <c r="AD104" s="296"/>
      <c r="AE104" s="296"/>
      <c r="AF104" s="296"/>
      <c r="AG104" s="296"/>
    </row>
    <row r="105" spans="1:33" ht="15" customHeight="1" x14ac:dyDescent="0.25">
      <c r="A105" s="296"/>
      <c r="B105" s="296"/>
      <c r="C105" s="296"/>
      <c r="D105" s="296"/>
      <c r="E105" s="296"/>
      <c r="F105" s="296"/>
      <c r="G105" s="296"/>
      <c r="H105" s="296"/>
      <c r="I105" s="296"/>
      <c r="J105" s="296"/>
      <c r="K105" s="296"/>
      <c r="L105" s="296"/>
      <c r="M105" s="296"/>
      <c r="N105" s="296"/>
      <c r="O105" s="296"/>
      <c r="P105" s="296"/>
      <c r="Q105" s="296"/>
      <c r="R105" s="296"/>
      <c r="S105" s="296"/>
      <c r="T105" s="296"/>
      <c r="U105" s="296"/>
      <c r="V105" s="296"/>
      <c r="W105" s="296"/>
      <c r="X105" s="296"/>
      <c r="Y105" s="296"/>
      <c r="Z105" s="296"/>
      <c r="AA105" s="296"/>
      <c r="AB105" s="296"/>
      <c r="AC105" s="296"/>
      <c r="AD105" s="296"/>
      <c r="AE105" s="296"/>
      <c r="AF105" s="296"/>
      <c r="AG105" s="296"/>
    </row>
    <row r="106" spans="1:33" ht="15" customHeight="1" x14ac:dyDescent="0.25">
      <c r="A106" s="296"/>
      <c r="B106" s="296"/>
      <c r="C106" s="296"/>
      <c r="D106" s="296"/>
      <c r="E106" s="296"/>
      <c r="F106" s="296"/>
      <c r="G106" s="296"/>
      <c r="H106" s="296"/>
      <c r="I106" s="296"/>
      <c r="J106" s="296"/>
      <c r="K106" s="296"/>
      <c r="L106" s="296"/>
      <c r="M106" s="296"/>
      <c r="N106" s="296"/>
      <c r="O106" s="296"/>
      <c r="P106" s="296"/>
      <c r="Q106" s="296"/>
      <c r="R106" s="296"/>
      <c r="S106" s="296"/>
      <c r="T106" s="296"/>
      <c r="U106" s="296"/>
      <c r="V106" s="296"/>
      <c r="W106" s="296"/>
      <c r="X106" s="296"/>
      <c r="Y106" s="296"/>
      <c r="Z106" s="296"/>
      <c r="AA106" s="296"/>
      <c r="AB106" s="296"/>
      <c r="AC106" s="296"/>
      <c r="AD106" s="296"/>
      <c r="AE106" s="296"/>
      <c r="AF106" s="296"/>
      <c r="AG106" s="296"/>
    </row>
    <row r="107" spans="1:33" ht="15" customHeight="1" x14ac:dyDescent="0.25">
      <c r="A107" s="296"/>
      <c r="B107" s="296"/>
      <c r="C107" s="296"/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6"/>
      <c r="O107" s="296"/>
      <c r="P107" s="296"/>
      <c r="Q107" s="296"/>
      <c r="R107" s="296"/>
      <c r="S107" s="296"/>
      <c r="T107" s="296"/>
      <c r="U107" s="296"/>
      <c r="V107" s="296"/>
      <c r="W107" s="296"/>
      <c r="X107" s="296"/>
      <c r="Y107" s="296"/>
      <c r="Z107" s="296"/>
      <c r="AA107" s="296"/>
      <c r="AB107" s="296"/>
      <c r="AC107" s="296"/>
      <c r="AD107" s="296"/>
      <c r="AE107" s="296"/>
      <c r="AF107" s="296"/>
      <c r="AG107" s="296"/>
    </row>
    <row r="108" spans="1:33" ht="15" customHeight="1" x14ac:dyDescent="0.25">
      <c r="A108" s="296"/>
      <c r="B108" s="296"/>
      <c r="C108" s="296"/>
      <c r="D108" s="296"/>
      <c r="E108" s="296"/>
      <c r="F108" s="296"/>
      <c r="G108" s="296"/>
      <c r="H108" s="296"/>
      <c r="I108" s="296"/>
      <c r="J108" s="296"/>
      <c r="K108" s="296"/>
      <c r="L108" s="296"/>
      <c r="M108" s="296"/>
      <c r="N108" s="296"/>
      <c r="O108" s="296"/>
      <c r="P108" s="296"/>
      <c r="Q108" s="296"/>
      <c r="R108" s="296"/>
      <c r="S108" s="296"/>
      <c r="T108" s="296"/>
      <c r="U108" s="296"/>
      <c r="V108" s="296"/>
      <c r="W108" s="296"/>
      <c r="X108" s="296"/>
      <c r="Y108" s="296"/>
      <c r="Z108" s="296"/>
      <c r="AA108" s="296"/>
      <c r="AB108" s="296"/>
      <c r="AC108" s="296"/>
      <c r="AD108" s="296"/>
      <c r="AE108" s="296"/>
      <c r="AF108" s="296"/>
      <c r="AG108" s="296"/>
    </row>
    <row r="109" spans="1:33" ht="15" customHeight="1" x14ac:dyDescent="0.25">
      <c r="A109" s="296"/>
      <c r="B109" s="296"/>
      <c r="C109" s="296"/>
      <c r="D109" s="296"/>
      <c r="E109" s="296"/>
      <c r="F109" s="296"/>
      <c r="G109" s="296"/>
      <c r="H109" s="296"/>
      <c r="I109" s="296"/>
      <c r="J109" s="296"/>
      <c r="K109" s="296"/>
      <c r="L109" s="296"/>
      <c r="M109" s="296"/>
      <c r="N109" s="296"/>
      <c r="O109" s="296"/>
      <c r="P109" s="296"/>
      <c r="Q109" s="296"/>
      <c r="R109" s="296"/>
      <c r="S109" s="296"/>
      <c r="T109" s="296"/>
      <c r="U109" s="296"/>
      <c r="V109" s="296"/>
      <c r="W109" s="296"/>
      <c r="X109" s="296"/>
      <c r="Y109" s="296"/>
      <c r="Z109" s="296"/>
      <c r="AA109" s="296"/>
      <c r="AB109" s="296"/>
      <c r="AC109" s="296"/>
      <c r="AD109" s="296"/>
      <c r="AE109" s="296"/>
      <c r="AF109" s="296"/>
      <c r="AG109" s="296"/>
    </row>
    <row r="110" spans="1:33" ht="15" customHeight="1" x14ac:dyDescent="0.25">
      <c r="A110" s="296"/>
      <c r="B110" s="296"/>
      <c r="C110" s="296"/>
      <c r="D110" s="296"/>
      <c r="E110" s="296"/>
      <c r="F110" s="296"/>
      <c r="G110" s="296"/>
      <c r="H110" s="296"/>
      <c r="I110" s="296"/>
      <c r="J110" s="296"/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6"/>
      <c r="AE110" s="296"/>
      <c r="AF110" s="296"/>
      <c r="AG110" s="296"/>
    </row>
    <row r="111" spans="1:33" ht="15" customHeight="1" x14ac:dyDescent="0.25">
      <c r="A111" s="296"/>
      <c r="B111" s="296"/>
      <c r="C111" s="296"/>
      <c r="D111" s="296"/>
      <c r="E111" s="296"/>
      <c r="F111" s="296"/>
      <c r="G111" s="296"/>
      <c r="H111" s="296"/>
      <c r="I111" s="296"/>
      <c r="J111" s="296"/>
      <c r="K111" s="296"/>
      <c r="L111" s="296"/>
      <c r="M111" s="296"/>
      <c r="N111" s="296"/>
      <c r="O111" s="296"/>
      <c r="P111" s="296"/>
      <c r="Q111" s="296"/>
      <c r="R111" s="296"/>
      <c r="S111" s="296"/>
      <c r="T111" s="296"/>
      <c r="U111" s="296"/>
      <c r="V111" s="296"/>
      <c r="W111" s="296"/>
      <c r="X111" s="296"/>
      <c r="Y111" s="296"/>
      <c r="Z111" s="296"/>
      <c r="AA111" s="296"/>
      <c r="AB111" s="296"/>
      <c r="AC111" s="296"/>
      <c r="AD111" s="296"/>
      <c r="AE111" s="296"/>
      <c r="AF111" s="296"/>
      <c r="AG111" s="296"/>
    </row>
    <row r="112" spans="1:33" ht="15" customHeight="1" x14ac:dyDescent="0.25">
      <c r="A112" s="296"/>
      <c r="B112" s="296"/>
      <c r="C112" s="296"/>
      <c r="D112" s="296"/>
      <c r="E112" s="296"/>
      <c r="F112" s="296"/>
      <c r="G112" s="296"/>
      <c r="H112" s="296"/>
      <c r="I112" s="296"/>
      <c r="J112" s="296"/>
      <c r="K112" s="296"/>
      <c r="L112" s="296"/>
      <c r="M112" s="296"/>
      <c r="N112" s="296"/>
      <c r="O112" s="296"/>
      <c r="P112" s="296"/>
      <c r="Q112" s="296"/>
      <c r="R112" s="296"/>
      <c r="S112" s="296"/>
      <c r="T112" s="296"/>
      <c r="U112" s="296"/>
      <c r="V112" s="296"/>
      <c r="W112" s="296"/>
      <c r="X112" s="296"/>
      <c r="Y112" s="296"/>
      <c r="Z112" s="296"/>
      <c r="AA112" s="296"/>
      <c r="AB112" s="296"/>
      <c r="AC112" s="296"/>
      <c r="AD112" s="296"/>
      <c r="AE112" s="296"/>
      <c r="AF112" s="296"/>
      <c r="AG112" s="296"/>
    </row>
    <row r="113" spans="1:33" ht="15" customHeight="1" x14ac:dyDescent="0.25">
      <c r="A113" s="296"/>
      <c r="B113" s="296"/>
      <c r="C113" s="296"/>
      <c r="D113" s="296"/>
      <c r="E113" s="296"/>
      <c r="F113" s="296"/>
      <c r="G113" s="296"/>
      <c r="H113" s="296"/>
      <c r="I113" s="296"/>
      <c r="J113" s="296"/>
      <c r="K113" s="296"/>
      <c r="L113" s="296"/>
      <c r="M113" s="296"/>
      <c r="N113" s="296"/>
      <c r="O113" s="296"/>
      <c r="P113" s="296"/>
      <c r="Q113" s="296"/>
      <c r="R113" s="296"/>
      <c r="S113" s="296"/>
      <c r="T113" s="296"/>
      <c r="U113" s="296"/>
      <c r="V113" s="296"/>
      <c r="W113" s="296"/>
      <c r="X113" s="296"/>
      <c r="Y113" s="296"/>
      <c r="Z113" s="296"/>
      <c r="AA113" s="296"/>
      <c r="AB113" s="296"/>
      <c r="AC113" s="296"/>
      <c r="AD113" s="296"/>
      <c r="AE113" s="296"/>
      <c r="AF113" s="296"/>
      <c r="AG113" s="296"/>
    </row>
    <row r="114" spans="1:33" ht="15" customHeight="1" x14ac:dyDescent="0.25">
      <c r="A114" s="296"/>
      <c r="B114" s="296"/>
      <c r="C114" s="296"/>
      <c r="D114" s="296"/>
      <c r="E114" s="296"/>
      <c r="F114" s="296"/>
      <c r="G114" s="296"/>
      <c r="H114" s="296"/>
      <c r="I114" s="296"/>
      <c r="J114" s="296"/>
      <c r="K114" s="296"/>
      <c r="L114" s="296"/>
      <c r="M114" s="296"/>
      <c r="N114" s="296"/>
      <c r="O114" s="296"/>
      <c r="P114" s="296"/>
      <c r="Q114" s="296"/>
      <c r="R114" s="296"/>
      <c r="S114" s="296"/>
      <c r="T114" s="296"/>
      <c r="U114" s="296"/>
      <c r="V114" s="296"/>
      <c r="W114" s="296"/>
      <c r="X114" s="296"/>
      <c r="Y114" s="296"/>
      <c r="Z114" s="296"/>
      <c r="AA114" s="296"/>
      <c r="AB114" s="296"/>
      <c r="AC114" s="296"/>
      <c r="AD114" s="296"/>
      <c r="AE114" s="296"/>
      <c r="AF114" s="296"/>
      <c r="AG114" s="296"/>
    </row>
    <row r="115" spans="1:33" ht="15" customHeight="1" x14ac:dyDescent="0.25">
      <c r="A115" s="296"/>
      <c r="B115" s="296"/>
      <c r="C115" s="296"/>
      <c r="D115" s="296"/>
      <c r="E115" s="296"/>
      <c r="F115" s="296"/>
      <c r="G115" s="296"/>
      <c r="H115" s="296"/>
      <c r="I115" s="296"/>
      <c r="J115" s="296"/>
      <c r="K115" s="296"/>
      <c r="L115" s="296"/>
      <c r="M115" s="296"/>
      <c r="N115" s="296"/>
      <c r="O115" s="296"/>
      <c r="P115" s="296"/>
      <c r="Q115" s="296"/>
      <c r="R115" s="296"/>
      <c r="S115" s="296"/>
      <c r="T115" s="296"/>
      <c r="U115" s="296"/>
      <c r="V115" s="296"/>
      <c r="W115" s="296"/>
      <c r="X115" s="296"/>
      <c r="Y115" s="296"/>
      <c r="Z115" s="296"/>
      <c r="AA115" s="296"/>
      <c r="AB115" s="296"/>
      <c r="AC115" s="296"/>
      <c r="AD115" s="296"/>
      <c r="AE115" s="296"/>
      <c r="AF115" s="296"/>
      <c r="AG115" s="296"/>
    </row>
    <row r="116" spans="1:33" ht="15" customHeight="1" x14ac:dyDescent="0.25">
      <c r="A116" s="296"/>
      <c r="B116" s="296"/>
      <c r="C116" s="296"/>
      <c r="D116" s="296"/>
      <c r="E116" s="296"/>
      <c r="F116" s="296"/>
      <c r="G116" s="296"/>
      <c r="H116" s="296"/>
      <c r="I116" s="296"/>
      <c r="J116" s="296"/>
      <c r="K116" s="296"/>
      <c r="L116" s="296"/>
      <c r="M116" s="296"/>
      <c r="N116" s="296"/>
      <c r="O116" s="296"/>
      <c r="P116" s="296"/>
      <c r="Q116" s="296"/>
      <c r="R116" s="296"/>
      <c r="S116" s="296"/>
      <c r="T116" s="296"/>
      <c r="U116" s="296"/>
      <c r="V116" s="296"/>
      <c r="W116" s="296"/>
      <c r="X116" s="296"/>
      <c r="Y116" s="296"/>
      <c r="Z116" s="296"/>
      <c r="AA116" s="296"/>
      <c r="AB116" s="296"/>
      <c r="AC116" s="296"/>
      <c r="AD116" s="296"/>
      <c r="AE116" s="296"/>
      <c r="AF116" s="296"/>
      <c r="AG116" s="296"/>
    </row>
    <row r="117" spans="1:33" ht="15" customHeight="1" x14ac:dyDescent="0.25">
      <c r="A117" s="296"/>
      <c r="B117" s="296"/>
      <c r="C117" s="296"/>
      <c r="D117" s="296"/>
      <c r="E117" s="296"/>
      <c r="F117" s="296"/>
      <c r="G117" s="296"/>
      <c r="H117" s="296"/>
      <c r="I117" s="296"/>
      <c r="J117" s="296"/>
      <c r="K117" s="296"/>
      <c r="L117" s="296"/>
      <c r="M117" s="296"/>
      <c r="N117" s="296"/>
      <c r="O117" s="296"/>
      <c r="P117" s="296"/>
      <c r="Q117" s="296"/>
      <c r="R117" s="296"/>
      <c r="S117" s="296"/>
      <c r="T117" s="296"/>
      <c r="U117" s="296"/>
      <c r="V117" s="296"/>
      <c r="W117" s="296"/>
      <c r="X117" s="296"/>
      <c r="Y117" s="296"/>
      <c r="Z117" s="296"/>
      <c r="AA117" s="296"/>
      <c r="AB117" s="296"/>
      <c r="AC117" s="296"/>
      <c r="AD117" s="296"/>
      <c r="AE117" s="296"/>
      <c r="AF117" s="296"/>
      <c r="AG117" s="296"/>
    </row>
    <row r="118" spans="1:33" ht="15" customHeight="1" x14ac:dyDescent="0.25">
      <c r="A118" s="296"/>
      <c r="B118" s="296"/>
      <c r="C118" s="296"/>
      <c r="D118" s="296"/>
      <c r="E118" s="296"/>
      <c r="F118" s="296"/>
      <c r="G118" s="296"/>
      <c r="H118" s="296"/>
      <c r="I118" s="296"/>
      <c r="J118" s="296"/>
      <c r="K118" s="296"/>
      <c r="L118" s="296"/>
      <c r="M118" s="296"/>
      <c r="N118" s="296"/>
      <c r="O118" s="296"/>
      <c r="P118" s="296"/>
      <c r="Q118" s="296"/>
      <c r="R118" s="296"/>
      <c r="S118" s="296"/>
      <c r="T118" s="296"/>
      <c r="U118" s="296"/>
      <c r="V118" s="296"/>
      <c r="W118" s="296"/>
      <c r="X118" s="296"/>
      <c r="Y118" s="296"/>
      <c r="Z118" s="296"/>
      <c r="AA118" s="296"/>
      <c r="AB118" s="296"/>
      <c r="AC118" s="296"/>
      <c r="AD118" s="296"/>
      <c r="AE118" s="296"/>
      <c r="AF118" s="296"/>
      <c r="AG118" s="296"/>
    </row>
    <row r="119" spans="1:33" ht="15" customHeight="1" x14ac:dyDescent="0.25">
      <c r="A119" s="296"/>
      <c r="B119" s="296"/>
      <c r="C119" s="296"/>
      <c r="D119" s="296"/>
      <c r="E119" s="296"/>
      <c r="F119" s="296"/>
      <c r="G119" s="296"/>
      <c r="H119" s="296"/>
      <c r="I119" s="296"/>
      <c r="J119" s="296"/>
      <c r="K119" s="296"/>
      <c r="L119" s="296"/>
      <c r="M119" s="296"/>
      <c r="N119" s="296"/>
      <c r="O119" s="296"/>
      <c r="P119" s="296"/>
      <c r="Q119" s="296"/>
      <c r="R119" s="296"/>
      <c r="S119" s="296"/>
      <c r="T119" s="296"/>
      <c r="U119" s="296"/>
      <c r="V119" s="296"/>
      <c r="W119" s="296"/>
      <c r="X119" s="296"/>
      <c r="Y119" s="296"/>
      <c r="Z119" s="296"/>
      <c r="AA119" s="296"/>
      <c r="AB119" s="296"/>
      <c r="AC119" s="296"/>
      <c r="AD119" s="296"/>
      <c r="AE119" s="296"/>
      <c r="AF119" s="296"/>
      <c r="AG119" s="296"/>
    </row>
    <row r="120" spans="1:33" ht="15" customHeight="1" x14ac:dyDescent="0.25">
      <c r="A120" s="296"/>
      <c r="B120" s="296"/>
      <c r="C120" s="296"/>
      <c r="D120" s="296"/>
      <c r="E120" s="296"/>
      <c r="F120" s="296"/>
      <c r="G120" s="296"/>
      <c r="H120" s="296"/>
      <c r="I120" s="296"/>
      <c r="J120" s="296"/>
      <c r="K120" s="296"/>
      <c r="L120" s="296"/>
      <c r="M120" s="296"/>
      <c r="N120" s="296"/>
      <c r="O120" s="296"/>
      <c r="P120" s="296"/>
      <c r="Q120" s="296"/>
      <c r="R120" s="296"/>
      <c r="S120" s="296"/>
      <c r="T120" s="296"/>
      <c r="U120" s="296"/>
      <c r="V120" s="296"/>
      <c r="W120" s="296"/>
      <c r="X120" s="296"/>
      <c r="Y120" s="296"/>
      <c r="Z120" s="296"/>
      <c r="AA120" s="296"/>
      <c r="AB120" s="296"/>
      <c r="AC120" s="296"/>
      <c r="AD120" s="296"/>
      <c r="AE120" s="296"/>
      <c r="AF120" s="296"/>
      <c r="AG120" s="296"/>
    </row>
    <row r="121" spans="1:33" ht="15" customHeight="1" x14ac:dyDescent="0.25">
      <c r="A121" s="296"/>
      <c r="B121" s="296"/>
      <c r="C121" s="296"/>
      <c r="D121" s="296"/>
      <c r="E121" s="296"/>
      <c r="F121" s="296"/>
      <c r="G121" s="296"/>
      <c r="H121" s="296"/>
      <c r="I121" s="296"/>
      <c r="J121" s="296"/>
      <c r="K121" s="296"/>
      <c r="L121" s="296"/>
      <c r="M121" s="296"/>
      <c r="N121" s="296"/>
      <c r="O121" s="296"/>
      <c r="P121" s="296"/>
      <c r="Q121" s="296"/>
      <c r="R121" s="296"/>
      <c r="S121" s="296"/>
      <c r="T121" s="296"/>
      <c r="U121" s="296"/>
      <c r="V121" s="296"/>
      <c r="W121" s="296"/>
      <c r="X121" s="296"/>
      <c r="Y121" s="296"/>
      <c r="Z121" s="296"/>
      <c r="AA121" s="296"/>
      <c r="AB121" s="296"/>
      <c r="AC121" s="296"/>
      <c r="AD121" s="296"/>
      <c r="AE121" s="296"/>
      <c r="AF121" s="296"/>
      <c r="AG121" s="296"/>
    </row>
    <row r="122" spans="1:33" ht="15" customHeight="1" x14ac:dyDescent="0.25">
      <c r="A122" s="296"/>
      <c r="B122" s="296"/>
      <c r="C122" s="296"/>
      <c r="D122" s="296"/>
      <c r="E122" s="296"/>
      <c r="F122" s="296"/>
      <c r="G122" s="296"/>
      <c r="H122" s="296"/>
      <c r="I122" s="296"/>
      <c r="J122" s="296"/>
      <c r="K122" s="296"/>
      <c r="L122" s="296"/>
      <c r="M122" s="296"/>
      <c r="N122" s="296"/>
      <c r="O122" s="296"/>
      <c r="P122" s="296"/>
      <c r="Q122" s="296"/>
      <c r="R122" s="296"/>
      <c r="S122" s="296"/>
      <c r="T122" s="296"/>
      <c r="U122" s="296"/>
      <c r="V122" s="296"/>
      <c r="W122" s="296"/>
      <c r="X122" s="296"/>
      <c r="Y122" s="296"/>
      <c r="Z122" s="296"/>
      <c r="AA122" s="296"/>
      <c r="AB122" s="296"/>
      <c r="AC122" s="296"/>
      <c r="AD122" s="296"/>
      <c r="AE122" s="296"/>
      <c r="AF122" s="296"/>
      <c r="AG122" s="296"/>
    </row>
    <row r="123" spans="1:33" ht="15" customHeight="1" x14ac:dyDescent="0.25">
      <c r="A123" s="296"/>
      <c r="B123" s="296"/>
      <c r="C123" s="296"/>
      <c r="D123" s="296"/>
      <c r="E123" s="296"/>
      <c r="F123" s="296"/>
      <c r="G123" s="296"/>
      <c r="H123" s="296"/>
      <c r="I123" s="296"/>
      <c r="J123" s="296"/>
      <c r="K123" s="296"/>
      <c r="L123" s="296"/>
      <c r="M123" s="296"/>
      <c r="N123" s="296"/>
      <c r="O123" s="296"/>
      <c r="P123" s="296"/>
      <c r="Q123" s="296"/>
      <c r="R123" s="296"/>
      <c r="S123" s="296"/>
      <c r="T123" s="296"/>
      <c r="U123" s="296"/>
      <c r="V123" s="296"/>
      <c r="W123" s="296"/>
      <c r="X123" s="296"/>
      <c r="Y123" s="296"/>
      <c r="Z123" s="296"/>
      <c r="AA123" s="296"/>
      <c r="AB123" s="296"/>
      <c r="AC123" s="296"/>
      <c r="AD123" s="296"/>
      <c r="AE123" s="296"/>
      <c r="AF123" s="296"/>
      <c r="AG123" s="296"/>
    </row>
    <row r="124" spans="1:33" ht="15" customHeight="1" x14ac:dyDescent="0.25">
      <c r="A124" s="296"/>
      <c r="B124" s="296"/>
      <c r="C124" s="296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96"/>
      <c r="Q124" s="296"/>
      <c r="R124" s="296"/>
      <c r="S124" s="296"/>
      <c r="T124" s="296"/>
      <c r="U124" s="296"/>
      <c r="V124" s="296"/>
      <c r="W124" s="296"/>
      <c r="X124" s="296"/>
      <c r="Y124" s="296"/>
      <c r="Z124" s="296"/>
      <c r="AA124" s="296"/>
      <c r="AB124" s="296"/>
      <c r="AC124" s="296"/>
      <c r="AD124" s="296"/>
      <c r="AE124" s="296"/>
      <c r="AF124" s="296"/>
      <c r="AG124" s="296"/>
    </row>
    <row r="125" spans="1:33" ht="15" customHeight="1" x14ac:dyDescent="0.25">
      <c r="A125" s="296"/>
      <c r="B125" s="296"/>
      <c r="C125" s="296"/>
      <c r="D125" s="296"/>
      <c r="E125" s="296"/>
      <c r="F125" s="296"/>
      <c r="G125" s="296"/>
      <c r="H125" s="296"/>
      <c r="I125" s="296"/>
      <c r="J125" s="296"/>
      <c r="K125" s="296"/>
      <c r="L125" s="296"/>
      <c r="M125" s="296"/>
      <c r="N125" s="296"/>
      <c r="O125" s="296"/>
      <c r="P125" s="296"/>
      <c r="Q125" s="296"/>
      <c r="R125" s="296"/>
      <c r="S125" s="296"/>
      <c r="T125" s="296"/>
      <c r="U125" s="296"/>
      <c r="V125" s="296"/>
      <c r="W125" s="296"/>
      <c r="X125" s="296"/>
      <c r="Y125" s="296"/>
      <c r="Z125" s="296"/>
      <c r="AA125" s="296"/>
      <c r="AB125" s="296"/>
      <c r="AC125" s="296"/>
      <c r="AD125" s="296"/>
      <c r="AE125" s="296"/>
      <c r="AF125" s="296"/>
      <c r="AG125" s="296"/>
    </row>
    <row r="126" spans="1:33" ht="15" customHeight="1" x14ac:dyDescent="0.25">
      <c r="A126" s="296"/>
      <c r="B126" s="296"/>
      <c r="C126" s="296"/>
      <c r="D126" s="296"/>
      <c r="E126" s="296"/>
      <c r="F126" s="296"/>
      <c r="G126" s="296"/>
      <c r="H126" s="296"/>
      <c r="I126" s="296"/>
      <c r="J126" s="296"/>
      <c r="K126" s="296"/>
      <c r="L126" s="296"/>
      <c r="M126" s="296"/>
      <c r="N126" s="296"/>
      <c r="O126" s="296"/>
      <c r="P126" s="296"/>
      <c r="Q126" s="296"/>
      <c r="R126" s="296"/>
      <c r="S126" s="296"/>
      <c r="T126" s="296"/>
      <c r="U126" s="296"/>
      <c r="V126" s="296"/>
      <c r="W126" s="296"/>
      <c r="X126" s="296"/>
      <c r="Y126" s="296"/>
      <c r="Z126" s="296"/>
      <c r="AA126" s="296"/>
      <c r="AB126" s="296"/>
      <c r="AC126" s="296"/>
      <c r="AD126" s="296"/>
      <c r="AE126" s="296"/>
      <c r="AF126" s="296"/>
      <c r="AG126" s="296"/>
    </row>
    <row r="127" spans="1:33" ht="15" customHeight="1" x14ac:dyDescent="0.25">
      <c r="A127" s="296"/>
      <c r="B127" s="296"/>
      <c r="C127" s="296"/>
      <c r="D127" s="296"/>
      <c r="E127" s="296"/>
      <c r="F127" s="296"/>
      <c r="G127" s="296"/>
      <c r="H127" s="296"/>
      <c r="I127" s="296"/>
      <c r="J127" s="296"/>
      <c r="K127" s="296"/>
      <c r="L127" s="296"/>
      <c r="M127" s="296"/>
      <c r="N127" s="296"/>
      <c r="O127" s="296"/>
      <c r="P127" s="296"/>
      <c r="Q127" s="296"/>
      <c r="R127" s="296"/>
      <c r="S127" s="296"/>
      <c r="T127" s="296"/>
      <c r="U127" s="296"/>
      <c r="V127" s="296"/>
      <c r="W127" s="296"/>
      <c r="X127" s="296"/>
      <c r="Y127" s="296"/>
      <c r="Z127" s="296"/>
      <c r="AA127" s="296"/>
      <c r="AB127" s="296"/>
      <c r="AC127" s="296"/>
      <c r="AD127" s="296"/>
      <c r="AE127" s="296"/>
      <c r="AF127" s="296"/>
      <c r="AG127" s="296"/>
    </row>
    <row r="128" spans="1:33" ht="15" customHeight="1" x14ac:dyDescent="0.25">
      <c r="A128" s="296"/>
      <c r="B128" s="296"/>
      <c r="C128" s="296"/>
      <c r="D128" s="296"/>
      <c r="E128" s="296"/>
      <c r="F128" s="296"/>
      <c r="G128" s="296"/>
      <c r="H128" s="296"/>
      <c r="I128" s="296"/>
      <c r="J128" s="296"/>
      <c r="K128" s="296"/>
      <c r="L128" s="296"/>
      <c r="M128" s="296"/>
      <c r="N128" s="296"/>
      <c r="O128" s="296"/>
      <c r="P128" s="296"/>
      <c r="Q128" s="296"/>
      <c r="R128" s="296"/>
      <c r="S128" s="296"/>
      <c r="T128" s="296"/>
      <c r="U128" s="296"/>
      <c r="V128" s="296"/>
      <c r="W128" s="296"/>
      <c r="X128" s="296"/>
      <c r="Y128" s="296"/>
      <c r="Z128" s="296"/>
      <c r="AA128" s="296"/>
      <c r="AB128" s="296"/>
      <c r="AC128" s="296"/>
      <c r="AD128" s="296"/>
      <c r="AE128" s="296"/>
      <c r="AF128" s="296"/>
      <c r="AG128" s="296"/>
    </row>
    <row r="129" spans="1:33" ht="15" customHeight="1" x14ac:dyDescent="0.25">
      <c r="A129" s="296"/>
      <c r="B129" s="296"/>
      <c r="C129" s="296"/>
      <c r="D129" s="296"/>
      <c r="E129" s="296"/>
      <c r="F129" s="296"/>
      <c r="G129" s="296"/>
      <c r="H129" s="296"/>
      <c r="I129" s="296"/>
      <c r="J129" s="296"/>
      <c r="K129" s="296"/>
      <c r="L129" s="296"/>
      <c r="M129" s="296"/>
      <c r="N129" s="296"/>
      <c r="O129" s="296"/>
      <c r="P129" s="296"/>
      <c r="Q129" s="296"/>
      <c r="R129" s="296"/>
      <c r="S129" s="296"/>
      <c r="T129" s="296"/>
      <c r="U129" s="296"/>
      <c r="V129" s="296"/>
      <c r="W129" s="296"/>
      <c r="X129" s="296"/>
      <c r="Y129" s="296"/>
      <c r="Z129" s="296"/>
      <c r="AA129" s="296"/>
      <c r="AB129" s="296"/>
      <c r="AC129" s="296"/>
      <c r="AD129" s="296"/>
      <c r="AE129" s="296"/>
      <c r="AF129" s="296"/>
      <c r="AG129" s="296"/>
    </row>
    <row r="130" spans="1:33" ht="15" customHeight="1" x14ac:dyDescent="0.25">
      <c r="A130" s="296"/>
      <c r="B130" s="296"/>
      <c r="C130" s="296"/>
      <c r="D130" s="296"/>
      <c r="E130" s="296"/>
      <c r="F130" s="296"/>
      <c r="G130" s="296"/>
      <c r="H130" s="296"/>
      <c r="I130" s="296"/>
      <c r="J130" s="296"/>
      <c r="K130" s="296"/>
      <c r="L130" s="296"/>
      <c r="M130" s="296"/>
      <c r="N130" s="296"/>
      <c r="O130" s="296"/>
      <c r="P130" s="296"/>
      <c r="Q130" s="296"/>
      <c r="R130" s="296"/>
      <c r="S130" s="296"/>
      <c r="T130" s="296"/>
      <c r="U130" s="296"/>
      <c r="V130" s="296"/>
      <c r="W130" s="296"/>
      <c r="X130" s="296"/>
      <c r="Y130" s="296"/>
      <c r="Z130" s="296"/>
      <c r="AA130" s="296"/>
      <c r="AB130" s="296"/>
      <c r="AC130" s="296"/>
      <c r="AD130" s="296"/>
      <c r="AE130" s="296"/>
      <c r="AF130" s="296"/>
      <c r="AG130" s="296"/>
    </row>
    <row r="131" spans="1:33" ht="15" customHeight="1" x14ac:dyDescent="0.25">
      <c r="A131" s="296"/>
      <c r="B131" s="296"/>
      <c r="C131" s="296"/>
      <c r="D131" s="296"/>
      <c r="E131" s="296"/>
      <c r="F131" s="296"/>
      <c r="G131" s="296"/>
      <c r="H131" s="296"/>
      <c r="I131" s="296"/>
      <c r="J131" s="296"/>
      <c r="K131" s="296"/>
      <c r="L131" s="296"/>
      <c r="M131" s="296"/>
      <c r="N131" s="296"/>
      <c r="O131" s="296"/>
      <c r="P131" s="296"/>
      <c r="Q131" s="296"/>
      <c r="R131" s="296"/>
      <c r="S131" s="296"/>
      <c r="T131" s="296"/>
      <c r="U131" s="296"/>
      <c r="V131" s="296"/>
      <c r="W131" s="296"/>
      <c r="X131" s="296"/>
      <c r="Y131" s="296"/>
      <c r="Z131" s="296"/>
      <c r="AA131" s="296"/>
      <c r="AB131" s="296"/>
      <c r="AC131" s="296"/>
      <c r="AD131" s="296"/>
      <c r="AE131" s="296"/>
      <c r="AF131" s="296"/>
      <c r="AG131" s="296"/>
    </row>
    <row r="132" spans="1:33" ht="15" customHeight="1" x14ac:dyDescent="0.25">
      <c r="A132" s="296"/>
      <c r="B132" s="296"/>
      <c r="C132" s="296"/>
      <c r="D132" s="296"/>
      <c r="E132" s="296"/>
      <c r="F132" s="296"/>
      <c r="G132" s="296"/>
      <c r="H132" s="296"/>
      <c r="I132" s="296"/>
      <c r="J132" s="296"/>
      <c r="K132" s="296"/>
      <c r="L132" s="296"/>
      <c r="M132" s="296"/>
      <c r="N132" s="296"/>
      <c r="O132" s="296"/>
      <c r="P132" s="296"/>
      <c r="Q132" s="296"/>
      <c r="R132" s="296"/>
      <c r="S132" s="296"/>
      <c r="T132" s="296"/>
      <c r="U132" s="296"/>
      <c r="V132" s="296"/>
      <c r="W132" s="296"/>
      <c r="X132" s="296"/>
      <c r="Y132" s="296"/>
      <c r="Z132" s="296"/>
      <c r="AA132" s="296"/>
      <c r="AB132" s="296"/>
      <c r="AC132" s="296"/>
      <c r="AD132" s="296"/>
      <c r="AE132" s="296"/>
      <c r="AF132" s="296"/>
      <c r="AG132" s="296"/>
    </row>
    <row r="133" spans="1:33" ht="15" customHeight="1" x14ac:dyDescent="0.25">
      <c r="A133" s="296"/>
      <c r="B133" s="296"/>
      <c r="C133" s="296"/>
      <c r="D133" s="296"/>
      <c r="E133" s="296"/>
      <c r="F133" s="296"/>
      <c r="G133" s="296"/>
      <c r="H133" s="296"/>
      <c r="I133" s="296"/>
      <c r="J133" s="296"/>
      <c r="K133" s="296"/>
      <c r="L133" s="296"/>
      <c r="M133" s="296"/>
      <c r="N133" s="296"/>
      <c r="O133" s="296"/>
      <c r="P133" s="296"/>
      <c r="Q133" s="296"/>
      <c r="R133" s="296"/>
      <c r="S133" s="296"/>
      <c r="T133" s="296"/>
      <c r="U133" s="296"/>
      <c r="V133" s="296"/>
      <c r="W133" s="296"/>
      <c r="X133" s="296"/>
      <c r="Y133" s="296"/>
      <c r="Z133" s="296"/>
      <c r="AA133" s="296"/>
      <c r="AB133" s="296"/>
      <c r="AC133" s="296"/>
      <c r="AD133" s="296"/>
      <c r="AE133" s="296"/>
      <c r="AF133" s="296"/>
      <c r="AG133" s="296"/>
    </row>
    <row r="134" spans="1:33" ht="15.75" customHeight="1" thickBot="1" x14ac:dyDescent="0.3">
      <c r="A134" s="296"/>
      <c r="B134" s="296"/>
      <c r="C134" s="296"/>
      <c r="D134" s="296"/>
      <c r="E134" s="296"/>
      <c r="F134" s="296"/>
      <c r="G134" s="296"/>
      <c r="H134" s="296"/>
      <c r="I134" s="296"/>
      <c r="J134" s="296"/>
      <c r="K134" s="296"/>
      <c r="L134" s="296"/>
      <c r="M134" s="296"/>
      <c r="N134" s="296"/>
      <c r="O134" s="296"/>
      <c r="P134" s="296"/>
      <c r="Q134" s="296"/>
      <c r="R134" s="296"/>
      <c r="S134" s="296"/>
      <c r="T134" s="296"/>
      <c r="U134" s="296"/>
      <c r="V134" s="296"/>
      <c r="W134" s="296"/>
      <c r="X134" s="296"/>
      <c r="Y134" s="296"/>
      <c r="Z134" s="296"/>
      <c r="AA134" s="296"/>
      <c r="AB134" s="296"/>
      <c r="AC134" s="296"/>
      <c r="AD134" s="296"/>
      <c r="AE134" s="296"/>
      <c r="AF134" s="296"/>
      <c r="AG134" s="296"/>
    </row>
    <row r="135" spans="1:33" ht="15.75" thickBot="1" x14ac:dyDescent="0.3">
      <c r="A135" s="239"/>
      <c r="B135" s="577"/>
      <c r="C135" s="240"/>
      <c r="D135" s="54"/>
      <c r="E135" s="54"/>
      <c r="F135" s="241"/>
      <c r="G135" s="241"/>
      <c r="H135" s="242"/>
      <c r="I135" s="242"/>
      <c r="J135" s="242"/>
      <c r="K135" s="244"/>
      <c r="L135" s="245"/>
      <c r="M135" s="245"/>
      <c r="N135" s="245"/>
      <c r="O135" s="230"/>
      <c r="P135" s="243"/>
      <c r="Q135" s="230"/>
      <c r="R135" s="243"/>
      <c r="S135" s="242"/>
      <c r="T135" s="243"/>
      <c r="U135" s="243"/>
      <c r="V135" s="243"/>
      <c r="W135" s="243"/>
      <c r="X135" s="231"/>
      <c r="Y135" s="243"/>
      <c r="Z135" s="243"/>
      <c r="AA135" s="246"/>
      <c r="AB135" s="230"/>
      <c r="AC135" s="230"/>
      <c r="AD135" s="230"/>
      <c r="AE135" s="123"/>
      <c r="AF135" s="207"/>
    </row>
  </sheetData>
  <mergeCells count="91">
    <mergeCell ref="AI46:AI47"/>
    <mergeCell ref="W46:W47"/>
    <mergeCell ref="V46:V47"/>
    <mergeCell ref="X50:X51"/>
    <mergeCell ref="Y50:Y51"/>
    <mergeCell ref="Z50:Z51"/>
    <mergeCell ref="AA50:AA51"/>
    <mergeCell ref="V50:V51"/>
    <mergeCell ref="W50:W51"/>
    <mergeCell ref="AB50:AB51"/>
    <mergeCell ref="AD7:AD8"/>
    <mergeCell ref="X7:X8"/>
    <mergeCell ref="AA7:AA8"/>
    <mergeCell ref="AG7:AG8"/>
    <mergeCell ref="I50:J50"/>
    <mergeCell ref="AC7:AC8"/>
    <mergeCell ref="AE7:AE8"/>
    <mergeCell ref="AF7:AF8"/>
    <mergeCell ref="Y7:Y8"/>
    <mergeCell ref="T7:T8"/>
    <mergeCell ref="U7:U8"/>
    <mergeCell ref="AB7:AB8"/>
    <mergeCell ref="V7:V8"/>
    <mergeCell ref="Z7:Z8"/>
    <mergeCell ref="U46:U47"/>
    <mergeCell ref="K50:L50"/>
    <mergeCell ref="G7:G8"/>
    <mergeCell ref="Q7:Q8"/>
    <mergeCell ref="R7:R8"/>
    <mergeCell ref="S7:S8"/>
    <mergeCell ref="W7:W8"/>
    <mergeCell ref="H7:H8"/>
    <mergeCell ref="K7:L7"/>
    <mergeCell ref="O7:O8"/>
    <mergeCell ref="P7:P8"/>
    <mergeCell ref="I7:J7"/>
    <mergeCell ref="M7:N7"/>
    <mergeCell ref="A7:A8"/>
    <mergeCell ref="C7:C8"/>
    <mergeCell ref="D7:D8"/>
    <mergeCell ref="E7:E8"/>
    <mergeCell ref="F7:F8"/>
    <mergeCell ref="B7:B8"/>
    <mergeCell ref="A46:A47"/>
    <mergeCell ref="C46:C47"/>
    <mergeCell ref="D46:D47"/>
    <mergeCell ref="E46:E47"/>
    <mergeCell ref="F46:F47"/>
    <mergeCell ref="G46:G47"/>
    <mergeCell ref="Q46:Q47"/>
    <mergeCell ref="R46:R47"/>
    <mergeCell ref="S46:S47"/>
    <mergeCell ref="H46:H47"/>
    <mergeCell ref="O46:O47"/>
    <mergeCell ref="P46:P47"/>
    <mergeCell ref="G84:G85"/>
    <mergeCell ref="H84:H85"/>
    <mergeCell ref="K84:L84"/>
    <mergeCell ref="O84:O85"/>
    <mergeCell ref="T46:T47"/>
    <mergeCell ref="O50:O51"/>
    <mergeCell ref="P50:P51"/>
    <mergeCell ref="Q50:Q51"/>
    <mergeCell ref="R50:R51"/>
    <mergeCell ref="S50:S51"/>
    <mergeCell ref="Q84:Q85"/>
    <mergeCell ref="R84:R85"/>
    <mergeCell ref="S84:S85"/>
    <mergeCell ref="P84:P85"/>
    <mergeCell ref="G50:G51"/>
    <mergeCell ref="H50:H51"/>
    <mergeCell ref="A84:A85"/>
    <mergeCell ref="C84:C85"/>
    <mergeCell ref="D84:D85"/>
    <mergeCell ref="E84:E85"/>
    <mergeCell ref="F84:F85"/>
    <mergeCell ref="B84:B85"/>
    <mergeCell ref="A50:A51"/>
    <mergeCell ref="C50:C51"/>
    <mergeCell ref="D50:D51"/>
    <mergeCell ref="E50:E51"/>
    <mergeCell ref="F50:F51"/>
    <mergeCell ref="B50:B51"/>
    <mergeCell ref="T50:T51"/>
    <mergeCell ref="U50:U51"/>
    <mergeCell ref="Y84:Y85"/>
    <mergeCell ref="T84:T85"/>
    <mergeCell ref="U84:U85"/>
    <mergeCell ref="V84:V85"/>
    <mergeCell ref="W84:W85"/>
    <mergeCell ref="X84:X85"/>
  </mergeCells>
  <pageMargins left="0.17" right="0.70866141732283472" top="0.17" bottom="0.16" header="0.17" footer="0.16"/>
  <pageSetup paperSize="9" orientation="landscape" verticalDpi="0" r:id="rId1"/>
  <ignoredErrors>
    <ignoredError sqref="H41 AB41" formula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H135"/>
  <sheetViews>
    <sheetView topLeftCell="A30" workbookViewId="0">
      <selection activeCell="C48" sqref="C48:AC94"/>
    </sheetView>
  </sheetViews>
  <sheetFormatPr defaultRowHeight="15" x14ac:dyDescent="0.25"/>
  <cols>
    <col min="1" max="1" width="4.85546875" customWidth="1"/>
    <col min="2" max="2" width="9.5703125" hidden="1" customWidth="1"/>
    <col min="3" max="3" width="21.7109375" customWidth="1"/>
    <col min="4" max="4" width="8.5703125" hidden="1" customWidth="1"/>
    <col min="5" max="5" width="6.140625" hidden="1" customWidth="1"/>
    <col min="6" max="7" width="8.140625" hidden="1" customWidth="1"/>
    <col min="8" max="8" width="9.42578125" hidden="1" customWidth="1"/>
    <col min="9" max="9" width="12" customWidth="1"/>
    <col min="10" max="10" width="11.5703125" customWidth="1"/>
    <col min="11" max="11" width="12" customWidth="1"/>
    <col min="12" max="14" width="12.85546875" customWidth="1"/>
    <col min="15" max="15" width="13.140625" customWidth="1"/>
    <col min="16" max="16" width="10.5703125" customWidth="1"/>
    <col min="17" max="17" width="9.85546875" customWidth="1"/>
    <col min="18" max="18" width="10.28515625" customWidth="1"/>
    <col min="19" max="19" width="11" customWidth="1"/>
    <col min="20" max="20" width="10.42578125" hidden="1" customWidth="1"/>
    <col min="21" max="21" width="11.85546875" hidden="1" customWidth="1"/>
    <col min="22" max="22" width="9.85546875" hidden="1" customWidth="1"/>
    <col min="23" max="23" width="10.28515625" customWidth="1"/>
    <col min="24" max="24" width="10.7109375" customWidth="1"/>
    <col min="25" max="25" width="11.7109375" customWidth="1"/>
    <col min="26" max="26" width="10.140625" customWidth="1"/>
    <col min="27" max="27" width="10.28515625" customWidth="1"/>
    <col min="28" max="28" width="10.85546875" customWidth="1"/>
    <col min="29" max="30" width="9.5703125" customWidth="1"/>
    <col min="31" max="31" width="9" customWidth="1"/>
    <col min="32" max="32" width="10.28515625" customWidth="1"/>
    <col min="33" max="33" width="10.85546875" customWidth="1"/>
    <col min="34" max="34" width="11.5703125" customWidth="1"/>
    <col min="35" max="35" width="9.140625" style="34"/>
  </cols>
  <sheetData>
    <row r="1" spans="1:36" ht="16.5" customHeight="1" x14ac:dyDescent="0.25"/>
    <row r="2" spans="1:36" ht="15.75" x14ac:dyDescent="0.25">
      <c r="D2" s="222" t="s">
        <v>652</v>
      </c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</row>
    <row r="3" spans="1:36" ht="15.75" x14ac:dyDescent="0.25"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1:36" ht="15.75" x14ac:dyDescent="0.25">
      <c r="D4" s="222"/>
      <c r="E4" s="222"/>
      <c r="F4" s="222"/>
      <c r="G4" s="11" t="s">
        <v>612</v>
      </c>
      <c r="H4" s="222"/>
      <c r="I4" s="222"/>
      <c r="J4" s="222"/>
      <c r="K4" s="222"/>
      <c r="L4" s="222"/>
      <c r="M4" s="222"/>
      <c r="N4" s="222"/>
      <c r="O4" s="222"/>
    </row>
    <row r="5" spans="1:36" ht="15.75" x14ac:dyDescent="0.25">
      <c r="A5" s="10"/>
      <c r="B5" s="10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</row>
    <row r="6" spans="1:36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AG6" s="250"/>
      <c r="AH6" s="250"/>
      <c r="AI6" s="250"/>
      <c r="AJ6" s="250"/>
    </row>
    <row r="7" spans="1:36" ht="36.75" customHeight="1" x14ac:dyDescent="0.25">
      <c r="A7" s="2017" t="s">
        <v>0</v>
      </c>
      <c r="B7" s="2020"/>
      <c r="C7" s="2017" t="s">
        <v>184</v>
      </c>
      <c r="D7" s="2017" t="s">
        <v>54</v>
      </c>
      <c r="E7" s="2017" t="s">
        <v>55</v>
      </c>
      <c r="F7" s="2017" t="s">
        <v>56</v>
      </c>
      <c r="G7" s="2017" t="s">
        <v>57</v>
      </c>
      <c r="H7" s="2017" t="s">
        <v>6</v>
      </c>
      <c r="I7" s="2097" t="s">
        <v>593</v>
      </c>
      <c r="J7" s="2060"/>
      <c r="K7" s="1989" t="s">
        <v>310</v>
      </c>
      <c r="L7" s="1990"/>
      <c r="M7" s="2017" t="s">
        <v>598</v>
      </c>
      <c r="N7" s="2017"/>
      <c r="O7" s="1987" t="s">
        <v>457</v>
      </c>
      <c r="P7" s="2009" t="s">
        <v>332</v>
      </c>
      <c r="Q7" s="1987" t="s">
        <v>377</v>
      </c>
      <c r="R7" s="2003" t="s">
        <v>337</v>
      </c>
      <c r="S7" s="2003" t="s">
        <v>578</v>
      </c>
      <c r="T7" s="2003" t="s">
        <v>309</v>
      </c>
      <c r="U7" s="2003" t="s">
        <v>520</v>
      </c>
      <c r="V7" s="2003" t="s">
        <v>502</v>
      </c>
      <c r="W7" s="2003" t="s">
        <v>321</v>
      </c>
      <c r="X7" s="2005" t="s">
        <v>554</v>
      </c>
      <c r="Y7" s="2107" t="s">
        <v>503</v>
      </c>
      <c r="Z7" s="2009" t="s">
        <v>316</v>
      </c>
      <c r="AA7" s="2009" t="s">
        <v>369</v>
      </c>
      <c r="AB7" s="2005" t="s">
        <v>175</v>
      </c>
      <c r="AC7" s="2005" t="s">
        <v>610</v>
      </c>
      <c r="AD7" s="2005" t="s">
        <v>611</v>
      </c>
      <c r="AE7" s="2001" t="s">
        <v>182</v>
      </c>
      <c r="AF7" s="1999" t="s">
        <v>544</v>
      </c>
      <c r="AG7" s="2257" t="s">
        <v>566</v>
      </c>
      <c r="AH7" s="250"/>
      <c r="AI7" s="250"/>
      <c r="AJ7" s="250"/>
    </row>
    <row r="8" spans="1:36" ht="63" customHeight="1" x14ac:dyDescent="0.25">
      <c r="A8" s="2017"/>
      <c r="B8" s="2021"/>
      <c r="C8" s="2017"/>
      <c r="D8" s="2017"/>
      <c r="E8" s="2017"/>
      <c r="F8" s="2017"/>
      <c r="G8" s="2017"/>
      <c r="H8" s="2017"/>
      <c r="I8" s="150" t="s">
        <v>15</v>
      </c>
      <c r="J8" s="1299" t="s">
        <v>16</v>
      </c>
      <c r="K8" s="150" t="s">
        <v>15</v>
      </c>
      <c r="L8" s="1299" t="s">
        <v>16</v>
      </c>
      <c r="M8" s="150" t="s">
        <v>15</v>
      </c>
      <c r="N8" s="1299" t="s">
        <v>16</v>
      </c>
      <c r="O8" s="1988"/>
      <c r="P8" s="2009"/>
      <c r="Q8" s="1988"/>
      <c r="R8" s="2004"/>
      <c r="S8" s="2004"/>
      <c r="T8" s="2004"/>
      <c r="U8" s="2004"/>
      <c r="V8" s="2004"/>
      <c r="W8" s="2004"/>
      <c r="X8" s="2002"/>
      <c r="Y8" s="2107"/>
      <c r="Z8" s="2009"/>
      <c r="AA8" s="2108"/>
      <c r="AB8" s="2006"/>
      <c r="AC8" s="2006"/>
      <c r="AD8" s="2006"/>
      <c r="AE8" s="2002"/>
      <c r="AF8" s="2000"/>
      <c r="AG8" s="2258"/>
      <c r="AH8" s="250"/>
      <c r="AI8" s="250"/>
      <c r="AJ8" s="250"/>
    </row>
    <row r="9" spans="1:36" ht="15.75" customHeight="1" x14ac:dyDescent="0.25">
      <c r="A9" s="119">
        <v>1</v>
      </c>
      <c r="B9" s="572"/>
      <c r="C9" s="120" t="s">
        <v>326</v>
      </c>
      <c r="D9" s="119">
        <v>1962</v>
      </c>
      <c r="E9" s="299">
        <v>1</v>
      </c>
      <c r="F9" s="299">
        <v>6</v>
      </c>
      <c r="G9" s="299">
        <v>11</v>
      </c>
      <c r="H9" s="461">
        <v>288.2</v>
      </c>
      <c r="I9" s="461"/>
      <c r="J9" s="461"/>
      <c r="K9" s="300">
        <v>11291.7</v>
      </c>
      <c r="L9" s="301">
        <v>12445.46</v>
      </c>
      <c r="M9" s="1037">
        <f>I9+K9</f>
        <v>11291.7</v>
      </c>
      <c r="N9" s="1037">
        <f>J9+L9</f>
        <v>12445.46</v>
      </c>
      <c r="O9" s="303">
        <f t="shared" ref="O9:O40" si="0">P9+Q9+R9+S9+T9+U9+V9+W9+X9+Y9+Z9+AA9</f>
        <v>6317.86627918247</v>
      </c>
      <c r="P9" s="304"/>
      <c r="Q9" s="305">
        <f>1558.32/26250.75*H9</f>
        <v>17.108380674837861</v>
      </c>
      <c r="R9" s="305"/>
      <c r="S9" s="305">
        <f>13381.84/26250.75*H9</f>
        <v>146.91566100016189</v>
      </c>
      <c r="T9" s="460"/>
      <c r="U9" s="305"/>
      <c r="V9" s="305"/>
      <c r="W9" s="306"/>
      <c r="X9" s="305"/>
      <c r="Y9" s="454">
        <f>46078.14/26250.75*H9</f>
        <v>505.87963955315564</v>
      </c>
      <c r="Z9" s="273">
        <f>387005.46/1172050.26*K9</f>
        <v>3728.466006809299</v>
      </c>
      <c r="AA9" s="300">
        <f>174837.7/26250.75*H9</f>
        <v>1919.4965911450149</v>
      </c>
      <c r="AB9" s="455">
        <f>M9-O9</f>
        <v>4973.8337208175308</v>
      </c>
      <c r="AC9" s="303">
        <f>L9/K9*100</f>
        <v>110.21777057484701</v>
      </c>
      <c r="AD9" s="303">
        <v>0</v>
      </c>
      <c r="AE9" s="302">
        <f>O9/H9/6</f>
        <v>3.6536353684839642</v>
      </c>
      <c r="AF9" s="463">
        <v>6.53</v>
      </c>
      <c r="AG9" s="467">
        <f>M9-N9</f>
        <v>-1153.7599999999984</v>
      </c>
      <c r="AH9" s="250"/>
      <c r="AI9" s="250"/>
      <c r="AJ9" s="250"/>
    </row>
    <row r="10" spans="1:36" s="124" customFormat="1" ht="15.75" customHeight="1" x14ac:dyDescent="0.25">
      <c r="A10" s="112">
        <v>2</v>
      </c>
      <c r="B10" s="572"/>
      <c r="C10" s="41" t="s">
        <v>24</v>
      </c>
      <c r="D10" s="112">
        <v>1966</v>
      </c>
      <c r="E10" s="179">
        <v>2</v>
      </c>
      <c r="F10" s="179">
        <v>16</v>
      </c>
      <c r="G10" s="151">
        <v>34</v>
      </c>
      <c r="H10" s="131">
        <v>627.76</v>
      </c>
      <c r="I10" s="131">
        <v>902.52</v>
      </c>
      <c r="J10" s="131">
        <v>619.71</v>
      </c>
      <c r="K10" s="300">
        <v>29152.17</v>
      </c>
      <c r="L10" s="301">
        <v>26342.26</v>
      </c>
      <c r="M10" s="1037">
        <f t="shared" ref="M10:N40" si="1">I10+K10</f>
        <v>30054.69</v>
      </c>
      <c r="N10" s="1037">
        <f t="shared" si="1"/>
        <v>26961.969999999998</v>
      </c>
      <c r="O10" s="303">
        <f t="shared" si="0"/>
        <v>27319.98901681968</v>
      </c>
      <c r="P10" s="273"/>
      <c r="Q10" s="305">
        <f t="shared" ref="Q10:Q40" si="2">1558.32/26250.75*H10</f>
        <v>37.265638627467787</v>
      </c>
      <c r="R10" s="305">
        <v>1320.9</v>
      </c>
      <c r="S10" s="305">
        <f t="shared" ref="S10:S40" si="3">13381.84/26250.75*H10</f>
        <v>320.01309975524504</v>
      </c>
      <c r="T10" s="460"/>
      <c r="U10" s="305"/>
      <c r="V10" s="305"/>
      <c r="W10" s="307">
        <f>356894.32/25091.1*H10</f>
        <v>8929.2210514166381</v>
      </c>
      <c r="X10" s="305">
        <f>W10*0.202</f>
        <v>1803.7026523861609</v>
      </c>
      <c r="Y10" s="454">
        <f t="shared" ref="Y10:Y40" si="4">46078.14/26250.75*H10</f>
        <v>1101.9118755235565</v>
      </c>
      <c r="Z10" s="273">
        <f t="shared" ref="Z10:Z40" si="5">387005.46/1172050.26*K10</f>
        <v>9625.9088418684369</v>
      </c>
      <c r="AA10" s="300">
        <f t="shared" ref="AA10:AA40" si="6">174837.7/26250.75*H10</f>
        <v>4181.0658572421744</v>
      </c>
      <c r="AB10" s="455">
        <f t="shared" ref="AB10:AB40" si="7">M10-O10</f>
        <v>2734.7009831803189</v>
      </c>
      <c r="AC10" s="303">
        <f t="shared" ref="AC10:AC40" si="8">L10/K10*100</f>
        <v>90.361232114110209</v>
      </c>
      <c r="AD10" s="303">
        <f>J10/I10*100</f>
        <v>68.664406328945631</v>
      </c>
      <c r="AE10" s="302">
        <f t="shared" ref="AE10:AE41" si="9">O10/H10/6</f>
        <v>7.2532998324252587</v>
      </c>
      <c r="AF10" s="308">
        <v>7.74</v>
      </c>
      <c r="AG10" s="467">
        <f t="shared" ref="AG10:AG40" si="10">M10-N10</f>
        <v>3092.7200000000012</v>
      </c>
      <c r="AH10" s="250"/>
      <c r="AI10" s="250"/>
      <c r="AJ10" s="250"/>
    </row>
    <row r="11" spans="1:36" s="124" customFormat="1" x14ac:dyDescent="0.25">
      <c r="A11" s="13">
        <v>3</v>
      </c>
      <c r="B11" s="573"/>
      <c r="C11" s="42" t="s">
        <v>25</v>
      </c>
      <c r="D11" s="13">
        <v>1966</v>
      </c>
      <c r="E11" s="36">
        <v>2</v>
      </c>
      <c r="F11" s="36">
        <v>16</v>
      </c>
      <c r="G11" s="225">
        <v>35</v>
      </c>
      <c r="H11" s="121">
        <v>626.47</v>
      </c>
      <c r="I11" s="121">
        <v>919.27</v>
      </c>
      <c r="J11" s="121">
        <v>682.66</v>
      </c>
      <c r="K11" s="300">
        <v>29732.28</v>
      </c>
      <c r="L11" s="301">
        <v>30503.7</v>
      </c>
      <c r="M11" s="1037">
        <f t="shared" si="1"/>
        <v>30651.55</v>
      </c>
      <c r="N11" s="1037">
        <f t="shared" si="1"/>
        <v>31186.36</v>
      </c>
      <c r="O11" s="303">
        <f t="shared" si="0"/>
        <v>27439.042934206038</v>
      </c>
      <c r="P11" s="273"/>
      <c r="Q11" s="305">
        <f t="shared" si="2"/>
        <v>37.189060518270907</v>
      </c>
      <c r="R11" s="305">
        <v>1282.05</v>
      </c>
      <c r="S11" s="305">
        <f t="shared" si="3"/>
        <v>319.35549669247541</v>
      </c>
      <c r="T11" s="460"/>
      <c r="U11" s="305"/>
      <c r="V11" s="305"/>
      <c r="W11" s="307">
        <f t="shared" ref="W11:W26" si="11">356894.32/25091.1*H11</f>
        <v>8910.8721678364054</v>
      </c>
      <c r="X11" s="305">
        <f t="shared" ref="X11:X26" si="12">W11*0.202</f>
        <v>1799.9961779029541</v>
      </c>
      <c r="Y11" s="454">
        <f t="shared" si="4"/>
        <v>1099.6475287677497</v>
      </c>
      <c r="Z11" s="273">
        <f t="shared" si="5"/>
        <v>9817.458423880902</v>
      </c>
      <c r="AA11" s="300">
        <f t="shared" si="6"/>
        <v>4172.474078607278</v>
      </c>
      <c r="AB11" s="455">
        <f t="shared" si="7"/>
        <v>3212.5070657939614</v>
      </c>
      <c r="AC11" s="303">
        <f t="shared" si="8"/>
        <v>102.5945537980942</v>
      </c>
      <c r="AD11" s="303">
        <f>J11/I11*100</f>
        <v>74.261098480315894</v>
      </c>
      <c r="AE11" s="302">
        <f t="shared" si="9"/>
        <v>7.2999087304542485</v>
      </c>
      <c r="AF11" s="308">
        <v>7.91</v>
      </c>
      <c r="AG11" s="467">
        <f t="shared" si="10"/>
        <v>-534.81000000000131</v>
      </c>
      <c r="AH11" s="250"/>
      <c r="AI11" s="250"/>
      <c r="AJ11" s="250"/>
    </row>
    <row r="12" spans="1:36" s="124" customFormat="1" x14ac:dyDescent="0.25">
      <c r="A12" s="13">
        <v>4</v>
      </c>
      <c r="B12" s="573"/>
      <c r="C12" s="42" t="s">
        <v>26</v>
      </c>
      <c r="D12" s="13">
        <v>1961</v>
      </c>
      <c r="E12" s="36">
        <v>2</v>
      </c>
      <c r="F12" s="36">
        <v>12</v>
      </c>
      <c r="G12" s="151">
        <v>39</v>
      </c>
      <c r="H12" s="121">
        <v>456.5</v>
      </c>
      <c r="I12" s="121">
        <v>1324.33</v>
      </c>
      <c r="J12" s="121">
        <v>1279.24</v>
      </c>
      <c r="K12" s="300">
        <v>20871.12</v>
      </c>
      <c r="L12" s="301">
        <v>20985.97</v>
      </c>
      <c r="M12" s="1037">
        <f t="shared" si="1"/>
        <v>22195.449999999997</v>
      </c>
      <c r="N12" s="1037">
        <f t="shared" si="1"/>
        <v>22265.210000000003</v>
      </c>
      <c r="O12" s="303">
        <f t="shared" si="0"/>
        <v>24500.02741704791</v>
      </c>
      <c r="P12" s="273">
        <v>4008.23</v>
      </c>
      <c r="Q12" s="305">
        <f t="shared" si="2"/>
        <v>27.099152595640124</v>
      </c>
      <c r="R12" s="305">
        <v>1693.86</v>
      </c>
      <c r="S12" s="305">
        <f t="shared" si="3"/>
        <v>232.70992104987474</v>
      </c>
      <c r="T12" s="460"/>
      <c r="U12" s="305"/>
      <c r="V12" s="305"/>
      <c r="W12" s="307">
        <f t="shared" si="11"/>
        <v>6493.2289568811257</v>
      </c>
      <c r="X12" s="305">
        <f t="shared" si="12"/>
        <v>1311.6322492899874</v>
      </c>
      <c r="Y12" s="454">
        <f t="shared" si="4"/>
        <v>801.29790234564734</v>
      </c>
      <c r="Z12" s="273">
        <f t="shared" si="5"/>
        <v>6891.5452450948651</v>
      </c>
      <c r="AA12" s="300">
        <f t="shared" si="6"/>
        <v>3040.4239897907678</v>
      </c>
      <c r="AB12" s="455">
        <f t="shared" si="7"/>
        <v>-2304.5774170479126</v>
      </c>
      <c r="AC12" s="303">
        <f t="shared" si="8"/>
        <v>100.55028192066359</v>
      </c>
      <c r="AD12" s="303">
        <f>J12/I12*100</f>
        <v>96.595259489704233</v>
      </c>
      <c r="AE12" s="302">
        <f t="shared" si="9"/>
        <v>8.9448804005286267</v>
      </c>
      <c r="AF12" s="308">
        <v>7.62</v>
      </c>
      <c r="AG12" s="467">
        <f t="shared" si="10"/>
        <v>-69.760000000005675</v>
      </c>
      <c r="AH12" s="250"/>
      <c r="AI12" s="250"/>
      <c r="AJ12" s="250"/>
    </row>
    <row r="13" spans="1:36" s="124" customFormat="1" x14ac:dyDescent="0.25">
      <c r="A13" s="13">
        <v>5</v>
      </c>
      <c r="B13" s="573"/>
      <c r="C13" s="42" t="s">
        <v>27</v>
      </c>
      <c r="D13" s="13">
        <v>1961</v>
      </c>
      <c r="E13" s="36">
        <v>2</v>
      </c>
      <c r="F13" s="36">
        <v>12</v>
      </c>
      <c r="G13" s="225">
        <v>35</v>
      </c>
      <c r="H13" s="121">
        <v>459.7</v>
      </c>
      <c r="I13" s="121">
        <v>1096.47</v>
      </c>
      <c r="J13" s="121">
        <v>1333.29</v>
      </c>
      <c r="K13" s="300">
        <v>21569.1</v>
      </c>
      <c r="L13" s="301">
        <v>20662.29</v>
      </c>
      <c r="M13" s="1037">
        <f t="shared" si="1"/>
        <v>22665.57</v>
      </c>
      <c r="N13" s="1037">
        <f t="shared" si="1"/>
        <v>21995.58</v>
      </c>
      <c r="O13" s="303">
        <f t="shared" si="0"/>
        <v>22201.739230135558</v>
      </c>
      <c r="P13" s="273"/>
      <c r="Q13" s="305">
        <f t="shared" si="2"/>
        <v>27.289113796748662</v>
      </c>
      <c r="R13" s="305">
        <v>3089.87</v>
      </c>
      <c r="S13" s="305">
        <f t="shared" si="3"/>
        <v>234.34118446139632</v>
      </c>
      <c r="T13" s="460"/>
      <c r="U13" s="305"/>
      <c r="V13" s="305"/>
      <c r="W13" s="307">
        <f t="shared" si="11"/>
        <v>6538.7455673127124</v>
      </c>
      <c r="X13" s="305">
        <f t="shared" si="12"/>
        <v>1320.8266045971679</v>
      </c>
      <c r="Y13" s="454">
        <f t="shared" si="4"/>
        <v>806.91488654609873</v>
      </c>
      <c r="Z13" s="273">
        <f t="shared" si="5"/>
        <v>7122.0149443813107</v>
      </c>
      <c r="AA13" s="300">
        <f t="shared" si="6"/>
        <v>3061.7369290401225</v>
      </c>
      <c r="AB13" s="455">
        <f t="shared" si="7"/>
        <v>463.83076986444212</v>
      </c>
      <c r="AC13" s="303">
        <f t="shared" si="8"/>
        <v>95.795791201301867</v>
      </c>
      <c r="AD13" s="303">
        <f>J13/I13*100</f>
        <v>121.59840214506552</v>
      </c>
      <c r="AE13" s="302">
        <f t="shared" si="9"/>
        <v>8.0493579980188379</v>
      </c>
      <c r="AF13" s="308">
        <v>7.82</v>
      </c>
      <c r="AG13" s="467">
        <f t="shared" si="10"/>
        <v>669.98999999999796</v>
      </c>
      <c r="AH13" s="250"/>
      <c r="AI13" s="250"/>
      <c r="AJ13" s="250"/>
    </row>
    <row r="14" spans="1:36" s="124" customFormat="1" x14ac:dyDescent="0.25">
      <c r="A14" s="13">
        <v>6</v>
      </c>
      <c r="B14" s="573"/>
      <c r="C14" s="42" t="s">
        <v>28</v>
      </c>
      <c r="D14" s="13">
        <v>1960</v>
      </c>
      <c r="E14" s="36">
        <v>1</v>
      </c>
      <c r="F14" s="36">
        <v>6</v>
      </c>
      <c r="G14" s="151">
        <v>10</v>
      </c>
      <c r="H14" s="462">
        <v>129.56</v>
      </c>
      <c r="I14" s="462"/>
      <c r="J14" s="462"/>
      <c r="K14" s="300">
        <v>4059.3</v>
      </c>
      <c r="L14" s="301">
        <v>3756.66</v>
      </c>
      <c r="M14" s="1037">
        <f t="shared" si="1"/>
        <v>4059.3</v>
      </c>
      <c r="N14" s="1037">
        <f t="shared" si="1"/>
        <v>3756.66</v>
      </c>
      <c r="O14" s="303">
        <f t="shared" si="0"/>
        <v>2504.4237942082746</v>
      </c>
      <c r="P14" s="273"/>
      <c r="Q14" s="305">
        <f t="shared" si="2"/>
        <v>7.6910541298820032</v>
      </c>
      <c r="R14" s="305"/>
      <c r="S14" s="305">
        <f t="shared" si="3"/>
        <v>66.045777373979789</v>
      </c>
      <c r="T14" s="460"/>
      <c r="U14" s="305"/>
      <c r="V14" s="305"/>
      <c r="W14" s="307"/>
      <c r="X14" s="305"/>
      <c r="Y14" s="454">
        <f t="shared" si="4"/>
        <v>227.41764781577672</v>
      </c>
      <c r="Z14" s="273">
        <f t="shared" si="5"/>
        <v>1340.361687030384</v>
      </c>
      <c r="AA14" s="300">
        <f t="shared" si="6"/>
        <v>862.90762785825177</v>
      </c>
      <c r="AB14" s="455">
        <f t="shared" si="7"/>
        <v>1554.8762057917256</v>
      </c>
      <c r="AC14" s="303">
        <f t="shared" si="8"/>
        <v>92.544527381568244</v>
      </c>
      <c r="AD14" s="303">
        <v>0</v>
      </c>
      <c r="AE14" s="302">
        <f t="shared" si="9"/>
        <v>3.2217039649689649</v>
      </c>
      <c r="AF14" s="308">
        <v>6.29</v>
      </c>
      <c r="AG14" s="467">
        <f t="shared" si="10"/>
        <v>302.64000000000033</v>
      </c>
      <c r="AH14" s="250"/>
      <c r="AI14" s="250"/>
      <c r="AJ14" s="250"/>
    </row>
    <row r="15" spans="1:36" s="124" customFormat="1" x14ac:dyDescent="0.25">
      <c r="A15" s="13">
        <v>7</v>
      </c>
      <c r="B15" s="573"/>
      <c r="C15" s="42" t="s">
        <v>29</v>
      </c>
      <c r="D15" s="13">
        <v>1985</v>
      </c>
      <c r="E15" s="36">
        <v>4</v>
      </c>
      <c r="F15" s="36">
        <v>48</v>
      </c>
      <c r="G15" s="225">
        <v>106</v>
      </c>
      <c r="H15" s="121">
        <v>2625.8</v>
      </c>
      <c r="I15" s="121">
        <v>6657.33</v>
      </c>
      <c r="J15" s="121">
        <v>6199.26</v>
      </c>
      <c r="K15" s="300">
        <v>124620.72</v>
      </c>
      <c r="L15" s="301">
        <v>115692.09</v>
      </c>
      <c r="M15" s="1037">
        <f t="shared" si="1"/>
        <v>131278.04999999999</v>
      </c>
      <c r="N15" s="1037">
        <f t="shared" si="1"/>
        <v>121891.34999999999</v>
      </c>
      <c r="O15" s="303">
        <f t="shared" si="0"/>
        <v>116078.97388884159</v>
      </c>
      <c r="P15" s="273">
        <v>1807.82</v>
      </c>
      <c r="Q15" s="305">
        <f t="shared" si="2"/>
        <v>155.87503808462617</v>
      </c>
      <c r="R15" s="305">
        <v>4636.1000000000004</v>
      </c>
      <c r="S15" s="305">
        <f t="shared" si="3"/>
        <v>1338.5535831166728</v>
      </c>
      <c r="T15" s="460"/>
      <c r="U15" s="305"/>
      <c r="V15" s="305"/>
      <c r="W15" s="307">
        <f t="shared" si="11"/>
        <v>37349.223647269355</v>
      </c>
      <c r="X15" s="305">
        <f t="shared" si="12"/>
        <v>7544.5431767484106</v>
      </c>
      <c r="Y15" s="454">
        <f t="shared" si="4"/>
        <v>4609.086597982915</v>
      </c>
      <c r="Z15" s="273">
        <f t="shared" si="5"/>
        <v>41149.173132840908</v>
      </c>
      <c r="AA15" s="300">
        <f t="shared" si="6"/>
        <v>17488.598712798685</v>
      </c>
      <c r="AB15" s="455">
        <f t="shared" si="7"/>
        <v>15199.0761111584</v>
      </c>
      <c r="AC15" s="303">
        <f t="shared" si="8"/>
        <v>92.835356752873835</v>
      </c>
      <c r="AD15" s="303">
        <f t="shared" ref="AD15:AD26" si="13">J15/I15*100</f>
        <v>93.119313598694973</v>
      </c>
      <c r="AE15" s="302">
        <f t="shared" si="9"/>
        <v>7.3678481408105201</v>
      </c>
      <c r="AF15" s="308">
        <v>7.91</v>
      </c>
      <c r="AG15" s="467">
        <f t="shared" si="10"/>
        <v>9386.6999999999971</v>
      </c>
      <c r="AH15" s="250"/>
      <c r="AI15" s="250"/>
      <c r="AJ15" s="250"/>
    </row>
    <row r="16" spans="1:36" s="124" customFormat="1" x14ac:dyDescent="0.25">
      <c r="A16" s="13">
        <v>8</v>
      </c>
      <c r="B16" s="573"/>
      <c r="C16" s="42" t="s">
        <v>30</v>
      </c>
      <c r="D16" s="13">
        <v>1968</v>
      </c>
      <c r="E16" s="36">
        <v>2</v>
      </c>
      <c r="F16" s="36">
        <v>22</v>
      </c>
      <c r="G16" s="151">
        <v>60</v>
      </c>
      <c r="H16" s="121">
        <v>857.42</v>
      </c>
      <c r="I16" s="121">
        <v>955.78</v>
      </c>
      <c r="J16" s="121">
        <v>877.14</v>
      </c>
      <c r="K16" s="300">
        <v>38945.040000000001</v>
      </c>
      <c r="L16" s="301">
        <v>41346.730000000003</v>
      </c>
      <c r="M16" s="1037">
        <f t="shared" si="1"/>
        <v>39900.82</v>
      </c>
      <c r="N16" s="1037">
        <f t="shared" si="1"/>
        <v>42223.87</v>
      </c>
      <c r="O16" s="303">
        <f t="shared" si="0"/>
        <v>36043.650016803971</v>
      </c>
      <c r="P16" s="273"/>
      <c r="Q16" s="305">
        <f t="shared" si="2"/>
        <v>50.898916579526301</v>
      </c>
      <c r="R16" s="305">
        <v>821.03</v>
      </c>
      <c r="S16" s="305">
        <f t="shared" si="3"/>
        <v>437.0868357208841</v>
      </c>
      <c r="T16" s="460"/>
      <c r="U16" s="305"/>
      <c r="V16" s="305"/>
      <c r="W16" s="307">
        <f t="shared" si="11"/>
        <v>12195.891286328619</v>
      </c>
      <c r="X16" s="305">
        <f t="shared" si="12"/>
        <v>2463.570039838381</v>
      </c>
      <c r="Y16" s="454">
        <f t="shared" si="4"/>
        <v>1505.0358103597041</v>
      </c>
      <c r="Z16" s="273">
        <f t="shared" si="5"/>
        <v>12859.468261982554</v>
      </c>
      <c r="AA16" s="300">
        <f t="shared" si="6"/>
        <v>5710.6688659943047</v>
      </c>
      <c r="AB16" s="455">
        <f t="shared" si="7"/>
        <v>3857.1699831960286</v>
      </c>
      <c r="AC16" s="303">
        <f t="shared" si="8"/>
        <v>106.16687003017586</v>
      </c>
      <c r="AD16" s="303">
        <f t="shared" si="13"/>
        <v>91.772165142606042</v>
      </c>
      <c r="AE16" s="302">
        <f t="shared" si="9"/>
        <v>7.006222158102986</v>
      </c>
      <c r="AF16" s="308">
        <v>7.57</v>
      </c>
      <c r="AG16" s="467">
        <f t="shared" si="10"/>
        <v>-2323.0500000000029</v>
      </c>
      <c r="AH16" s="250"/>
      <c r="AI16" s="250"/>
      <c r="AJ16" s="250"/>
    </row>
    <row r="17" spans="1:36" s="124" customFormat="1" x14ac:dyDescent="0.25">
      <c r="A17" s="13">
        <v>9</v>
      </c>
      <c r="B17" s="573"/>
      <c r="C17" s="42" t="s">
        <v>31</v>
      </c>
      <c r="D17" s="13">
        <v>1969</v>
      </c>
      <c r="E17" s="36">
        <v>2</v>
      </c>
      <c r="F17" s="36">
        <v>22</v>
      </c>
      <c r="G17" s="225">
        <v>55</v>
      </c>
      <c r="H17" s="121">
        <v>805.1</v>
      </c>
      <c r="I17" s="121">
        <v>884.31</v>
      </c>
      <c r="J17" s="121">
        <v>759.78</v>
      </c>
      <c r="K17" s="300">
        <v>37026</v>
      </c>
      <c r="L17" s="301">
        <v>33713.910000000003</v>
      </c>
      <c r="M17" s="1037">
        <f t="shared" si="1"/>
        <v>37910.31</v>
      </c>
      <c r="N17" s="1037">
        <f t="shared" si="1"/>
        <v>34473.69</v>
      </c>
      <c r="O17" s="303">
        <f t="shared" si="0"/>
        <v>34310.246512203659</v>
      </c>
      <c r="P17" s="273">
        <v>694.8</v>
      </c>
      <c r="Q17" s="305">
        <f t="shared" si="2"/>
        <v>47.793050941401674</v>
      </c>
      <c r="R17" s="305">
        <v>391.09</v>
      </c>
      <c r="S17" s="305">
        <f t="shared" si="3"/>
        <v>410.41567894250636</v>
      </c>
      <c r="T17" s="460"/>
      <c r="U17" s="305"/>
      <c r="V17" s="305"/>
      <c r="W17" s="307">
        <f t="shared" si="11"/>
        <v>11451.694705772166</v>
      </c>
      <c r="X17" s="305">
        <f t="shared" si="12"/>
        <v>2313.2423305659777</v>
      </c>
      <c r="Y17" s="454">
        <f t="shared" si="4"/>
        <v>1413.1981186823234</v>
      </c>
      <c r="Z17" s="273">
        <f t="shared" si="5"/>
        <v>12225.810318031925</v>
      </c>
      <c r="AA17" s="300">
        <f t="shared" si="6"/>
        <v>5362.2023092673544</v>
      </c>
      <c r="AB17" s="455">
        <f t="shared" si="7"/>
        <v>3600.0634877963384</v>
      </c>
      <c r="AC17" s="303">
        <f t="shared" si="8"/>
        <v>91.054691298006816</v>
      </c>
      <c r="AD17" s="303">
        <f t="shared" si="13"/>
        <v>85.91783424364759</v>
      </c>
      <c r="AE17" s="302">
        <f t="shared" si="9"/>
        <v>7.1026883849218843</v>
      </c>
      <c r="AF17" s="308">
        <v>7.46</v>
      </c>
      <c r="AG17" s="467">
        <f t="shared" si="10"/>
        <v>3436.6199999999953</v>
      </c>
      <c r="AH17" s="250"/>
      <c r="AI17" s="250"/>
      <c r="AJ17" s="250"/>
    </row>
    <row r="18" spans="1:36" s="124" customFormat="1" x14ac:dyDescent="0.25">
      <c r="A18" s="13">
        <v>10</v>
      </c>
      <c r="B18" s="573"/>
      <c r="C18" s="42" t="s">
        <v>32</v>
      </c>
      <c r="D18" s="13">
        <v>1963</v>
      </c>
      <c r="E18" s="36">
        <v>2</v>
      </c>
      <c r="F18" s="36">
        <v>16</v>
      </c>
      <c r="G18" s="151">
        <v>25</v>
      </c>
      <c r="H18" s="121">
        <v>636.21</v>
      </c>
      <c r="I18" s="121">
        <v>648.58000000000004</v>
      </c>
      <c r="J18" s="121">
        <v>584.61</v>
      </c>
      <c r="K18" s="300">
        <v>29205.360000000001</v>
      </c>
      <c r="L18" s="301">
        <v>28130.03</v>
      </c>
      <c r="M18" s="1037">
        <f t="shared" si="1"/>
        <v>29853.940000000002</v>
      </c>
      <c r="N18" s="1037">
        <f t="shared" si="1"/>
        <v>28714.639999999999</v>
      </c>
      <c r="O18" s="303">
        <f t="shared" si="0"/>
        <v>26628.13424784788</v>
      </c>
      <c r="P18" s="273"/>
      <c r="Q18" s="305">
        <f t="shared" si="2"/>
        <v>37.767254924145028</v>
      </c>
      <c r="R18" s="305">
        <v>391.09</v>
      </c>
      <c r="S18" s="305">
        <f t="shared" si="3"/>
        <v>324.32065470129425</v>
      </c>
      <c r="T18" s="460"/>
      <c r="U18" s="305"/>
      <c r="V18" s="305"/>
      <c r="W18" s="307">
        <f t="shared" si="11"/>
        <v>9049.4133508375489</v>
      </c>
      <c r="X18" s="305">
        <f t="shared" si="12"/>
        <v>1827.9814968691851</v>
      </c>
      <c r="Y18" s="454">
        <f t="shared" si="4"/>
        <v>1116.7442244278736</v>
      </c>
      <c r="Z18" s="273">
        <f t="shared" si="5"/>
        <v>9643.4719286403306</v>
      </c>
      <c r="AA18" s="300">
        <f t="shared" si="6"/>
        <v>4237.3453374475021</v>
      </c>
      <c r="AB18" s="455">
        <f t="shared" si="7"/>
        <v>3225.8057521521223</v>
      </c>
      <c r="AC18" s="303">
        <f t="shared" si="8"/>
        <v>96.318038880534246</v>
      </c>
      <c r="AD18" s="303">
        <f t="shared" si="13"/>
        <v>90.136914490116865</v>
      </c>
      <c r="AE18" s="302">
        <f t="shared" si="9"/>
        <v>6.9757192980954601</v>
      </c>
      <c r="AF18" s="308">
        <v>7.65</v>
      </c>
      <c r="AG18" s="467">
        <f t="shared" si="10"/>
        <v>1139.3000000000029</v>
      </c>
      <c r="AH18" s="250"/>
      <c r="AI18" s="250"/>
      <c r="AJ18" s="250"/>
    </row>
    <row r="19" spans="1:36" s="124" customFormat="1" x14ac:dyDescent="0.25">
      <c r="A19" s="13">
        <v>11</v>
      </c>
      <c r="B19" s="573"/>
      <c r="C19" s="42" t="s">
        <v>33</v>
      </c>
      <c r="D19" s="13">
        <v>1972</v>
      </c>
      <c r="E19" s="36">
        <v>2</v>
      </c>
      <c r="F19" s="36">
        <v>18</v>
      </c>
      <c r="G19" s="225">
        <v>44</v>
      </c>
      <c r="H19" s="121">
        <v>779.26</v>
      </c>
      <c r="I19" s="121">
        <v>1125.29</v>
      </c>
      <c r="J19" s="121">
        <v>683.49</v>
      </c>
      <c r="K19" s="300">
        <v>33572.639999999999</v>
      </c>
      <c r="L19" s="301">
        <v>23825.62</v>
      </c>
      <c r="M19" s="1037">
        <f t="shared" si="1"/>
        <v>34697.93</v>
      </c>
      <c r="N19" s="1037">
        <f t="shared" si="1"/>
        <v>24509.11</v>
      </c>
      <c r="O19" s="303">
        <f t="shared" si="0"/>
        <v>33971.626782240215</v>
      </c>
      <c r="P19" s="273"/>
      <c r="Q19" s="305">
        <f t="shared" si="2"/>
        <v>46.259114242450217</v>
      </c>
      <c r="R19" s="305">
        <v>2561.5100000000002</v>
      </c>
      <c r="S19" s="305">
        <f t="shared" si="3"/>
        <v>397.24322689446967</v>
      </c>
      <c r="T19" s="460"/>
      <c r="U19" s="305"/>
      <c r="V19" s="305"/>
      <c r="W19" s="307">
        <f t="shared" si="11"/>
        <v>11084.1480765371</v>
      </c>
      <c r="X19" s="305">
        <f t="shared" si="12"/>
        <v>2238.9979114604944</v>
      </c>
      <c r="Y19" s="454">
        <f t="shared" si="4"/>
        <v>1367.8409712636783</v>
      </c>
      <c r="Z19" s="273">
        <f t="shared" si="5"/>
        <v>11085.527157013215</v>
      </c>
      <c r="AA19" s="300">
        <f t="shared" si="6"/>
        <v>5190.1003248288143</v>
      </c>
      <c r="AB19" s="455">
        <f t="shared" si="7"/>
        <v>726.30321775978518</v>
      </c>
      <c r="AC19" s="303">
        <f t="shared" si="8"/>
        <v>70.967371049759564</v>
      </c>
      <c r="AD19" s="303">
        <f t="shared" si="13"/>
        <v>60.739009499773402</v>
      </c>
      <c r="AE19" s="302">
        <f t="shared" si="9"/>
        <v>7.2657877948823701</v>
      </c>
      <c r="AF19" s="308">
        <v>7.18</v>
      </c>
      <c r="AG19" s="467">
        <f t="shared" si="10"/>
        <v>10188.82</v>
      </c>
      <c r="AH19" s="250"/>
      <c r="AI19" s="250"/>
      <c r="AJ19" s="250"/>
    </row>
    <row r="20" spans="1:36" s="124" customFormat="1" x14ac:dyDescent="0.25">
      <c r="A20" s="13">
        <v>12</v>
      </c>
      <c r="B20" s="573"/>
      <c r="C20" s="42" t="s">
        <v>34</v>
      </c>
      <c r="D20" s="13">
        <v>1972</v>
      </c>
      <c r="E20" s="36">
        <v>2</v>
      </c>
      <c r="F20" s="36">
        <v>18</v>
      </c>
      <c r="G20" s="151">
        <v>44</v>
      </c>
      <c r="H20" s="121">
        <v>771.52</v>
      </c>
      <c r="I20" s="121">
        <v>1075.82</v>
      </c>
      <c r="J20" s="121">
        <v>956.02</v>
      </c>
      <c r="K20" s="300">
        <v>33051.839999999997</v>
      </c>
      <c r="L20" s="301">
        <v>30999.01</v>
      </c>
      <c r="M20" s="1037">
        <f t="shared" si="1"/>
        <v>34127.659999999996</v>
      </c>
      <c r="N20" s="1037">
        <f t="shared" si="1"/>
        <v>31955.03</v>
      </c>
      <c r="O20" s="303">
        <f t="shared" si="0"/>
        <v>32307.967094336876</v>
      </c>
      <c r="P20" s="273"/>
      <c r="Q20" s="305">
        <f t="shared" si="2"/>
        <v>45.799645587268934</v>
      </c>
      <c r="R20" s="305">
        <v>1271.69</v>
      </c>
      <c r="S20" s="305">
        <f t="shared" si="3"/>
        <v>393.29760851785181</v>
      </c>
      <c r="T20" s="460"/>
      <c r="U20" s="305"/>
      <c r="V20" s="305"/>
      <c r="W20" s="307">
        <f t="shared" si="11"/>
        <v>10974.054775055698</v>
      </c>
      <c r="X20" s="305">
        <f t="shared" si="12"/>
        <v>2216.7590645612513</v>
      </c>
      <c r="Y20" s="454">
        <f t="shared" si="4"/>
        <v>1354.2548907288362</v>
      </c>
      <c r="Z20" s="273">
        <f t="shared" si="5"/>
        <v>10913.561456866533</v>
      </c>
      <c r="AA20" s="300">
        <f t="shared" si="6"/>
        <v>5138.5496530194378</v>
      </c>
      <c r="AB20" s="455">
        <f t="shared" si="7"/>
        <v>1819.6929056631197</v>
      </c>
      <c r="AC20" s="303">
        <f t="shared" si="8"/>
        <v>93.789059852643604</v>
      </c>
      <c r="AD20" s="303">
        <f t="shared" si="13"/>
        <v>88.864308155639421</v>
      </c>
      <c r="AE20" s="302">
        <f t="shared" si="9"/>
        <v>6.979289172528877</v>
      </c>
      <c r="AF20" s="308">
        <v>7.14</v>
      </c>
      <c r="AG20" s="467">
        <f t="shared" si="10"/>
        <v>2172.6299999999974</v>
      </c>
      <c r="AH20" s="250"/>
      <c r="AI20" s="250"/>
      <c r="AJ20" s="250"/>
    </row>
    <row r="21" spans="1:36" s="124" customFormat="1" x14ac:dyDescent="0.25">
      <c r="A21" s="13">
        <v>13</v>
      </c>
      <c r="B21" s="573"/>
      <c r="C21" s="42" t="s">
        <v>35</v>
      </c>
      <c r="D21" s="13">
        <v>1978</v>
      </c>
      <c r="E21" s="36">
        <v>3</v>
      </c>
      <c r="F21" s="36">
        <v>24</v>
      </c>
      <c r="G21" s="225">
        <v>68</v>
      </c>
      <c r="H21" s="121">
        <v>1443.9</v>
      </c>
      <c r="I21" s="121">
        <v>3808.64</v>
      </c>
      <c r="J21" s="121">
        <v>3471.3</v>
      </c>
      <c r="K21" s="300">
        <v>70260.179999999993</v>
      </c>
      <c r="L21" s="301">
        <v>68548.899999999994</v>
      </c>
      <c r="M21" s="1037">
        <f t="shared" si="1"/>
        <v>74068.819999999992</v>
      </c>
      <c r="N21" s="1037">
        <f t="shared" si="1"/>
        <v>72020.2</v>
      </c>
      <c r="O21" s="303">
        <f t="shared" si="0"/>
        <v>63867.570243403534</v>
      </c>
      <c r="P21" s="273">
        <v>915.6</v>
      </c>
      <c r="Q21" s="305">
        <f t="shared" si="2"/>
        <v>85.714055712693934</v>
      </c>
      <c r="R21" s="305">
        <v>2092.7199999999998</v>
      </c>
      <c r="S21" s="305">
        <f t="shared" si="3"/>
        <v>736.05663746750088</v>
      </c>
      <c r="T21" s="460"/>
      <c r="U21" s="305"/>
      <c r="V21" s="305"/>
      <c r="W21" s="307">
        <f t="shared" si="11"/>
        <v>20537.948063177784</v>
      </c>
      <c r="X21" s="305">
        <f t="shared" si="12"/>
        <v>4148.6655087619129</v>
      </c>
      <c r="Y21" s="454">
        <f t="shared" si="4"/>
        <v>2534.4885896974374</v>
      </c>
      <c r="Z21" s="273">
        <f t="shared" si="5"/>
        <v>23199.579581666403</v>
      </c>
      <c r="AA21" s="300">
        <f t="shared" si="6"/>
        <v>9616.7978069198034</v>
      </c>
      <c r="AB21" s="455">
        <f t="shared" si="7"/>
        <v>10201.249756596459</v>
      </c>
      <c r="AC21" s="303">
        <f t="shared" si="8"/>
        <v>97.564367184940309</v>
      </c>
      <c r="AD21" s="303">
        <f t="shared" si="13"/>
        <v>91.142770122668466</v>
      </c>
      <c r="AE21" s="302">
        <f t="shared" si="9"/>
        <v>7.3721137478823016</v>
      </c>
      <c r="AF21" s="308">
        <v>8.11</v>
      </c>
      <c r="AG21" s="467">
        <f t="shared" si="10"/>
        <v>2048.6199999999953</v>
      </c>
      <c r="AH21" s="250"/>
      <c r="AI21" s="250"/>
      <c r="AJ21" s="250"/>
    </row>
    <row r="22" spans="1:36" s="124" customFormat="1" x14ac:dyDescent="0.25">
      <c r="A22" s="13">
        <v>14</v>
      </c>
      <c r="B22" s="573"/>
      <c r="C22" s="42" t="s">
        <v>36</v>
      </c>
      <c r="D22" s="13">
        <v>1979</v>
      </c>
      <c r="E22" s="36">
        <v>5</v>
      </c>
      <c r="F22" s="36">
        <v>60</v>
      </c>
      <c r="G22" s="151">
        <v>181</v>
      </c>
      <c r="H22" s="121">
        <v>3240.38</v>
      </c>
      <c r="I22" s="121">
        <v>8007.04</v>
      </c>
      <c r="J22" s="121">
        <v>7452.71</v>
      </c>
      <c r="K22" s="300">
        <v>151623.54</v>
      </c>
      <c r="L22" s="301">
        <v>149880.54</v>
      </c>
      <c r="M22" s="1037">
        <f t="shared" si="1"/>
        <v>159630.58000000002</v>
      </c>
      <c r="N22" s="1037">
        <f t="shared" si="1"/>
        <v>157333.25</v>
      </c>
      <c r="O22" s="303">
        <f t="shared" si="0"/>
        <v>138822.31810629688</v>
      </c>
      <c r="P22" s="273">
        <v>1949.49</v>
      </c>
      <c r="Q22" s="305">
        <f t="shared" si="2"/>
        <v>192.35827401502814</v>
      </c>
      <c r="R22" s="305">
        <v>2292.15</v>
      </c>
      <c r="S22" s="305">
        <f t="shared" si="3"/>
        <v>1651.8479166957134</v>
      </c>
      <c r="T22" s="460"/>
      <c r="U22" s="305"/>
      <c r="V22" s="305"/>
      <c r="W22" s="307">
        <f t="shared" si="11"/>
        <v>46090.973159470894</v>
      </c>
      <c r="X22" s="305">
        <f t="shared" si="12"/>
        <v>9310.3765782131213</v>
      </c>
      <c r="Y22" s="454">
        <f t="shared" si="4"/>
        <v>5687.8635198308621</v>
      </c>
      <c r="Z22" s="273">
        <f t="shared" si="5"/>
        <v>50065.376756563674</v>
      </c>
      <c r="AA22" s="300">
        <f t="shared" si="6"/>
        <v>21581.881901507579</v>
      </c>
      <c r="AB22" s="455">
        <f t="shared" si="7"/>
        <v>20808.261893703137</v>
      </c>
      <c r="AC22" s="303">
        <f t="shared" si="8"/>
        <v>98.850442352157188</v>
      </c>
      <c r="AD22" s="303">
        <f t="shared" si="13"/>
        <v>93.076967268803458</v>
      </c>
      <c r="AE22" s="302">
        <f t="shared" si="9"/>
        <v>7.1402283120239431</v>
      </c>
      <c r="AF22" s="308">
        <v>7.8</v>
      </c>
      <c r="AG22" s="467">
        <f t="shared" si="10"/>
        <v>2297.3300000000163</v>
      </c>
      <c r="AH22" s="250"/>
      <c r="AI22" s="250"/>
      <c r="AJ22" s="250"/>
    </row>
    <row r="23" spans="1:36" s="124" customFormat="1" x14ac:dyDescent="0.25">
      <c r="A23" s="13">
        <v>15</v>
      </c>
      <c r="B23" s="573"/>
      <c r="C23" s="42" t="s">
        <v>37</v>
      </c>
      <c r="D23" s="13">
        <v>1981</v>
      </c>
      <c r="E23" s="36">
        <v>5</v>
      </c>
      <c r="F23" s="36">
        <v>60</v>
      </c>
      <c r="G23" s="225">
        <v>163</v>
      </c>
      <c r="H23" s="121">
        <v>3236.3</v>
      </c>
      <c r="I23" s="121">
        <v>8432.1299999999992</v>
      </c>
      <c r="J23" s="121">
        <v>7604.74</v>
      </c>
      <c r="K23" s="300">
        <v>153225.5</v>
      </c>
      <c r="L23" s="301">
        <v>150172.54</v>
      </c>
      <c r="M23" s="1037">
        <f t="shared" si="1"/>
        <v>161657.63</v>
      </c>
      <c r="N23" s="1037">
        <f t="shared" si="1"/>
        <v>157777.28</v>
      </c>
      <c r="O23" s="303">
        <f t="shared" si="0"/>
        <v>141813.58353678975</v>
      </c>
      <c r="P23" s="273">
        <v>3443.36</v>
      </c>
      <c r="Q23" s="305">
        <f t="shared" si="2"/>
        <v>192.11607348361477</v>
      </c>
      <c r="R23" s="305">
        <v>3367</v>
      </c>
      <c r="S23" s="305">
        <f t="shared" si="3"/>
        <v>1649.7680558460233</v>
      </c>
      <c r="T23" s="460"/>
      <c r="U23" s="305"/>
      <c r="V23" s="305"/>
      <c r="W23" s="307">
        <f t="shared" si="11"/>
        <v>46032.939481170622</v>
      </c>
      <c r="X23" s="305">
        <f t="shared" si="12"/>
        <v>9298.6537751964661</v>
      </c>
      <c r="Y23" s="454">
        <f t="shared" si="4"/>
        <v>5680.7018649752872</v>
      </c>
      <c r="Z23" s="273">
        <f t="shared" si="5"/>
        <v>50594.336382153102</v>
      </c>
      <c r="AA23" s="300">
        <f t="shared" si="6"/>
        <v>21554.707903964652</v>
      </c>
      <c r="AB23" s="455">
        <f t="shared" si="7"/>
        <v>19844.046463210252</v>
      </c>
      <c r="AC23" s="303">
        <f t="shared" si="8"/>
        <v>98.007537909812669</v>
      </c>
      <c r="AD23" s="303">
        <f t="shared" si="13"/>
        <v>90.187651281467438</v>
      </c>
      <c r="AE23" s="302">
        <f t="shared" si="9"/>
        <v>7.3032775874089628</v>
      </c>
      <c r="AF23" s="308">
        <v>7.89</v>
      </c>
      <c r="AG23" s="467">
        <f t="shared" si="10"/>
        <v>3880.3500000000058</v>
      </c>
      <c r="AH23" s="250"/>
      <c r="AI23" s="250"/>
      <c r="AJ23" s="250"/>
    </row>
    <row r="24" spans="1:36" s="124" customFormat="1" x14ac:dyDescent="0.25">
      <c r="A24" s="13">
        <v>16</v>
      </c>
      <c r="B24" s="573"/>
      <c r="C24" s="42" t="s">
        <v>38</v>
      </c>
      <c r="D24" s="13">
        <v>1981</v>
      </c>
      <c r="E24" s="36">
        <v>5</v>
      </c>
      <c r="F24" s="36">
        <v>60</v>
      </c>
      <c r="G24" s="151">
        <v>184</v>
      </c>
      <c r="H24" s="121">
        <v>3273.8</v>
      </c>
      <c r="I24" s="121">
        <v>7773.08</v>
      </c>
      <c r="J24" s="121">
        <v>7119.23</v>
      </c>
      <c r="K24" s="300">
        <v>151156.62</v>
      </c>
      <c r="L24" s="301">
        <v>142466.25</v>
      </c>
      <c r="M24" s="1037">
        <f t="shared" si="1"/>
        <v>158929.69999999998</v>
      </c>
      <c r="N24" s="1037">
        <f t="shared" si="1"/>
        <v>149585.48000000001</v>
      </c>
      <c r="O24" s="303">
        <f t="shared" si="0"/>
        <v>140201.51077867439</v>
      </c>
      <c r="P24" s="273">
        <v>3427.05</v>
      </c>
      <c r="Q24" s="305">
        <f t="shared" si="2"/>
        <v>194.34218130910546</v>
      </c>
      <c r="R24" s="305">
        <v>1476.3</v>
      </c>
      <c r="S24" s="305">
        <f t="shared" si="3"/>
        <v>1668.8844239497919</v>
      </c>
      <c r="T24" s="460"/>
      <c r="U24" s="305"/>
      <c r="V24" s="305"/>
      <c r="W24" s="307">
        <f t="shared" si="11"/>
        <v>46566.337259665786</v>
      </c>
      <c r="X24" s="305">
        <f t="shared" si="12"/>
        <v>9406.4001264524886</v>
      </c>
      <c r="Y24" s="454">
        <f t="shared" si="4"/>
        <v>5746.5258985743267</v>
      </c>
      <c r="Z24" s="273">
        <f t="shared" si="5"/>
        <v>49911.201977929857</v>
      </c>
      <c r="AA24" s="300">
        <f t="shared" si="6"/>
        <v>21804.468910793028</v>
      </c>
      <c r="AB24" s="455">
        <f t="shared" si="7"/>
        <v>18728.189221325592</v>
      </c>
      <c r="AC24" s="303">
        <f t="shared" si="8"/>
        <v>94.250751306823361</v>
      </c>
      <c r="AD24" s="303">
        <f t="shared" si="13"/>
        <v>91.588276461840096</v>
      </c>
      <c r="AE24" s="302">
        <f t="shared" si="9"/>
        <v>7.1375522216117036</v>
      </c>
      <c r="AF24" s="308">
        <v>7.78</v>
      </c>
      <c r="AG24" s="467">
        <f t="shared" si="10"/>
        <v>9344.2199999999721</v>
      </c>
      <c r="AH24" s="250"/>
      <c r="AI24" s="250"/>
      <c r="AJ24" s="250"/>
    </row>
    <row r="25" spans="1:36" s="124" customFormat="1" x14ac:dyDescent="0.25">
      <c r="A25" s="13">
        <v>17</v>
      </c>
      <c r="B25" s="573"/>
      <c r="C25" s="42" t="s">
        <v>39</v>
      </c>
      <c r="D25" s="13">
        <v>1987</v>
      </c>
      <c r="E25" s="36">
        <v>3</v>
      </c>
      <c r="F25" s="36">
        <v>27</v>
      </c>
      <c r="G25" s="225">
        <v>72</v>
      </c>
      <c r="H25" s="121">
        <v>1466.1</v>
      </c>
      <c r="I25" s="121">
        <v>5149.4399999999996</v>
      </c>
      <c r="J25" s="121">
        <v>4755.3900000000003</v>
      </c>
      <c r="K25" s="300">
        <v>72102.600000000006</v>
      </c>
      <c r="L25" s="301">
        <v>72304.12</v>
      </c>
      <c r="M25" s="1037">
        <f t="shared" si="1"/>
        <v>77252.040000000008</v>
      </c>
      <c r="N25" s="1037">
        <f t="shared" si="1"/>
        <v>77059.509999999995</v>
      </c>
      <c r="O25" s="303">
        <f t="shared" si="0"/>
        <v>68833.827039743177</v>
      </c>
      <c r="P25" s="273">
        <v>1726.34</v>
      </c>
      <c r="Q25" s="305">
        <f t="shared" si="2"/>
        <v>87.031911545384418</v>
      </c>
      <c r="R25" s="305">
        <v>5060.8599999999997</v>
      </c>
      <c r="S25" s="305">
        <f t="shared" si="3"/>
        <v>747.37352738493178</v>
      </c>
      <c r="T25" s="460"/>
      <c r="U25" s="305"/>
      <c r="V25" s="305"/>
      <c r="W25" s="307">
        <f t="shared" si="11"/>
        <v>20853.719548046916</v>
      </c>
      <c r="X25" s="305">
        <f t="shared" si="12"/>
        <v>4212.4513487054774</v>
      </c>
      <c r="Y25" s="454">
        <f t="shared" si="4"/>
        <v>2573.4564175880687</v>
      </c>
      <c r="Z25" s="273">
        <f t="shared" si="5"/>
        <v>23807.937963510205</v>
      </c>
      <c r="AA25" s="300">
        <f t="shared" si="6"/>
        <v>9764.6563229622006</v>
      </c>
      <c r="AB25" s="455">
        <f t="shared" si="7"/>
        <v>8418.2129602568311</v>
      </c>
      <c r="AC25" s="303">
        <f t="shared" si="8"/>
        <v>100.27949061476285</v>
      </c>
      <c r="AD25" s="303">
        <f t="shared" si="13"/>
        <v>92.347711595824023</v>
      </c>
      <c r="AE25" s="302">
        <f t="shared" si="9"/>
        <v>7.8250491144013807</v>
      </c>
      <c r="AF25" s="308">
        <v>8.1999999999999993</v>
      </c>
      <c r="AG25" s="467">
        <f t="shared" si="10"/>
        <v>192.53000000001339</v>
      </c>
      <c r="AH25" s="250"/>
      <c r="AI25" s="250"/>
      <c r="AJ25" s="250"/>
    </row>
    <row r="26" spans="1:36" s="124" customFormat="1" x14ac:dyDescent="0.25">
      <c r="A26" s="13">
        <v>18</v>
      </c>
      <c r="B26" s="573"/>
      <c r="C26" s="42" t="s">
        <v>40</v>
      </c>
      <c r="D26" s="13">
        <v>1989</v>
      </c>
      <c r="E26" s="36">
        <v>3</v>
      </c>
      <c r="F26" s="36">
        <v>27</v>
      </c>
      <c r="G26" s="151">
        <v>78</v>
      </c>
      <c r="H26" s="121">
        <v>1468.1</v>
      </c>
      <c r="I26" s="121">
        <v>4437.1499999999996</v>
      </c>
      <c r="J26" s="121">
        <v>4354.28</v>
      </c>
      <c r="K26" s="300">
        <v>71648.320000000007</v>
      </c>
      <c r="L26" s="301">
        <v>76920.850000000006</v>
      </c>
      <c r="M26" s="1037">
        <f t="shared" si="1"/>
        <v>76085.47</v>
      </c>
      <c r="N26" s="1037">
        <f t="shared" si="1"/>
        <v>81275.13</v>
      </c>
      <c r="O26" s="303">
        <f t="shared" si="0"/>
        <v>64049.02975053362</v>
      </c>
      <c r="P26" s="273">
        <v>740.49</v>
      </c>
      <c r="Q26" s="305">
        <f t="shared" si="2"/>
        <v>87.15063729607725</v>
      </c>
      <c r="R26" s="305">
        <v>1359.75</v>
      </c>
      <c r="S26" s="305">
        <f t="shared" si="3"/>
        <v>748.39306701713269</v>
      </c>
      <c r="T26" s="460"/>
      <c r="U26" s="305"/>
      <c r="V26" s="305"/>
      <c r="W26" s="307">
        <f t="shared" si="11"/>
        <v>20882.16742956666</v>
      </c>
      <c r="X26" s="305">
        <f t="shared" si="12"/>
        <v>4218.197820772466</v>
      </c>
      <c r="Y26" s="454">
        <f t="shared" si="4"/>
        <v>2576.9670327133508</v>
      </c>
      <c r="Z26" s="273">
        <f t="shared" si="5"/>
        <v>23657.936853174884</v>
      </c>
      <c r="AA26" s="300">
        <f t="shared" si="6"/>
        <v>9777.9769099930472</v>
      </c>
      <c r="AB26" s="455">
        <f t="shared" si="7"/>
        <v>12036.440249466381</v>
      </c>
      <c r="AC26" s="303">
        <f t="shared" si="8"/>
        <v>107.35890248368698</v>
      </c>
      <c r="AD26" s="303">
        <f t="shared" si="13"/>
        <v>98.132359735415747</v>
      </c>
      <c r="AE26" s="302">
        <f t="shared" si="9"/>
        <v>7.2711928967751547</v>
      </c>
      <c r="AF26" s="308">
        <v>8.1300000000000008</v>
      </c>
      <c r="AG26" s="467">
        <f t="shared" si="10"/>
        <v>-5189.6600000000035</v>
      </c>
      <c r="AH26" s="250"/>
      <c r="AI26" s="250"/>
      <c r="AJ26" s="250"/>
    </row>
    <row r="27" spans="1:36" s="124" customFormat="1" x14ac:dyDescent="0.25">
      <c r="A27" s="13">
        <v>19</v>
      </c>
      <c r="B27" s="573"/>
      <c r="C27" s="42" t="s">
        <v>240</v>
      </c>
      <c r="D27" s="13">
        <v>1961</v>
      </c>
      <c r="E27" s="36">
        <v>1</v>
      </c>
      <c r="F27" s="36">
        <v>5</v>
      </c>
      <c r="G27" s="36">
        <v>11</v>
      </c>
      <c r="H27" s="462">
        <v>180.6</v>
      </c>
      <c r="I27" s="462"/>
      <c r="J27" s="462"/>
      <c r="K27" s="300">
        <v>4962.8999999999996</v>
      </c>
      <c r="L27" s="301">
        <v>4708.25</v>
      </c>
      <c r="M27" s="1037">
        <f t="shared" si="1"/>
        <v>4962.8999999999996</v>
      </c>
      <c r="N27" s="1037">
        <f t="shared" si="1"/>
        <v>4708.25</v>
      </c>
      <c r="O27" s="303">
        <f t="shared" si="0"/>
        <v>3261.3690579019467</v>
      </c>
      <c r="P27" s="273"/>
      <c r="Q27" s="305">
        <f t="shared" si="2"/>
        <v>10.720935287563211</v>
      </c>
      <c r="R27" s="305"/>
      <c r="S27" s="305">
        <f t="shared" si="3"/>
        <v>92.064428787748909</v>
      </c>
      <c r="T27" s="460"/>
      <c r="U27" s="305"/>
      <c r="V27" s="305"/>
      <c r="W27" s="307"/>
      <c r="X27" s="305"/>
      <c r="Y27" s="454">
        <f t="shared" si="4"/>
        <v>317.00854581297676</v>
      </c>
      <c r="Z27" s="273">
        <f t="shared" si="5"/>
        <v>1638.7261391281975</v>
      </c>
      <c r="AA27" s="300">
        <f t="shared" si="6"/>
        <v>1202.8490088854605</v>
      </c>
      <c r="AB27" s="455">
        <f t="shared" si="7"/>
        <v>1701.5309420980529</v>
      </c>
      <c r="AC27" s="303">
        <f t="shared" si="8"/>
        <v>94.868927441616805</v>
      </c>
      <c r="AD27" s="303">
        <v>0</v>
      </c>
      <c r="AE27" s="302">
        <f t="shared" si="9"/>
        <v>3.0097536525488615</v>
      </c>
      <c r="AF27" s="308">
        <v>4.58</v>
      </c>
      <c r="AG27" s="467">
        <f t="shared" si="10"/>
        <v>254.64999999999964</v>
      </c>
      <c r="AH27" s="250"/>
      <c r="AI27" s="250"/>
      <c r="AJ27" s="250"/>
    </row>
    <row r="28" spans="1:36" s="124" customFormat="1" x14ac:dyDescent="0.25">
      <c r="A28" s="13">
        <v>21</v>
      </c>
      <c r="B28" s="573"/>
      <c r="C28" s="42" t="s">
        <v>41</v>
      </c>
      <c r="D28" s="13">
        <v>1958</v>
      </c>
      <c r="E28" s="36">
        <v>1</v>
      </c>
      <c r="F28" s="36">
        <v>2</v>
      </c>
      <c r="G28" s="36">
        <v>1</v>
      </c>
      <c r="H28" s="462">
        <v>82.9</v>
      </c>
      <c r="I28" s="462"/>
      <c r="J28" s="462"/>
      <c r="K28" s="300">
        <v>1308.06</v>
      </c>
      <c r="L28" s="301">
        <v>0</v>
      </c>
      <c r="M28" s="1037">
        <f t="shared" si="1"/>
        <v>1308.06</v>
      </c>
      <c r="N28" s="1037">
        <f t="shared" si="1"/>
        <v>0</v>
      </c>
      <c r="O28" s="303">
        <f t="shared" si="0"/>
        <v>1176.7496632364771</v>
      </c>
      <c r="P28" s="273"/>
      <c r="Q28" s="305">
        <f t="shared" si="2"/>
        <v>4.9211823662181082</v>
      </c>
      <c r="R28" s="305"/>
      <c r="S28" s="305">
        <f t="shared" si="3"/>
        <v>42.259917754730814</v>
      </c>
      <c r="T28" s="460"/>
      <c r="U28" s="305"/>
      <c r="V28" s="305"/>
      <c r="W28" s="307"/>
      <c r="X28" s="305"/>
      <c r="Y28" s="454">
        <f t="shared" si="4"/>
        <v>145.51499694294449</v>
      </c>
      <c r="Z28" s="273">
        <f t="shared" si="5"/>
        <v>431.91523374398639</v>
      </c>
      <c r="AA28" s="300">
        <f t="shared" si="6"/>
        <v>552.13833242859732</v>
      </c>
      <c r="AB28" s="455">
        <f t="shared" si="7"/>
        <v>131.31033676352286</v>
      </c>
      <c r="AC28" s="303">
        <f t="shared" si="8"/>
        <v>0</v>
      </c>
      <c r="AD28" s="303">
        <v>0</v>
      </c>
      <c r="AE28" s="302">
        <f t="shared" si="9"/>
        <v>2.3658014942430179</v>
      </c>
      <c r="AF28" s="308">
        <v>4.58</v>
      </c>
      <c r="AG28" s="467">
        <f t="shared" si="10"/>
        <v>1308.06</v>
      </c>
      <c r="AH28" s="250"/>
      <c r="AI28" s="250"/>
      <c r="AJ28" s="250"/>
    </row>
    <row r="29" spans="1:36" s="124" customFormat="1" x14ac:dyDescent="0.25">
      <c r="A29" s="13">
        <v>22</v>
      </c>
      <c r="B29" s="574">
        <v>42461</v>
      </c>
      <c r="C29" s="42" t="s">
        <v>42</v>
      </c>
      <c r="D29" s="13">
        <v>1962</v>
      </c>
      <c r="E29" s="36">
        <v>1</v>
      </c>
      <c r="F29" s="36">
        <v>2</v>
      </c>
      <c r="G29" s="36">
        <v>8</v>
      </c>
      <c r="H29" s="462">
        <v>79.400000000000006</v>
      </c>
      <c r="I29" s="462"/>
      <c r="J29" s="462"/>
      <c r="K29" s="300">
        <v>2181.96</v>
      </c>
      <c r="L29" s="301">
        <v>2182.16</v>
      </c>
      <c r="M29" s="1037">
        <f t="shared" si="1"/>
        <v>2181.96</v>
      </c>
      <c r="N29" s="1037">
        <f t="shared" si="1"/>
        <v>2182.16</v>
      </c>
      <c r="O29" s="303">
        <f t="shared" si="0"/>
        <v>1433.8607474206547</v>
      </c>
      <c r="P29" s="273"/>
      <c r="Q29" s="305">
        <f t="shared" si="2"/>
        <v>4.7134123025056427</v>
      </c>
      <c r="R29" s="305"/>
      <c r="S29" s="305">
        <f t="shared" si="3"/>
        <v>40.475723398379095</v>
      </c>
      <c r="T29" s="460"/>
      <c r="U29" s="305"/>
      <c r="V29" s="305"/>
      <c r="W29" s="307"/>
      <c r="X29" s="305"/>
      <c r="Y29" s="454">
        <f t="shared" si="4"/>
        <v>139.37142047370077</v>
      </c>
      <c r="Z29" s="273">
        <f t="shared" si="5"/>
        <v>720.4728861214536</v>
      </c>
      <c r="AA29" s="300">
        <f t="shared" si="6"/>
        <v>528.82730512461558</v>
      </c>
      <c r="AB29" s="455">
        <f t="shared" si="7"/>
        <v>748.09925257934538</v>
      </c>
      <c r="AC29" s="303">
        <f t="shared" si="8"/>
        <v>100.00916607087204</v>
      </c>
      <c r="AD29" s="303">
        <v>0</v>
      </c>
      <c r="AE29" s="302">
        <f t="shared" si="9"/>
        <v>3.0097832649467979</v>
      </c>
      <c r="AF29" s="308">
        <v>4.58</v>
      </c>
      <c r="AG29" s="467">
        <f t="shared" si="10"/>
        <v>-0.1999999999998181</v>
      </c>
      <c r="AH29" s="250"/>
      <c r="AI29" s="250"/>
      <c r="AJ29" s="250"/>
    </row>
    <row r="30" spans="1:36" s="124" customFormat="1" x14ac:dyDescent="0.25">
      <c r="A30" s="13">
        <v>23</v>
      </c>
      <c r="B30" s="574">
        <v>42461</v>
      </c>
      <c r="C30" s="42" t="s">
        <v>43</v>
      </c>
      <c r="D30" s="13">
        <v>1955</v>
      </c>
      <c r="E30" s="36">
        <v>1</v>
      </c>
      <c r="F30" s="36">
        <v>4</v>
      </c>
      <c r="G30" s="36">
        <v>6</v>
      </c>
      <c r="H30" s="462">
        <v>121.87</v>
      </c>
      <c r="I30" s="462"/>
      <c r="J30" s="462"/>
      <c r="K30" s="300">
        <v>3349.02</v>
      </c>
      <c r="L30" s="301">
        <v>3349.02</v>
      </c>
      <c r="M30" s="1037">
        <f t="shared" si="1"/>
        <v>3349.02</v>
      </c>
      <c r="N30" s="1037">
        <f t="shared" si="1"/>
        <v>3349.02</v>
      </c>
      <c r="O30" s="303">
        <f t="shared" si="0"/>
        <v>2200.8000903299007</v>
      </c>
      <c r="P30" s="273"/>
      <c r="Q30" s="305">
        <f t="shared" si="2"/>
        <v>7.2345536184680439</v>
      </c>
      <c r="R30" s="305"/>
      <c r="S30" s="305">
        <f t="shared" si="3"/>
        <v>62.125647488167004</v>
      </c>
      <c r="T30" s="460"/>
      <c r="U30" s="305"/>
      <c r="V30" s="305"/>
      <c r="W30" s="307"/>
      <c r="X30" s="305"/>
      <c r="Y30" s="454">
        <f t="shared" si="4"/>
        <v>213.9193326590669</v>
      </c>
      <c r="Z30" s="273">
        <f t="shared" si="5"/>
        <v>1105.8305858395527</v>
      </c>
      <c r="AA30" s="300">
        <f t="shared" si="6"/>
        <v>811.68997072464606</v>
      </c>
      <c r="AB30" s="455">
        <f t="shared" si="7"/>
        <v>1148.2199096700992</v>
      </c>
      <c r="AC30" s="303">
        <f t="shared" si="8"/>
        <v>100</v>
      </c>
      <c r="AD30" s="303">
        <v>0</v>
      </c>
      <c r="AE30" s="302">
        <f t="shared" si="9"/>
        <v>3.0097646266922413</v>
      </c>
      <c r="AF30" s="308">
        <v>4.58</v>
      </c>
      <c r="AG30" s="467">
        <f t="shared" si="10"/>
        <v>0</v>
      </c>
      <c r="AH30" s="250"/>
      <c r="AI30" s="250"/>
      <c r="AJ30" s="250"/>
    </row>
    <row r="31" spans="1:36" s="124" customFormat="1" x14ac:dyDescent="0.25">
      <c r="A31" s="13">
        <v>24</v>
      </c>
      <c r="B31" s="573"/>
      <c r="C31" s="42" t="s">
        <v>44</v>
      </c>
      <c r="D31" s="13">
        <v>1976</v>
      </c>
      <c r="E31" s="36">
        <v>2</v>
      </c>
      <c r="F31" s="36">
        <v>4</v>
      </c>
      <c r="G31" s="36">
        <v>22</v>
      </c>
      <c r="H31" s="121">
        <v>266.82</v>
      </c>
      <c r="I31" s="121"/>
      <c r="J31" s="121"/>
      <c r="K31" s="300">
        <v>11110.44</v>
      </c>
      <c r="L31" s="301">
        <v>10959.81</v>
      </c>
      <c r="M31" s="1037">
        <f t="shared" si="1"/>
        <v>11110.44</v>
      </c>
      <c r="N31" s="1037">
        <f t="shared" si="1"/>
        <v>10959.81</v>
      </c>
      <c r="O31" s="303">
        <f t="shared" si="0"/>
        <v>10627.790187326937</v>
      </c>
      <c r="P31" s="273"/>
      <c r="Q31" s="305">
        <f t="shared" si="2"/>
        <v>15.83920239993143</v>
      </c>
      <c r="R31" s="305"/>
      <c r="S31" s="305">
        <f t="shared" si="3"/>
        <v>136.01678233193337</v>
      </c>
      <c r="T31" s="460"/>
      <c r="U31" s="305"/>
      <c r="V31" s="305"/>
      <c r="W31" s="307">
        <f t="shared" ref="W31:W32" si="14">356894.32/25091.1*H31</f>
        <v>3795.2318735487884</v>
      </c>
      <c r="X31" s="305">
        <f t="shared" ref="X31:X32" si="15">W31*0.202</f>
        <v>766.63683845685534</v>
      </c>
      <c r="Y31" s="454">
        <f t="shared" si="4"/>
        <v>468.35116386388961</v>
      </c>
      <c r="Z31" s="273">
        <f t="shared" si="5"/>
        <v>3668.6148109402752</v>
      </c>
      <c r="AA31" s="300">
        <f t="shared" si="6"/>
        <v>1777.0995157852633</v>
      </c>
      <c r="AB31" s="455">
        <f t="shared" si="7"/>
        <v>482.64981267306393</v>
      </c>
      <c r="AC31" s="303">
        <f t="shared" si="8"/>
        <v>98.644248112585984</v>
      </c>
      <c r="AD31" s="303">
        <v>0</v>
      </c>
      <c r="AE31" s="302">
        <f t="shared" si="9"/>
        <v>6.638551699851921</v>
      </c>
      <c r="AF31" s="308">
        <v>6.94</v>
      </c>
      <c r="AG31" s="467">
        <f t="shared" si="10"/>
        <v>150.63000000000102</v>
      </c>
      <c r="AH31" s="250"/>
      <c r="AI31" s="250"/>
      <c r="AJ31" s="250"/>
    </row>
    <row r="32" spans="1:36" s="124" customFormat="1" x14ac:dyDescent="0.25">
      <c r="A32" s="13">
        <v>25</v>
      </c>
      <c r="B32" s="573"/>
      <c r="C32" s="42" t="s">
        <v>45</v>
      </c>
      <c r="D32" s="13">
        <v>1976</v>
      </c>
      <c r="E32" s="36">
        <v>2</v>
      </c>
      <c r="F32" s="36">
        <v>4</v>
      </c>
      <c r="G32" s="36">
        <v>12</v>
      </c>
      <c r="H32" s="121">
        <v>266.56</v>
      </c>
      <c r="I32" s="121"/>
      <c r="J32" s="121"/>
      <c r="K32" s="300">
        <v>11099.52</v>
      </c>
      <c r="L32" s="301">
        <v>9616.48</v>
      </c>
      <c r="M32" s="1037">
        <f t="shared" si="1"/>
        <v>11099.52</v>
      </c>
      <c r="N32" s="1037">
        <f t="shared" si="1"/>
        <v>9616.48</v>
      </c>
      <c r="O32" s="303">
        <f t="shared" si="0"/>
        <v>10617.403158158158</v>
      </c>
      <c r="P32" s="273"/>
      <c r="Q32" s="305">
        <f t="shared" si="2"/>
        <v>15.823768052341363</v>
      </c>
      <c r="R32" s="305"/>
      <c r="S32" s="305">
        <f t="shared" si="3"/>
        <v>135.88424217974725</v>
      </c>
      <c r="T32" s="460"/>
      <c r="U32" s="305"/>
      <c r="V32" s="305"/>
      <c r="W32" s="307">
        <f t="shared" si="14"/>
        <v>3791.5336489512219</v>
      </c>
      <c r="X32" s="305">
        <f t="shared" si="15"/>
        <v>765.88979708814691</v>
      </c>
      <c r="Y32" s="454">
        <f t="shared" si="4"/>
        <v>467.89478389760296</v>
      </c>
      <c r="Z32" s="273">
        <f t="shared" si="5"/>
        <v>3665.009078517845</v>
      </c>
      <c r="AA32" s="300">
        <f t="shared" si="6"/>
        <v>1775.3678394712533</v>
      </c>
      <c r="AB32" s="455">
        <f t="shared" si="7"/>
        <v>482.11684184184196</v>
      </c>
      <c r="AC32" s="303">
        <f t="shared" si="8"/>
        <v>86.638701493397903</v>
      </c>
      <c r="AD32" s="303">
        <v>0</v>
      </c>
      <c r="AE32" s="302">
        <f t="shared" si="9"/>
        <v>6.6385323868035711</v>
      </c>
      <c r="AF32" s="308">
        <v>6.94</v>
      </c>
      <c r="AG32" s="467">
        <f t="shared" si="10"/>
        <v>1483.0400000000009</v>
      </c>
      <c r="AH32" s="250"/>
      <c r="AI32" s="250"/>
      <c r="AJ32" s="250"/>
    </row>
    <row r="33" spans="1:36" s="124" customFormat="1" x14ac:dyDescent="0.25">
      <c r="A33" s="13">
        <v>26</v>
      </c>
      <c r="B33" s="573"/>
      <c r="C33" s="42" t="s">
        <v>46</v>
      </c>
      <c r="D33" s="13">
        <v>1958</v>
      </c>
      <c r="E33" s="36">
        <v>1</v>
      </c>
      <c r="F33" s="36">
        <v>2</v>
      </c>
      <c r="G33" s="36">
        <v>2</v>
      </c>
      <c r="H33" s="462">
        <v>68.42</v>
      </c>
      <c r="I33" s="462"/>
      <c r="J33" s="462"/>
      <c r="K33" s="300">
        <v>1880.16</v>
      </c>
      <c r="L33" s="301">
        <v>1880.16</v>
      </c>
      <c r="M33" s="1037">
        <f t="shared" si="1"/>
        <v>1880.16</v>
      </c>
      <c r="N33" s="1037">
        <f t="shared" si="1"/>
        <v>1880.16</v>
      </c>
      <c r="O33" s="303">
        <f t="shared" si="0"/>
        <v>1235.5554360994145</v>
      </c>
      <c r="P33" s="273"/>
      <c r="Q33" s="305">
        <f t="shared" si="2"/>
        <v>4.0616079312019657</v>
      </c>
      <c r="R33" s="305"/>
      <c r="S33" s="305">
        <f t="shared" si="3"/>
        <v>34.878450817595684</v>
      </c>
      <c r="T33" s="460"/>
      <c r="U33" s="305"/>
      <c r="V33" s="305"/>
      <c r="W33" s="307"/>
      <c r="X33" s="305"/>
      <c r="Y33" s="454">
        <f t="shared" si="4"/>
        <v>120.09814343590183</v>
      </c>
      <c r="Z33" s="273">
        <f t="shared" si="5"/>
        <v>620.81995158944812</v>
      </c>
      <c r="AA33" s="300">
        <f t="shared" si="6"/>
        <v>455.69728232526694</v>
      </c>
      <c r="AB33" s="455">
        <f t="shared" si="7"/>
        <v>644.60456390058562</v>
      </c>
      <c r="AC33" s="303">
        <f t="shared" si="8"/>
        <v>100</v>
      </c>
      <c r="AD33" s="303">
        <v>0</v>
      </c>
      <c r="AE33" s="302">
        <f t="shared" si="9"/>
        <v>3.009732622282506</v>
      </c>
      <c r="AF33" s="308">
        <v>4.58</v>
      </c>
      <c r="AG33" s="467">
        <f t="shared" si="10"/>
        <v>0</v>
      </c>
      <c r="AH33" s="250"/>
      <c r="AI33" s="250"/>
      <c r="AJ33" s="250"/>
    </row>
    <row r="34" spans="1:36" s="124" customFormat="1" x14ac:dyDescent="0.25">
      <c r="A34" s="13">
        <v>27</v>
      </c>
      <c r="B34" s="573"/>
      <c r="C34" s="42" t="s">
        <v>47</v>
      </c>
      <c r="D34" s="13">
        <v>1970</v>
      </c>
      <c r="E34" s="36">
        <v>2</v>
      </c>
      <c r="F34" s="36">
        <v>9</v>
      </c>
      <c r="G34" s="36">
        <v>2</v>
      </c>
      <c r="H34" s="121">
        <v>393.8</v>
      </c>
      <c r="I34" s="121">
        <v>909.38</v>
      </c>
      <c r="J34" s="121">
        <v>362.5</v>
      </c>
      <c r="K34" s="300">
        <v>8787.9</v>
      </c>
      <c r="L34" s="301">
        <v>5246.95</v>
      </c>
      <c r="M34" s="1037">
        <f t="shared" si="1"/>
        <v>9697.2799999999988</v>
      </c>
      <c r="N34" s="1037">
        <f t="shared" si="1"/>
        <v>5609.45</v>
      </c>
      <c r="O34" s="303">
        <f t="shared" si="0"/>
        <v>14851.09945246988</v>
      </c>
      <c r="P34" s="273"/>
      <c r="Q34" s="305">
        <f t="shared" si="2"/>
        <v>23.377100311419674</v>
      </c>
      <c r="R34" s="305">
        <v>1678.32</v>
      </c>
      <c r="S34" s="305">
        <f t="shared" si="3"/>
        <v>200.7473535803739</v>
      </c>
      <c r="T34" s="460"/>
      <c r="U34" s="305"/>
      <c r="V34" s="305"/>
      <c r="W34" s="307">
        <f t="shared" ref="W34:W35" si="16">356894.32/25091.1*H34</f>
        <v>5601.3878712372125</v>
      </c>
      <c r="X34" s="305">
        <f t="shared" ref="X34:X35" si="17">W34*0.202</f>
        <v>1131.4803499899169</v>
      </c>
      <c r="Y34" s="454">
        <f t="shared" si="4"/>
        <v>691.24011816805239</v>
      </c>
      <c r="Z34" s="273">
        <f t="shared" si="5"/>
        <v>2901.7230728091818</v>
      </c>
      <c r="AA34" s="300">
        <f t="shared" si="6"/>
        <v>2622.8235863737227</v>
      </c>
      <c r="AB34" s="455">
        <f t="shared" si="7"/>
        <v>-5153.8194524698811</v>
      </c>
      <c r="AC34" s="303">
        <f t="shared" si="8"/>
        <v>59.706528294586882</v>
      </c>
      <c r="AD34" s="303">
        <f>J34/I34*100</f>
        <v>39.862323781037631</v>
      </c>
      <c r="AE34" s="302">
        <f t="shared" si="9"/>
        <v>6.2853815187361946</v>
      </c>
      <c r="AF34" s="308">
        <v>4.76</v>
      </c>
      <c r="AG34" s="467">
        <f t="shared" si="10"/>
        <v>4087.829999999999</v>
      </c>
      <c r="AH34" s="250"/>
      <c r="AI34" s="250"/>
      <c r="AJ34" s="250"/>
    </row>
    <row r="35" spans="1:36" s="124" customFormat="1" x14ac:dyDescent="0.25">
      <c r="A35" s="13">
        <v>28</v>
      </c>
      <c r="B35" s="573"/>
      <c r="C35" s="42" t="s">
        <v>48</v>
      </c>
      <c r="D35" s="13">
        <v>1970</v>
      </c>
      <c r="E35" s="36">
        <v>2</v>
      </c>
      <c r="F35" s="36">
        <v>12</v>
      </c>
      <c r="G35" s="36">
        <v>25</v>
      </c>
      <c r="H35" s="121">
        <v>462.1</v>
      </c>
      <c r="I35" s="121">
        <v>1293.74</v>
      </c>
      <c r="J35" s="121">
        <v>628.52</v>
      </c>
      <c r="K35" s="300">
        <v>13197.54</v>
      </c>
      <c r="L35" s="301">
        <v>8773.5499999999993</v>
      </c>
      <c r="M35" s="1037">
        <f t="shared" si="1"/>
        <v>14491.28</v>
      </c>
      <c r="N35" s="1037">
        <f t="shared" si="1"/>
        <v>9402.07</v>
      </c>
      <c r="O35" s="303">
        <f t="shared" si="0"/>
        <v>18275.016244211594</v>
      </c>
      <c r="P35" s="273"/>
      <c r="Q35" s="305">
        <f t="shared" si="2"/>
        <v>27.431584697580071</v>
      </c>
      <c r="R35" s="305">
        <v>1864.8</v>
      </c>
      <c r="S35" s="305">
        <f t="shared" si="3"/>
        <v>235.56463202003752</v>
      </c>
      <c r="T35" s="460"/>
      <c r="U35" s="305"/>
      <c r="V35" s="305"/>
      <c r="W35" s="307">
        <f t="shared" si="16"/>
        <v>6572.8830251364034</v>
      </c>
      <c r="X35" s="305">
        <f t="shared" si="17"/>
        <v>1327.7223710775536</v>
      </c>
      <c r="Y35" s="454">
        <f t="shared" si="4"/>
        <v>811.12762469643735</v>
      </c>
      <c r="Z35" s="273">
        <f t="shared" si="5"/>
        <v>4357.7653731064411</v>
      </c>
      <c r="AA35" s="300">
        <f t="shared" si="6"/>
        <v>3077.7216334771392</v>
      </c>
      <c r="AB35" s="455">
        <f t="shared" si="7"/>
        <v>-3783.7362442115937</v>
      </c>
      <c r="AC35" s="303">
        <f t="shared" si="8"/>
        <v>66.478677086790412</v>
      </c>
      <c r="AD35" s="303">
        <f>J35/I35*100</f>
        <v>48.581631548842886</v>
      </c>
      <c r="AE35" s="302">
        <f t="shared" si="9"/>
        <v>6.5912920162344344</v>
      </c>
      <c r="AF35" s="308">
        <v>4.76</v>
      </c>
      <c r="AG35" s="467">
        <f t="shared" si="10"/>
        <v>5089.2100000000009</v>
      </c>
      <c r="AH35" s="250"/>
      <c r="AI35" s="250"/>
      <c r="AJ35" s="250"/>
    </row>
    <row r="36" spans="1:36" s="124" customFormat="1" x14ac:dyDescent="0.25">
      <c r="A36" s="13">
        <v>29</v>
      </c>
      <c r="B36" s="573"/>
      <c r="C36" s="42" t="s">
        <v>49</v>
      </c>
      <c r="D36" s="13">
        <v>1951</v>
      </c>
      <c r="E36" s="36">
        <v>1</v>
      </c>
      <c r="F36" s="36">
        <v>2</v>
      </c>
      <c r="G36" s="36">
        <v>5</v>
      </c>
      <c r="H36" s="462">
        <v>46.6</v>
      </c>
      <c r="I36" s="462"/>
      <c r="J36" s="462"/>
      <c r="K36" s="300">
        <v>1280.52</v>
      </c>
      <c r="L36" s="301">
        <v>0</v>
      </c>
      <c r="M36" s="1037">
        <f t="shared" si="1"/>
        <v>1280.52</v>
      </c>
      <c r="N36" s="1037">
        <f t="shared" si="1"/>
        <v>0</v>
      </c>
      <c r="O36" s="303">
        <f t="shared" si="0"/>
        <v>841.51024948071222</v>
      </c>
      <c r="P36" s="273"/>
      <c r="Q36" s="305">
        <f t="shared" si="2"/>
        <v>2.7663099911431104</v>
      </c>
      <c r="R36" s="305"/>
      <c r="S36" s="305">
        <f t="shared" si="3"/>
        <v>23.755273430282944</v>
      </c>
      <c r="T36" s="460"/>
      <c r="U36" s="305"/>
      <c r="V36" s="305"/>
      <c r="W36" s="307"/>
      <c r="X36" s="305"/>
      <c r="Y36" s="454">
        <f t="shared" si="4"/>
        <v>81.79733241907374</v>
      </c>
      <c r="Z36" s="273">
        <f t="shared" si="5"/>
        <v>422.82165582148332</v>
      </c>
      <c r="AA36" s="300">
        <f t="shared" si="6"/>
        <v>310.36967781872903</v>
      </c>
      <c r="AB36" s="455">
        <f t="shared" si="7"/>
        <v>439.00975051928776</v>
      </c>
      <c r="AC36" s="303">
        <f t="shared" si="8"/>
        <v>0</v>
      </c>
      <c r="AD36" s="303">
        <v>0</v>
      </c>
      <c r="AE36" s="302">
        <f t="shared" si="9"/>
        <v>3.0096933100168535</v>
      </c>
      <c r="AF36" s="308">
        <v>4.58</v>
      </c>
      <c r="AG36" s="467">
        <f t="shared" si="10"/>
        <v>1280.52</v>
      </c>
      <c r="AH36" s="250"/>
      <c r="AI36" s="250"/>
      <c r="AJ36" s="250"/>
    </row>
    <row r="37" spans="1:36" s="124" customFormat="1" x14ac:dyDescent="0.25">
      <c r="A37" s="13">
        <v>30</v>
      </c>
      <c r="B37" s="573"/>
      <c r="C37" s="42" t="s">
        <v>241</v>
      </c>
      <c r="D37" s="13">
        <v>1955</v>
      </c>
      <c r="E37" s="36">
        <v>1</v>
      </c>
      <c r="F37" s="36">
        <v>2</v>
      </c>
      <c r="G37" s="36">
        <v>3</v>
      </c>
      <c r="H37" s="462">
        <v>76</v>
      </c>
      <c r="I37" s="462"/>
      <c r="J37" s="462"/>
      <c r="K37" s="300">
        <v>2088.48</v>
      </c>
      <c r="L37" s="301">
        <v>1396</v>
      </c>
      <c r="M37" s="1037">
        <f t="shared" si="1"/>
        <v>2088.48</v>
      </c>
      <c r="N37" s="1037">
        <f t="shared" si="1"/>
        <v>1396</v>
      </c>
      <c r="O37" s="303">
        <f t="shared" si="0"/>
        <v>1372.4459981309831</v>
      </c>
      <c r="P37" s="273"/>
      <c r="Q37" s="305">
        <f t="shared" si="2"/>
        <v>4.5115785263278196</v>
      </c>
      <c r="R37" s="305"/>
      <c r="S37" s="305">
        <f t="shared" si="3"/>
        <v>38.742506023637418</v>
      </c>
      <c r="T37" s="460"/>
      <c r="U37" s="305"/>
      <c r="V37" s="305"/>
      <c r="W37" s="307"/>
      <c r="X37" s="305"/>
      <c r="Y37" s="454">
        <f t="shared" si="4"/>
        <v>133.40337476072114</v>
      </c>
      <c r="Z37" s="273">
        <f t="shared" si="5"/>
        <v>689.60623164812068</v>
      </c>
      <c r="AA37" s="300">
        <f t="shared" si="6"/>
        <v>506.18230717217602</v>
      </c>
      <c r="AB37" s="455">
        <f t="shared" si="7"/>
        <v>716.03400186901695</v>
      </c>
      <c r="AC37" s="303">
        <f t="shared" si="8"/>
        <v>66.842871370566144</v>
      </c>
      <c r="AD37" s="303">
        <v>0</v>
      </c>
      <c r="AE37" s="302">
        <f t="shared" si="9"/>
        <v>3.0097499959012786</v>
      </c>
      <c r="AF37" s="308">
        <v>4.58</v>
      </c>
      <c r="AG37" s="467">
        <f t="shared" si="10"/>
        <v>692.48</v>
      </c>
      <c r="AH37" s="250"/>
      <c r="AI37" s="250"/>
      <c r="AJ37" s="250"/>
    </row>
    <row r="38" spans="1:36" s="124" customFormat="1" x14ac:dyDescent="0.25">
      <c r="A38" s="13">
        <v>31</v>
      </c>
      <c r="B38" s="573"/>
      <c r="C38" s="42" t="s">
        <v>242</v>
      </c>
      <c r="D38" s="13">
        <v>1955</v>
      </c>
      <c r="E38" s="36">
        <v>1</v>
      </c>
      <c r="F38" s="36">
        <v>2</v>
      </c>
      <c r="G38" s="36">
        <v>2</v>
      </c>
      <c r="H38" s="462">
        <v>86.1</v>
      </c>
      <c r="I38" s="462"/>
      <c r="J38" s="462"/>
      <c r="K38" s="300">
        <v>2366.04</v>
      </c>
      <c r="L38" s="301">
        <v>2366.04</v>
      </c>
      <c r="M38" s="1037">
        <f t="shared" si="1"/>
        <v>2366.04</v>
      </c>
      <c r="N38" s="1037">
        <f t="shared" si="1"/>
        <v>2366.04</v>
      </c>
      <c r="O38" s="303">
        <f t="shared" si="0"/>
        <v>1554.8408102259218</v>
      </c>
      <c r="P38" s="273"/>
      <c r="Q38" s="305">
        <f t="shared" si="2"/>
        <v>5.1111435673266472</v>
      </c>
      <c r="R38" s="305"/>
      <c r="S38" s="305">
        <f t="shared" si="3"/>
        <v>43.891181166252387</v>
      </c>
      <c r="T38" s="460"/>
      <c r="U38" s="305"/>
      <c r="V38" s="305"/>
      <c r="W38" s="307"/>
      <c r="X38" s="305"/>
      <c r="Y38" s="454">
        <f t="shared" si="4"/>
        <v>151.1319811433959</v>
      </c>
      <c r="Z38" s="273">
        <f t="shared" si="5"/>
        <v>781.25523267099493</v>
      </c>
      <c r="AA38" s="300">
        <f t="shared" si="6"/>
        <v>573.45127167795204</v>
      </c>
      <c r="AB38" s="455">
        <f t="shared" si="7"/>
        <v>811.19918977407815</v>
      </c>
      <c r="AC38" s="303">
        <f t="shared" si="8"/>
        <v>100</v>
      </c>
      <c r="AD38" s="303">
        <v>0</v>
      </c>
      <c r="AE38" s="302">
        <f t="shared" si="9"/>
        <v>3.0097576659425513</v>
      </c>
      <c r="AF38" s="308">
        <v>4.58</v>
      </c>
      <c r="AG38" s="467">
        <f t="shared" si="10"/>
        <v>0</v>
      </c>
      <c r="AH38" s="250"/>
      <c r="AI38" s="250"/>
      <c r="AJ38" s="250"/>
    </row>
    <row r="39" spans="1:36" s="124" customFormat="1" x14ac:dyDescent="0.25">
      <c r="A39" s="13">
        <v>32</v>
      </c>
      <c r="B39" s="573"/>
      <c r="C39" s="42" t="s">
        <v>50</v>
      </c>
      <c r="D39" s="13">
        <v>1970</v>
      </c>
      <c r="E39" s="36">
        <v>2</v>
      </c>
      <c r="F39" s="36">
        <v>12</v>
      </c>
      <c r="G39" s="36">
        <v>30</v>
      </c>
      <c r="H39" s="121">
        <v>462.9</v>
      </c>
      <c r="I39" s="121">
        <v>1197.25</v>
      </c>
      <c r="J39" s="121">
        <v>983.4</v>
      </c>
      <c r="K39" s="300">
        <v>12309.36</v>
      </c>
      <c r="L39" s="301">
        <v>10737.25</v>
      </c>
      <c r="M39" s="1037">
        <f t="shared" si="1"/>
        <v>13506.61</v>
      </c>
      <c r="N39" s="1037">
        <f t="shared" si="1"/>
        <v>11720.65</v>
      </c>
      <c r="O39" s="303">
        <f t="shared" si="0"/>
        <v>17987.068931732014</v>
      </c>
      <c r="P39" s="273"/>
      <c r="Q39" s="305">
        <f t="shared" si="2"/>
        <v>27.479074997857204</v>
      </c>
      <c r="R39" s="305">
        <v>1849.26</v>
      </c>
      <c r="S39" s="305">
        <f t="shared" si="3"/>
        <v>235.97244787291788</v>
      </c>
      <c r="T39" s="460"/>
      <c r="U39" s="305"/>
      <c r="V39" s="305"/>
      <c r="W39" s="307">
        <f t="shared" ref="W39:W40" si="18">356894.32/25091.1*H39</f>
        <v>6584.2621777443001</v>
      </c>
      <c r="X39" s="305">
        <f t="shared" ref="X39:X40" si="19">W39*0.202</f>
        <v>1330.0209599043487</v>
      </c>
      <c r="Y39" s="454">
        <f t="shared" si="4"/>
        <v>812.53187074655011</v>
      </c>
      <c r="Z39" s="273">
        <f t="shared" si="5"/>
        <v>4064.4925321765645</v>
      </c>
      <c r="AA39" s="300">
        <f t="shared" si="6"/>
        <v>3083.0498682894772</v>
      </c>
      <c r="AB39" s="455">
        <f t="shared" si="7"/>
        <v>-4480.4589317320133</v>
      </c>
      <c r="AC39" s="303">
        <f t="shared" si="8"/>
        <v>87.228336810362194</v>
      </c>
      <c r="AD39" s="303">
        <f>J39/I39*100</f>
        <v>82.138233451660042</v>
      </c>
      <c r="AE39" s="302">
        <f t="shared" si="9"/>
        <v>6.4762255821026917</v>
      </c>
      <c r="AF39" s="308">
        <v>4.76</v>
      </c>
      <c r="AG39" s="467">
        <f t="shared" si="10"/>
        <v>1785.9600000000009</v>
      </c>
      <c r="AH39" s="250"/>
      <c r="AI39" s="250"/>
      <c r="AJ39" s="250"/>
    </row>
    <row r="40" spans="1:36" s="124" customFormat="1" x14ac:dyDescent="0.25">
      <c r="A40" s="187">
        <v>33</v>
      </c>
      <c r="B40" s="576"/>
      <c r="C40" s="202" t="s">
        <v>51</v>
      </c>
      <c r="D40" s="187">
        <v>1971</v>
      </c>
      <c r="E40" s="187">
        <v>2</v>
      </c>
      <c r="F40" s="187">
        <v>11</v>
      </c>
      <c r="G40" s="187">
        <v>34</v>
      </c>
      <c r="H40" s="233">
        <v>464.6</v>
      </c>
      <c r="I40" s="233">
        <v>1196.6500000000001</v>
      </c>
      <c r="J40" s="233">
        <v>829.57</v>
      </c>
      <c r="K40" s="237">
        <v>13014.33</v>
      </c>
      <c r="L40" s="238">
        <v>9462.34</v>
      </c>
      <c r="M40" s="1037">
        <f t="shared" si="1"/>
        <v>14210.98</v>
      </c>
      <c r="N40" s="1037">
        <f t="shared" si="1"/>
        <v>10291.91</v>
      </c>
      <c r="O40" s="303">
        <f t="shared" si="0"/>
        <v>18264.585943960039</v>
      </c>
      <c r="P40" s="309"/>
      <c r="Q40" s="305">
        <f t="shared" si="2"/>
        <v>27.579991885946118</v>
      </c>
      <c r="R40" s="310">
        <v>1849.66</v>
      </c>
      <c r="S40" s="305">
        <f t="shared" si="3"/>
        <v>236.83905656028875</v>
      </c>
      <c r="T40" s="460"/>
      <c r="U40" s="305"/>
      <c r="V40" s="312"/>
      <c r="W40" s="307">
        <f t="shared" si="18"/>
        <v>6608.442877036081</v>
      </c>
      <c r="X40" s="305">
        <f t="shared" si="19"/>
        <v>1334.9054611612885</v>
      </c>
      <c r="Y40" s="454">
        <f t="shared" si="4"/>
        <v>815.51589360304001</v>
      </c>
      <c r="Z40" s="273">
        <f t="shared" si="5"/>
        <v>4297.2702964476966</v>
      </c>
      <c r="AA40" s="300">
        <f t="shared" si="6"/>
        <v>3094.3723672656974</v>
      </c>
      <c r="AB40" s="455">
        <f t="shared" si="7"/>
        <v>-4053.6059439600394</v>
      </c>
      <c r="AC40" s="303">
        <f t="shared" si="8"/>
        <v>72.707085189940628</v>
      </c>
      <c r="AD40" s="303">
        <f>J40/I40*100</f>
        <v>69.324363849078679</v>
      </c>
      <c r="AE40" s="302">
        <f t="shared" si="9"/>
        <v>6.5520827751327451</v>
      </c>
      <c r="AF40" s="314">
        <v>4.76</v>
      </c>
      <c r="AG40" s="467">
        <f t="shared" si="10"/>
        <v>3919.0699999999997</v>
      </c>
      <c r="AH40" s="250"/>
      <c r="AI40" s="250"/>
      <c r="AJ40" s="250"/>
    </row>
    <row r="41" spans="1:36" s="124" customFormat="1" x14ac:dyDescent="0.25">
      <c r="A41" s="7"/>
      <c r="B41" s="578"/>
      <c r="C41" s="457" t="s">
        <v>52</v>
      </c>
      <c r="D41" s="7"/>
      <c r="E41" s="7"/>
      <c r="F41" s="458">
        <f>SUM(F9:F40)</f>
        <v>543</v>
      </c>
      <c r="G41" s="458">
        <f>SUM(G9:G40)</f>
        <v>1407</v>
      </c>
      <c r="H41" s="288">
        <f>SUM(H8:H40)</f>
        <v>26250.749999999989</v>
      </c>
      <c r="I41" s="288">
        <f>SUM(I10:I40)</f>
        <v>57794.200000000004</v>
      </c>
      <c r="J41" s="288">
        <f>SUM(J10:J40)</f>
        <v>51536.839999999989</v>
      </c>
      <c r="K41" s="456">
        <f t="shared" ref="K41:AC41" si="20">SUM(K9:K40)</f>
        <v>1172050.26</v>
      </c>
      <c r="L41" s="456">
        <f t="shared" si="20"/>
        <v>1119374.9400000002</v>
      </c>
      <c r="M41" s="456">
        <f t="shared" si="20"/>
        <v>1229844.46</v>
      </c>
      <c r="N41" s="456">
        <f t="shared" si="20"/>
        <v>1170911.78</v>
      </c>
      <c r="O41" s="459">
        <f t="shared" si="20"/>
        <v>1110911.6226400004</v>
      </c>
      <c r="P41" s="394">
        <f t="shared" si="20"/>
        <v>18713.180000000004</v>
      </c>
      <c r="Q41" s="397">
        <f t="shared" si="20"/>
        <v>1558.3200000000006</v>
      </c>
      <c r="R41" s="397">
        <f t="shared" si="20"/>
        <v>40350.010000000009</v>
      </c>
      <c r="S41" s="383">
        <f t="shared" si="20"/>
        <v>13381.840000000002</v>
      </c>
      <c r="T41" s="383">
        <f t="shared" si="20"/>
        <v>0</v>
      </c>
      <c r="U41" s="383">
        <f t="shared" si="20"/>
        <v>0</v>
      </c>
      <c r="V41" s="383">
        <f t="shared" si="20"/>
        <v>0</v>
      </c>
      <c r="W41" s="383">
        <f t="shared" si="20"/>
        <v>356894.32000000007</v>
      </c>
      <c r="X41" s="383">
        <f t="shared" si="20"/>
        <v>72092.652640000029</v>
      </c>
      <c r="Y41" s="383">
        <f t="shared" si="20"/>
        <v>46078.140000000007</v>
      </c>
      <c r="Z41" s="383">
        <f t="shared" si="20"/>
        <v>387005.46</v>
      </c>
      <c r="AA41" s="383">
        <f t="shared" si="20"/>
        <v>174837.69999999998</v>
      </c>
      <c r="AB41" s="383">
        <f t="shared" si="20"/>
        <v>118932.8373599999</v>
      </c>
      <c r="AC41" s="383">
        <f t="shared" si="20"/>
        <v>2772.6315785774814</v>
      </c>
      <c r="AD41" s="1069">
        <f>J41/I41*100</f>
        <v>89.1730312038232</v>
      </c>
      <c r="AE41" s="1070">
        <f t="shared" si="9"/>
        <v>7.0532056077128011</v>
      </c>
      <c r="AF41" s="394"/>
      <c r="AG41" s="1027">
        <f>SUM(AG9:AG40)</f>
        <v>58932.679999999978</v>
      </c>
      <c r="AH41" s="250"/>
      <c r="AI41" s="250"/>
      <c r="AJ41" s="250"/>
    </row>
    <row r="42" spans="1:36" x14ac:dyDescent="0.25">
      <c r="P42" s="1067">
        <f>P41+Q41</f>
        <v>20271.500000000004</v>
      </c>
      <c r="S42" t="s">
        <v>180</v>
      </c>
      <c r="W42" s="1068">
        <f>W41+X41</f>
        <v>428986.97264000011</v>
      </c>
      <c r="AG42" s="250"/>
      <c r="AH42" s="250"/>
      <c r="AI42" s="250"/>
      <c r="AJ42" s="250"/>
    </row>
    <row r="43" spans="1:36" x14ac:dyDescent="0.25">
      <c r="A43" s="9"/>
      <c r="B43" s="9"/>
      <c r="C43" s="295" t="s">
        <v>327</v>
      </c>
      <c r="D43" s="9"/>
      <c r="E43" s="9"/>
      <c r="F43" s="9"/>
      <c r="G43" s="9"/>
      <c r="H43" s="9"/>
      <c r="I43" s="9"/>
      <c r="J43" s="9"/>
      <c r="K43" s="9"/>
      <c r="L43" s="9"/>
      <c r="M43" s="108">
        <f>M41-O41</f>
        <v>118932.83735999954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86"/>
    </row>
    <row r="44" spans="1:36" ht="15.75" x14ac:dyDescent="0.25">
      <c r="A44" s="87"/>
      <c r="B44" s="87"/>
      <c r="C44" s="14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86"/>
    </row>
    <row r="45" spans="1:36" ht="18" x14ac:dyDescent="0.25">
      <c r="A45" s="87"/>
      <c r="B45" s="87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9"/>
      <c r="P45" s="9"/>
      <c r="Q45" s="9"/>
      <c r="R45" s="9"/>
      <c r="S45" s="9"/>
      <c r="T45" s="9"/>
      <c r="U45" s="9"/>
      <c r="V45" s="9"/>
      <c r="W45" s="9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86"/>
    </row>
    <row r="46" spans="1:36" x14ac:dyDescent="0.25">
      <c r="A46" s="2208"/>
      <c r="B46" s="1298"/>
      <c r="C46" s="2208"/>
      <c r="D46" s="2208"/>
      <c r="E46" s="2208"/>
      <c r="F46" s="2208"/>
      <c r="G46" s="2208"/>
      <c r="H46" s="2208"/>
      <c r="I46" s="1298"/>
      <c r="J46" s="1298"/>
      <c r="K46" s="1298"/>
      <c r="L46" s="1298"/>
      <c r="M46" s="1298"/>
      <c r="N46" s="1298"/>
      <c r="O46" s="2208"/>
      <c r="P46" s="2209"/>
      <c r="Q46" s="2209"/>
      <c r="R46" s="2209"/>
      <c r="S46" s="2209"/>
      <c r="T46" s="2209"/>
      <c r="U46" s="2209"/>
      <c r="V46" s="2209"/>
      <c r="W46" s="2209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83"/>
    </row>
    <row r="47" spans="1:36" x14ac:dyDescent="0.25">
      <c r="A47" s="2208"/>
      <c r="B47" s="1298"/>
      <c r="C47" s="2208"/>
      <c r="D47" s="2208"/>
      <c r="E47" s="2208"/>
      <c r="F47" s="2208"/>
      <c r="G47" s="2208"/>
      <c r="H47" s="2208"/>
      <c r="I47" s="1298"/>
      <c r="J47" s="1298"/>
      <c r="K47" s="1298"/>
      <c r="L47" s="1298"/>
      <c r="M47" s="1298"/>
      <c r="N47" s="1298"/>
      <c r="O47" s="2208"/>
      <c r="P47" s="2209"/>
      <c r="Q47" s="2209"/>
      <c r="R47" s="2209"/>
      <c r="S47" s="2209"/>
      <c r="T47" s="2209"/>
      <c r="U47" s="2209"/>
      <c r="V47" s="2209"/>
      <c r="W47" s="2209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83"/>
    </row>
    <row r="48" spans="1:36" s="124" customFormat="1" ht="15.75" x14ac:dyDescent="0.25">
      <c r="A48" s="10"/>
      <c r="B48" s="10"/>
      <c r="C48" s="222" t="s">
        <v>653</v>
      </c>
      <c r="D48" s="222"/>
      <c r="E48" s="222"/>
      <c r="F48" s="222"/>
      <c r="G48" s="222"/>
      <c r="H48" s="222"/>
      <c r="I48" s="222"/>
      <c r="J48" s="222"/>
      <c r="K48" s="222"/>
      <c r="L48" s="11"/>
      <c r="M48" s="11"/>
      <c r="N48" s="11"/>
      <c r="O48"/>
      <c r="P48"/>
      <c r="Q48"/>
      <c r="R48"/>
      <c r="S48"/>
      <c r="T48"/>
      <c r="U48"/>
      <c r="V48"/>
      <c r="W48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35"/>
    </row>
    <row r="49" spans="1:35" s="124" customFormat="1" ht="18" x14ac:dyDescent="0.25">
      <c r="A49" s="10"/>
      <c r="B49" s="10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/>
      <c r="P49"/>
      <c r="Q49"/>
      <c r="R49"/>
      <c r="S49"/>
      <c r="T49"/>
      <c r="U49"/>
      <c r="V49"/>
      <c r="W49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35"/>
    </row>
    <row r="50" spans="1:35" s="124" customFormat="1" ht="15.75" customHeight="1" x14ac:dyDescent="0.25">
      <c r="A50" s="2278" t="s">
        <v>0</v>
      </c>
      <c r="B50" s="2279"/>
      <c r="C50" s="2278" t="s">
        <v>184</v>
      </c>
      <c r="D50" s="2017" t="s">
        <v>54</v>
      </c>
      <c r="E50" s="2017" t="s">
        <v>55</v>
      </c>
      <c r="F50" s="2017" t="s">
        <v>56</v>
      </c>
      <c r="G50" s="2017" t="s">
        <v>57</v>
      </c>
      <c r="H50" s="2017" t="s">
        <v>6</v>
      </c>
      <c r="I50" s="2281"/>
      <c r="J50" s="2282"/>
      <c r="K50" s="1989" t="s">
        <v>284</v>
      </c>
      <c r="L50" s="1990"/>
      <c r="M50" s="615"/>
      <c r="N50" s="615"/>
      <c r="O50" s="1987" t="s">
        <v>457</v>
      </c>
      <c r="P50" s="2009" t="s">
        <v>332</v>
      </c>
      <c r="Q50" s="1987" t="s">
        <v>333</v>
      </c>
      <c r="R50" s="2102" t="s">
        <v>372</v>
      </c>
      <c r="S50" s="2003" t="s">
        <v>314</v>
      </c>
      <c r="T50" s="1987" t="s">
        <v>616</v>
      </c>
      <c r="U50" s="1987" t="s">
        <v>375</v>
      </c>
      <c r="V50" s="2001" t="s">
        <v>504</v>
      </c>
      <c r="W50" s="1999" t="s">
        <v>505</v>
      </c>
      <c r="X50" s="2009" t="s">
        <v>175</v>
      </c>
      <c r="Y50" s="2009" t="s">
        <v>183</v>
      </c>
      <c r="Z50" s="2108" t="s">
        <v>182</v>
      </c>
      <c r="AA50" s="2277" t="s">
        <v>544</v>
      </c>
      <c r="AB50" s="2257" t="s">
        <v>566</v>
      </c>
      <c r="AC50" s="223"/>
      <c r="AD50" s="223"/>
      <c r="AE50" s="223"/>
      <c r="AF50" s="223"/>
      <c r="AG50" s="223"/>
      <c r="AH50" s="223"/>
      <c r="AI50" s="35"/>
    </row>
    <row r="51" spans="1:35" s="124" customFormat="1" ht="30" customHeight="1" x14ac:dyDescent="0.25">
      <c r="A51" s="2278"/>
      <c r="B51" s="2280"/>
      <c r="C51" s="2278"/>
      <c r="D51" s="2017"/>
      <c r="E51" s="2017"/>
      <c r="F51" s="2017"/>
      <c r="G51" s="2017"/>
      <c r="H51" s="2017"/>
      <c r="I51" s="1301"/>
      <c r="J51" s="1301"/>
      <c r="K51" s="150" t="s">
        <v>15</v>
      </c>
      <c r="L51" s="1299" t="s">
        <v>16</v>
      </c>
      <c r="M51" s="1045"/>
      <c r="N51" s="1045"/>
      <c r="O51" s="1988"/>
      <c r="P51" s="2009"/>
      <c r="Q51" s="1988"/>
      <c r="R51" s="2102"/>
      <c r="S51" s="2004"/>
      <c r="T51" s="1988"/>
      <c r="U51" s="1988"/>
      <c r="V51" s="2002"/>
      <c r="W51" s="2000"/>
      <c r="X51" s="2009"/>
      <c r="Y51" s="2009"/>
      <c r="Z51" s="2108"/>
      <c r="AA51" s="2277"/>
      <c r="AB51" s="2258"/>
      <c r="AC51" s="223"/>
      <c r="AD51" s="223"/>
      <c r="AE51" s="223"/>
      <c r="AF51" s="223"/>
      <c r="AG51" s="223"/>
      <c r="AH51" s="223"/>
      <c r="AI51" s="35"/>
    </row>
    <row r="52" spans="1:35" s="124" customFormat="1" ht="15.75" customHeight="1" x14ac:dyDescent="0.25">
      <c r="A52" s="329">
        <v>1</v>
      </c>
      <c r="B52" s="329"/>
      <c r="C52" s="330" t="s">
        <v>306</v>
      </c>
      <c r="D52" s="119">
        <v>1962</v>
      </c>
      <c r="E52" s="119">
        <v>1</v>
      </c>
      <c r="F52" s="119">
        <v>6</v>
      </c>
      <c r="G52" s="119">
        <v>11</v>
      </c>
      <c r="H52" s="264">
        <v>288.2</v>
      </c>
      <c r="I52" s="1058"/>
      <c r="J52" s="1058"/>
      <c r="K52" s="1059">
        <v>3458.4</v>
      </c>
      <c r="L52" s="316">
        <v>3811.77</v>
      </c>
      <c r="M52" s="1046"/>
      <c r="N52" s="1046"/>
      <c r="O52" s="317">
        <f>P52+Q52+R52+S52+T52+U52+V52+W52</f>
        <v>0</v>
      </c>
      <c r="P52" s="318"/>
      <c r="Q52" s="319"/>
      <c r="R52" s="320"/>
      <c r="S52" s="320"/>
      <c r="T52" s="292"/>
      <c r="U52" s="1072"/>
      <c r="V52" s="1072"/>
      <c r="W52" s="1073"/>
      <c r="X52" s="467">
        <f>K52-O52</f>
        <v>3458.4</v>
      </c>
      <c r="Y52" s="1071">
        <f>L52/K52*100</f>
        <v>110.21773074253991</v>
      </c>
      <c r="Z52" s="467">
        <f>O52/H52/6</f>
        <v>0</v>
      </c>
      <c r="AA52" s="467">
        <v>2</v>
      </c>
      <c r="AB52" s="467">
        <f>K52-L52</f>
        <v>-353.36999999999989</v>
      </c>
      <c r="AC52" s="223"/>
      <c r="AD52" s="223"/>
      <c r="AE52" s="223"/>
      <c r="AF52" s="223"/>
      <c r="AG52" s="223"/>
      <c r="AH52" s="223"/>
      <c r="AI52" s="35"/>
    </row>
    <row r="53" spans="1:35" s="124" customFormat="1" x14ac:dyDescent="0.25">
      <c r="A53" s="329">
        <v>2</v>
      </c>
      <c r="B53" s="329"/>
      <c r="C53" s="330" t="s">
        <v>24</v>
      </c>
      <c r="D53" s="112">
        <v>1966</v>
      </c>
      <c r="E53" s="112">
        <v>2</v>
      </c>
      <c r="F53" s="112">
        <v>16</v>
      </c>
      <c r="G53" s="30">
        <v>34</v>
      </c>
      <c r="H53" s="289">
        <v>627.76</v>
      </c>
      <c r="I53" s="1039"/>
      <c r="J53" s="1039"/>
      <c r="K53" s="321">
        <v>12805.98</v>
      </c>
      <c r="L53" s="321">
        <v>11571.62</v>
      </c>
      <c r="M53" s="1047"/>
      <c r="N53" s="1047"/>
      <c r="O53" s="317">
        <f t="shared" ref="O53:O75" si="21">P53+Q53+R53+S53+T53+U53+V53+W53</f>
        <v>0</v>
      </c>
      <c r="P53" s="322"/>
      <c r="Q53" s="319"/>
      <c r="R53" s="313"/>
      <c r="S53" s="313"/>
      <c r="T53" s="292"/>
      <c r="U53" s="1072"/>
      <c r="V53" s="1072"/>
      <c r="W53" s="1074"/>
      <c r="X53" s="467">
        <f t="shared" ref="X53:X76" si="22">K53-O53</f>
        <v>12805.98</v>
      </c>
      <c r="Y53" s="1071">
        <f t="shared" ref="Y53:Y76" si="23">L53/K53*100</f>
        <v>90.361065689623146</v>
      </c>
      <c r="Z53" s="467">
        <f t="shared" ref="Z53:Z76" si="24">O53/H53/6</f>
        <v>0</v>
      </c>
      <c r="AA53" s="467">
        <v>3.4</v>
      </c>
      <c r="AB53" s="467">
        <f t="shared" ref="AB53:AB75" si="25">K53-L53</f>
        <v>1234.3599999999988</v>
      </c>
      <c r="AC53" s="223"/>
      <c r="AD53" s="223"/>
      <c r="AE53" s="223"/>
      <c r="AF53" s="223"/>
      <c r="AG53" s="223"/>
      <c r="AH53" s="223"/>
      <c r="AI53" s="35"/>
    </row>
    <row r="54" spans="1:35" s="124" customFormat="1" x14ac:dyDescent="0.25">
      <c r="A54" s="331">
        <v>3</v>
      </c>
      <c r="B54" s="331"/>
      <c r="C54" s="332" t="s">
        <v>25</v>
      </c>
      <c r="D54" s="13">
        <v>1966</v>
      </c>
      <c r="E54" s="13">
        <v>2</v>
      </c>
      <c r="F54" s="13">
        <v>16</v>
      </c>
      <c r="G54" s="177">
        <v>35</v>
      </c>
      <c r="H54" s="290">
        <v>626.47</v>
      </c>
      <c r="I54" s="1040"/>
      <c r="J54" s="1040"/>
      <c r="K54" s="321">
        <v>12216.36</v>
      </c>
      <c r="L54" s="321">
        <v>12533.34</v>
      </c>
      <c r="M54" s="1047"/>
      <c r="N54" s="1047"/>
      <c r="O54" s="317">
        <f t="shared" si="21"/>
        <v>821</v>
      </c>
      <c r="P54" s="322">
        <v>821</v>
      </c>
      <c r="Q54" s="319"/>
      <c r="R54" s="313"/>
      <c r="S54" s="313"/>
      <c r="T54" s="292"/>
      <c r="U54" s="1072"/>
      <c r="V54" s="1072"/>
      <c r="W54" s="1074"/>
      <c r="X54" s="467">
        <f t="shared" si="22"/>
        <v>11395.36</v>
      </c>
      <c r="Y54" s="1071">
        <f t="shared" si="23"/>
        <v>102.59471724801823</v>
      </c>
      <c r="Z54" s="467">
        <f t="shared" si="24"/>
        <v>0.21841961040964983</v>
      </c>
      <c r="AA54" s="391">
        <v>3.25</v>
      </c>
      <c r="AB54" s="467">
        <f t="shared" si="25"/>
        <v>-316.97999999999956</v>
      </c>
      <c r="AC54" s="223"/>
      <c r="AD54" s="223"/>
      <c r="AE54" s="223"/>
      <c r="AF54" s="223"/>
      <c r="AG54" s="223"/>
      <c r="AH54" s="223"/>
      <c r="AI54" s="35"/>
    </row>
    <row r="55" spans="1:35" s="124" customFormat="1" x14ac:dyDescent="0.25">
      <c r="A55" s="331">
        <v>4</v>
      </c>
      <c r="B55" s="331"/>
      <c r="C55" s="332" t="s">
        <v>26</v>
      </c>
      <c r="D55" s="13">
        <v>1961</v>
      </c>
      <c r="E55" s="13">
        <v>2</v>
      </c>
      <c r="F55" s="13">
        <v>12</v>
      </c>
      <c r="G55" s="30">
        <v>39</v>
      </c>
      <c r="H55" s="290">
        <v>456.5</v>
      </c>
      <c r="I55" s="1040"/>
      <c r="J55" s="1040"/>
      <c r="K55" s="321">
        <v>9613.92</v>
      </c>
      <c r="L55" s="321">
        <v>9666.7999999999993</v>
      </c>
      <c r="M55" s="1047"/>
      <c r="N55" s="1047"/>
      <c r="O55" s="317">
        <f t="shared" si="21"/>
        <v>63428.85</v>
      </c>
      <c r="P55" s="322">
        <v>14717.85</v>
      </c>
      <c r="Q55" s="319"/>
      <c r="R55" s="313"/>
      <c r="S55" s="313"/>
      <c r="T55" s="292"/>
      <c r="U55" s="1072">
        <v>48711</v>
      </c>
      <c r="V55" s="1072"/>
      <c r="W55" s="1074"/>
      <c r="X55" s="467">
        <f t="shared" si="22"/>
        <v>-53814.93</v>
      </c>
      <c r="Y55" s="1071">
        <f t="shared" si="23"/>
        <v>100.55003578145023</v>
      </c>
      <c r="Z55" s="467">
        <f t="shared" si="24"/>
        <v>23.157667031763413</v>
      </c>
      <c r="AA55" s="391">
        <v>3.51</v>
      </c>
      <c r="AB55" s="467">
        <f t="shared" si="25"/>
        <v>-52.8799999999992</v>
      </c>
      <c r="AC55" s="223"/>
      <c r="AD55" s="223"/>
      <c r="AE55" s="223"/>
      <c r="AF55" s="223"/>
      <c r="AG55" s="223"/>
      <c r="AH55" s="223"/>
      <c r="AI55" s="35"/>
    </row>
    <row r="56" spans="1:35" s="124" customFormat="1" x14ac:dyDescent="0.25">
      <c r="A56" s="331">
        <v>5</v>
      </c>
      <c r="B56" s="331"/>
      <c r="C56" s="332" t="s">
        <v>27</v>
      </c>
      <c r="D56" s="13">
        <v>1961</v>
      </c>
      <c r="E56" s="13">
        <v>2</v>
      </c>
      <c r="F56" s="13">
        <v>12</v>
      </c>
      <c r="G56" s="177">
        <v>35</v>
      </c>
      <c r="H56" s="290">
        <v>459.7</v>
      </c>
      <c r="I56" s="1040"/>
      <c r="J56" s="1040"/>
      <c r="K56" s="321">
        <v>9184.86</v>
      </c>
      <c r="L56" s="321">
        <v>8798.7000000000007</v>
      </c>
      <c r="M56" s="1047"/>
      <c r="N56" s="1047"/>
      <c r="O56" s="317">
        <f t="shared" si="21"/>
        <v>67452.209999999992</v>
      </c>
      <c r="P56" s="322">
        <v>18741.21</v>
      </c>
      <c r="Q56" s="319"/>
      <c r="R56" s="313"/>
      <c r="S56" s="313"/>
      <c r="T56" s="292"/>
      <c r="U56" s="1072">
        <v>48711</v>
      </c>
      <c r="V56" s="1072"/>
      <c r="W56" s="1074"/>
      <c r="X56" s="467">
        <f t="shared" si="22"/>
        <v>-58267.349999999991</v>
      </c>
      <c r="Y56" s="1071">
        <f t="shared" si="23"/>
        <v>95.79568986353631</v>
      </c>
      <c r="Z56" s="467">
        <f t="shared" si="24"/>
        <v>24.455155536219269</v>
      </c>
      <c r="AA56" s="391">
        <v>3.33</v>
      </c>
      <c r="AB56" s="467">
        <f t="shared" si="25"/>
        <v>386.15999999999985</v>
      </c>
      <c r="AC56" s="223"/>
      <c r="AD56" s="223"/>
      <c r="AE56" s="223"/>
      <c r="AF56" s="223"/>
      <c r="AG56" s="223"/>
      <c r="AH56" s="223"/>
      <c r="AI56" s="35"/>
    </row>
    <row r="57" spans="1:35" s="124" customFormat="1" ht="15" customHeight="1" x14ac:dyDescent="0.25">
      <c r="A57" s="331">
        <v>6</v>
      </c>
      <c r="B57" s="331"/>
      <c r="C57" s="332" t="s">
        <v>28</v>
      </c>
      <c r="D57" s="13">
        <v>1960</v>
      </c>
      <c r="E57" s="13">
        <v>1</v>
      </c>
      <c r="F57" s="13">
        <v>6</v>
      </c>
      <c r="G57" s="30">
        <v>10</v>
      </c>
      <c r="H57" s="290">
        <v>129.56</v>
      </c>
      <c r="I57" s="1040"/>
      <c r="J57" s="1040"/>
      <c r="K57" s="321">
        <v>167.82</v>
      </c>
      <c r="L57" s="321">
        <v>155.32</v>
      </c>
      <c r="M57" s="1047"/>
      <c r="N57" s="1047"/>
      <c r="O57" s="317">
        <f t="shared" si="21"/>
        <v>0</v>
      </c>
      <c r="P57" s="322"/>
      <c r="Q57" s="319"/>
      <c r="R57" s="313"/>
      <c r="S57" s="313"/>
      <c r="T57" s="292"/>
      <c r="U57" s="1072"/>
      <c r="V57" s="1072"/>
      <c r="W57" s="1074"/>
      <c r="X57" s="467">
        <f t="shared" si="22"/>
        <v>167.82</v>
      </c>
      <c r="Y57" s="1071">
        <f t="shared" si="23"/>
        <v>92.551543320224056</v>
      </c>
      <c r="Z57" s="467">
        <f t="shared" si="24"/>
        <v>0</v>
      </c>
      <c r="AA57" s="391">
        <v>0.26</v>
      </c>
      <c r="AB57" s="467">
        <f t="shared" si="25"/>
        <v>12.5</v>
      </c>
      <c r="AC57" s="223"/>
      <c r="AD57" s="223"/>
      <c r="AE57" s="223"/>
      <c r="AF57" s="223"/>
      <c r="AG57" s="223"/>
      <c r="AH57" s="223"/>
      <c r="AI57" s="35"/>
    </row>
    <row r="58" spans="1:35" s="124" customFormat="1" x14ac:dyDescent="0.25">
      <c r="A58" s="331">
        <v>7</v>
      </c>
      <c r="B58" s="331"/>
      <c r="C58" s="333" t="s">
        <v>29</v>
      </c>
      <c r="D58" s="36">
        <v>1985</v>
      </c>
      <c r="E58" s="36">
        <v>4</v>
      </c>
      <c r="F58" s="36">
        <v>48</v>
      </c>
      <c r="G58" s="225">
        <v>106</v>
      </c>
      <c r="H58" s="293">
        <v>2625.8</v>
      </c>
      <c r="I58" s="1040"/>
      <c r="J58" s="1040"/>
      <c r="K58" s="323">
        <v>43168.26</v>
      </c>
      <c r="L58" s="323">
        <v>39147.660000000003</v>
      </c>
      <c r="M58" s="1047"/>
      <c r="N58" s="1047"/>
      <c r="O58" s="317">
        <f t="shared" si="21"/>
        <v>27703.75</v>
      </c>
      <c r="P58" s="273">
        <v>10705.75</v>
      </c>
      <c r="Q58" s="319"/>
      <c r="R58" s="307"/>
      <c r="S58" s="307"/>
      <c r="T58" s="292"/>
      <c r="U58" s="1072">
        <v>16998</v>
      </c>
      <c r="V58" s="1072"/>
      <c r="W58" s="1074"/>
      <c r="X58" s="467">
        <f t="shared" si="22"/>
        <v>15464.510000000002</v>
      </c>
      <c r="Y58" s="1071">
        <f t="shared" si="23"/>
        <v>90.686212508912803</v>
      </c>
      <c r="Z58" s="467">
        <f t="shared" si="24"/>
        <v>1.7584323507756363</v>
      </c>
      <c r="AA58" s="391">
        <v>2.74</v>
      </c>
      <c r="AB58" s="467">
        <f t="shared" si="25"/>
        <v>4020.5999999999985</v>
      </c>
      <c r="AC58" s="223"/>
      <c r="AD58" s="223"/>
      <c r="AE58" s="223"/>
      <c r="AF58" s="223"/>
      <c r="AG58" s="223"/>
      <c r="AH58" s="223"/>
      <c r="AI58" s="35"/>
    </row>
    <row r="59" spans="1:35" s="124" customFormat="1" x14ac:dyDescent="0.25">
      <c r="A59" s="331">
        <v>8</v>
      </c>
      <c r="B59" s="331"/>
      <c r="C59" s="332" t="s">
        <v>30</v>
      </c>
      <c r="D59" s="13">
        <v>1968</v>
      </c>
      <c r="E59" s="13">
        <v>2</v>
      </c>
      <c r="F59" s="13">
        <v>22</v>
      </c>
      <c r="G59" s="30">
        <v>60</v>
      </c>
      <c r="H59" s="290">
        <v>857.42</v>
      </c>
      <c r="I59" s="1040"/>
      <c r="J59" s="1040"/>
      <c r="K59" s="321">
        <v>18314.939999999999</v>
      </c>
      <c r="L59" s="321">
        <v>19536.93</v>
      </c>
      <c r="M59" s="1047"/>
      <c r="N59" s="1047"/>
      <c r="O59" s="317">
        <f t="shared" si="21"/>
        <v>44154.5</v>
      </c>
      <c r="P59" s="322">
        <v>4068.5</v>
      </c>
      <c r="Q59" s="319"/>
      <c r="R59" s="313"/>
      <c r="S59" s="313"/>
      <c r="T59" s="292"/>
      <c r="U59" s="1072">
        <v>40086</v>
      </c>
      <c r="V59" s="1072"/>
      <c r="W59" s="1074"/>
      <c r="X59" s="467">
        <f t="shared" si="22"/>
        <v>-25839.56</v>
      </c>
      <c r="Y59" s="1071">
        <f t="shared" si="23"/>
        <v>106.67209392987364</v>
      </c>
      <c r="Z59" s="467">
        <f t="shared" si="24"/>
        <v>8.5828221097400732</v>
      </c>
      <c r="AA59" s="391">
        <v>3.56</v>
      </c>
      <c r="AB59" s="467">
        <f t="shared" si="25"/>
        <v>-1221.9900000000016</v>
      </c>
      <c r="AC59" s="223"/>
      <c r="AD59" s="223"/>
      <c r="AE59" s="223"/>
      <c r="AF59" s="223"/>
      <c r="AG59" s="223"/>
      <c r="AH59" s="223"/>
      <c r="AI59" s="35"/>
    </row>
    <row r="60" spans="1:35" s="124" customFormat="1" x14ac:dyDescent="0.25">
      <c r="A60" s="331">
        <v>9</v>
      </c>
      <c r="B60" s="331"/>
      <c r="C60" s="333" t="s">
        <v>31</v>
      </c>
      <c r="D60" s="36">
        <v>1969</v>
      </c>
      <c r="E60" s="36">
        <v>2</v>
      </c>
      <c r="F60" s="36">
        <v>22</v>
      </c>
      <c r="G60" s="225">
        <v>55</v>
      </c>
      <c r="H60" s="293">
        <v>805.1</v>
      </c>
      <c r="I60" s="1040"/>
      <c r="J60" s="1040"/>
      <c r="K60" s="323">
        <v>18165.57</v>
      </c>
      <c r="L60" s="323">
        <v>16540.580000000002</v>
      </c>
      <c r="M60" s="1047"/>
      <c r="N60" s="1047"/>
      <c r="O60" s="317">
        <f t="shared" si="21"/>
        <v>52746.48</v>
      </c>
      <c r="P60" s="273">
        <v>10991</v>
      </c>
      <c r="Q60" s="319"/>
      <c r="R60" s="307"/>
      <c r="S60" s="307"/>
      <c r="T60" s="292"/>
      <c r="U60" s="1072">
        <v>41755.480000000003</v>
      </c>
      <c r="V60" s="1072"/>
      <c r="W60" s="1074"/>
      <c r="X60" s="467">
        <f t="shared" si="22"/>
        <v>-34580.910000000003</v>
      </c>
      <c r="Y60" s="1071">
        <f t="shared" si="23"/>
        <v>91.054560908355768</v>
      </c>
      <c r="Z60" s="467">
        <f t="shared" si="24"/>
        <v>10.919239845981865</v>
      </c>
      <c r="AA60" s="391">
        <v>3.66</v>
      </c>
      <c r="AB60" s="467">
        <f t="shared" si="25"/>
        <v>1624.989999999998</v>
      </c>
      <c r="AC60" s="223"/>
      <c r="AD60" s="223"/>
      <c r="AE60" s="223"/>
      <c r="AF60" s="223"/>
      <c r="AG60" s="223"/>
      <c r="AH60" s="223"/>
      <c r="AI60" s="35"/>
    </row>
    <row r="61" spans="1:35" s="124" customFormat="1" x14ac:dyDescent="0.25">
      <c r="A61" s="331">
        <v>10</v>
      </c>
      <c r="B61" s="331"/>
      <c r="C61" s="332" t="s">
        <v>32</v>
      </c>
      <c r="D61" s="13">
        <v>1963</v>
      </c>
      <c r="E61" s="13">
        <v>2</v>
      </c>
      <c r="F61" s="13">
        <v>16</v>
      </c>
      <c r="G61" s="30">
        <v>25</v>
      </c>
      <c r="H61" s="290">
        <v>636.21</v>
      </c>
      <c r="I61" s="1040"/>
      <c r="J61" s="1040"/>
      <c r="K61" s="321">
        <v>13323.84</v>
      </c>
      <c r="L61" s="321">
        <v>12880.39</v>
      </c>
      <c r="M61" s="1047"/>
      <c r="N61" s="1047"/>
      <c r="O61" s="317">
        <f t="shared" si="21"/>
        <v>628.97</v>
      </c>
      <c r="P61" s="322">
        <v>628.97</v>
      </c>
      <c r="Q61" s="319"/>
      <c r="R61" s="313"/>
      <c r="S61" s="313"/>
      <c r="T61" s="292"/>
      <c r="U61" s="1072"/>
      <c r="V61" s="1072"/>
      <c r="W61" s="1074"/>
      <c r="X61" s="467">
        <f t="shared" si="22"/>
        <v>12694.87</v>
      </c>
      <c r="Y61" s="1071">
        <f t="shared" si="23"/>
        <v>96.67175528976631</v>
      </c>
      <c r="Z61" s="467">
        <f t="shared" si="24"/>
        <v>0.164770018285367</v>
      </c>
      <c r="AA61" s="391">
        <v>3.49</v>
      </c>
      <c r="AB61" s="467">
        <f t="shared" si="25"/>
        <v>443.45000000000073</v>
      </c>
      <c r="AC61" s="223"/>
      <c r="AD61" s="223"/>
      <c r="AE61" s="223"/>
      <c r="AF61" s="223"/>
      <c r="AG61" s="223"/>
      <c r="AH61" s="223"/>
      <c r="AI61" s="35"/>
    </row>
    <row r="62" spans="1:35" s="124" customFormat="1" x14ac:dyDescent="0.25">
      <c r="A62" s="331">
        <v>11</v>
      </c>
      <c r="B62" s="331"/>
      <c r="C62" s="332" t="s">
        <v>33</v>
      </c>
      <c r="D62" s="13">
        <v>1972</v>
      </c>
      <c r="E62" s="13">
        <v>2</v>
      </c>
      <c r="F62" s="13">
        <v>18</v>
      </c>
      <c r="G62" s="177">
        <v>44</v>
      </c>
      <c r="H62" s="290">
        <v>779.26</v>
      </c>
      <c r="I62" s="1040"/>
      <c r="J62" s="1040"/>
      <c r="K62" s="321">
        <v>8977.74</v>
      </c>
      <c r="L62" s="321">
        <v>6371.31</v>
      </c>
      <c r="M62" s="1047"/>
      <c r="N62" s="1047"/>
      <c r="O62" s="317">
        <f t="shared" si="21"/>
        <v>17954.97</v>
      </c>
      <c r="P62" s="322">
        <v>4338.97</v>
      </c>
      <c r="Q62" s="319"/>
      <c r="R62" s="313">
        <v>13616</v>
      </c>
      <c r="S62" s="313"/>
      <c r="T62" s="292"/>
      <c r="U62" s="1072"/>
      <c r="V62" s="1072"/>
      <c r="W62" s="1074"/>
      <c r="X62" s="467">
        <f t="shared" si="22"/>
        <v>-8977.2300000000014</v>
      </c>
      <c r="Y62" s="1071">
        <f t="shared" si="23"/>
        <v>70.967860508323938</v>
      </c>
      <c r="Z62" s="467">
        <f t="shared" si="24"/>
        <v>3.8401752945101766</v>
      </c>
      <c r="AA62" s="391">
        <v>1.92</v>
      </c>
      <c r="AB62" s="467">
        <f t="shared" si="25"/>
        <v>2606.4299999999994</v>
      </c>
      <c r="AC62" s="223"/>
      <c r="AD62" s="223"/>
      <c r="AE62" s="223"/>
      <c r="AF62" s="223"/>
      <c r="AG62" s="223"/>
      <c r="AH62" s="223"/>
      <c r="AI62" s="35"/>
    </row>
    <row r="63" spans="1:35" s="124" customFormat="1" x14ac:dyDescent="0.25">
      <c r="A63" s="331">
        <v>12</v>
      </c>
      <c r="B63" s="331"/>
      <c r="C63" s="332" t="s">
        <v>34</v>
      </c>
      <c r="D63" s="13">
        <v>1972</v>
      </c>
      <c r="E63" s="13">
        <v>2</v>
      </c>
      <c r="F63" s="13">
        <v>18</v>
      </c>
      <c r="G63" s="30">
        <v>44</v>
      </c>
      <c r="H63" s="290">
        <v>771.52</v>
      </c>
      <c r="I63" s="1040"/>
      <c r="J63" s="1040"/>
      <c r="K63" s="321">
        <v>9073.2000000000007</v>
      </c>
      <c r="L63" s="321">
        <v>8509.6299999999992</v>
      </c>
      <c r="M63" s="1047"/>
      <c r="N63" s="1047"/>
      <c r="O63" s="317">
        <f t="shared" si="21"/>
        <v>0</v>
      </c>
      <c r="P63" s="322"/>
      <c r="Q63" s="319"/>
      <c r="R63" s="313"/>
      <c r="S63" s="313"/>
      <c r="T63" s="292"/>
      <c r="U63" s="1072"/>
      <c r="V63" s="1072"/>
      <c r="W63" s="1074"/>
      <c r="X63" s="467">
        <f t="shared" si="22"/>
        <v>9073.2000000000007</v>
      </c>
      <c r="Y63" s="1071">
        <f t="shared" si="23"/>
        <v>93.788630251730353</v>
      </c>
      <c r="Z63" s="467">
        <f t="shared" si="24"/>
        <v>0</v>
      </c>
      <c r="AA63" s="391">
        <v>1.96</v>
      </c>
      <c r="AB63" s="467">
        <f t="shared" si="25"/>
        <v>563.57000000000153</v>
      </c>
      <c r="AC63" s="223"/>
      <c r="AD63" s="223"/>
      <c r="AE63" s="223"/>
      <c r="AF63" s="223"/>
      <c r="AG63" s="223"/>
      <c r="AH63" s="223"/>
      <c r="AI63" s="35"/>
    </row>
    <row r="64" spans="1:35" s="124" customFormat="1" x14ac:dyDescent="0.25">
      <c r="A64" s="331">
        <v>13</v>
      </c>
      <c r="B64" s="331"/>
      <c r="C64" s="332" t="s">
        <v>35</v>
      </c>
      <c r="D64" s="13">
        <v>1978</v>
      </c>
      <c r="E64" s="13">
        <v>3</v>
      </c>
      <c r="F64" s="13">
        <v>24</v>
      </c>
      <c r="G64" s="177">
        <v>68</v>
      </c>
      <c r="H64" s="290">
        <v>1443.9</v>
      </c>
      <c r="I64" s="1040"/>
      <c r="J64" s="1040"/>
      <c r="K64" s="321">
        <v>22091.94</v>
      </c>
      <c r="L64" s="321">
        <v>21553.88</v>
      </c>
      <c r="M64" s="1047"/>
      <c r="N64" s="1047"/>
      <c r="O64" s="317">
        <f t="shared" si="21"/>
        <v>3440.19</v>
      </c>
      <c r="P64" s="322">
        <v>3440.19</v>
      </c>
      <c r="Q64" s="319"/>
      <c r="R64" s="313"/>
      <c r="S64" s="313"/>
      <c r="T64" s="292"/>
      <c r="U64" s="1072"/>
      <c r="V64" s="1072"/>
      <c r="W64" s="1074"/>
      <c r="X64" s="467">
        <f t="shared" si="22"/>
        <v>18651.75</v>
      </c>
      <c r="Y64" s="1071">
        <f t="shared" si="23"/>
        <v>97.564451107508006</v>
      </c>
      <c r="Z64" s="467">
        <f t="shared" si="24"/>
        <v>0.39709467414640898</v>
      </c>
      <c r="AA64" s="391">
        <v>2.5499999999999998</v>
      </c>
      <c r="AB64" s="467">
        <f t="shared" si="25"/>
        <v>538.05999999999767</v>
      </c>
      <c r="AC64" s="223"/>
      <c r="AD64" s="223"/>
      <c r="AE64" s="223"/>
      <c r="AF64" s="223"/>
      <c r="AG64" s="223"/>
      <c r="AH64" s="223"/>
      <c r="AI64" s="35"/>
    </row>
    <row r="65" spans="1:35" s="124" customFormat="1" x14ac:dyDescent="0.25">
      <c r="A65" s="331">
        <v>14</v>
      </c>
      <c r="B65" s="331"/>
      <c r="C65" s="332" t="s">
        <v>36</v>
      </c>
      <c r="D65" s="13">
        <v>1979</v>
      </c>
      <c r="E65" s="13">
        <v>5</v>
      </c>
      <c r="F65" s="13">
        <v>60</v>
      </c>
      <c r="G65" s="30">
        <v>181</v>
      </c>
      <c r="H65" s="290">
        <v>3240.38</v>
      </c>
      <c r="I65" s="1040"/>
      <c r="J65" s="1040"/>
      <c r="K65" s="321">
        <v>46847.94</v>
      </c>
      <c r="L65" s="321">
        <v>46309.440000000002</v>
      </c>
      <c r="M65" s="1047"/>
      <c r="N65" s="1047"/>
      <c r="O65" s="317">
        <f t="shared" si="21"/>
        <v>89274.16</v>
      </c>
      <c r="P65" s="322">
        <v>19728.89</v>
      </c>
      <c r="Q65" s="319"/>
      <c r="R65" s="313">
        <v>69545.27</v>
      </c>
      <c r="S65" s="313"/>
      <c r="T65" s="1079"/>
      <c r="U65" s="1072"/>
      <c r="V65" s="1072"/>
      <c r="W65" s="1074"/>
      <c r="X65" s="467">
        <f t="shared" si="22"/>
        <v>-42426.22</v>
      </c>
      <c r="Y65" s="1071">
        <f t="shared" si="23"/>
        <v>98.850536437674748</v>
      </c>
      <c r="Z65" s="467">
        <f t="shared" si="24"/>
        <v>4.5917536420625567</v>
      </c>
      <c r="AA65" s="391">
        <v>2.41</v>
      </c>
      <c r="AB65" s="467">
        <f t="shared" si="25"/>
        <v>538.5</v>
      </c>
      <c r="AC65" s="223"/>
      <c r="AD65" s="223"/>
      <c r="AE65" s="223"/>
      <c r="AF65" s="223"/>
      <c r="AG65" s="223"/>
      <c r="AH65" s="223"/>
      <c r="AI65" s="35"/>
    </row>
    <row r="66" spans="1:35" s="124" customFormat="1" x14ac:dyDescent="0.25">
      <c r="A66" s="331">
        <v>15</v>
      </c>
      <c r="B66" s="331"/>
      <c r="C66" s="332" t="s">
        <v>37</v>
      </c>
      <c r="D66" s="13">
        <v>1981</v>
      </c>
      <c r="E66" s="13">
        <v>5</v>
      </c>
      <c r="F66" s="13">
        <v>60</v>
      </c>
      <c r="G66" s="177">
        <v>163</v>
      </c>
      <c r="H66" s="290">
        <v>3236.3</v>
      </c>
      <c r="I66" s="1040"/>
      <c r="J66" s="1040"/>
      <c r="K66" s="321">
        <v>45249.07</v>
      </c>
      <c r="L66" s="321">
        <v>44360.11</v>
      </c>
      <c r="M66" s="1047"/>
      <c r="N66" s="1047"/>
      <c r="O66" s="317">
        <f t="shared" si="21"/>
        <v>50000</v>
      </c>
      <c r="P66" s="322"/>
      <c r="Q66" s="319"/>
      <c r="R66" s="313"/>
      <c r="S66" s="313"/>
      <c r="T66" s="1079">
        <v>50000</v>
      </c>
      <c r="U66" s="1072"/>
      <c r="V66" s="1072"/>
      <c r="W66" s="1074"/>
      <c r="X66" s="467">
        <f t="shared" si="22"/>
        <v>-4750.93</v>
      </c>
      <c r="Y66" s="1071">
        <f t="shared" si="23"/>
        <v>98.035407136544464</v>
      </c>
      <c r="Z66" s="467">
        <f t="shared" si="24"/>
        <v>2.5749569982181297</v>
      </c>
      <c r="AA66" s="391">
        <v>2.33</v>
      </c>
      <c r="AB66" s="467">
        <f t="shared" si="25"/>
        <v>888.95999999999913</v>
      </c>
      <c r="AC66" s="223"/>
      <c r="AD66" s="223"/>
      <c r="AE66" s="223"/>
      <c r="AF66" s="223"/>
      <c r="AG66" s="223"/>
      <c r="AH66" s="223"/>
      <c r="AI66" s="35"/>
    </row>
    <row r="67" spans="1:35" s="124" customFormat="1" x14ac:dyDescent="0.25">
      <c r="A67" s="331">
        <v>16</v>
      </c>
      <c r="B67" s="331"/>
      <c r="C67" s="332" t="s">
        <v>38</v>
      </c>
      <c r="D67" s="13">
        <v>1981</v>
      </c>
      <c r="E67" s="13">
        <v>5</v>
      </c>
      <c r="F67" s="13">
        <v>60</v>
      </c>
      <c r="G67" s="30">
        <v>184</v>
      </c>
      <c r="H67" s="290">
        <v>3273.8</v>
      </c>
      <c r="I67" s="1040"/>
      <c r="J67" s="1040"/>
      <c r="K67" s="321">
        <v>58286.52</v>
      </c>
      <c r="L67" s="321">
        <v>54789.59</v>
      </c>
      <c r="M67" s="1047"/>
      <c r="N67" s="1047"/>
      <c r="O67" s="317">
        <f t="shared" si="21"/>
        <v>0</v>
      </c>
      <c r="P67" s="322"/>
      <c r="Q67" s="319"/>
      <c r="R67" s="313"/>
      <c r="S67" s="313"/>
      <c r="T67" s="292"/>
      <c r="U67" s="1072"/>
      <c r="V67" s="1072"/>
      <c r="W67" s="1074"/>
      <c r="X67" s="467">
        <f t="shared" si="22"/>
        <v>58286.52</v>
      </c>
      <c r="Y67" s="1071">
        <f t="shared" si="23"/>
        <v>94.000448131060139</v>
      </c>
      <c r="Z67" s="467">
        <f t="shared" si="24"/>
        <v>0</v>
      </c>
      <c r="AA67" s="391">
        <v>2.4300000000000002</v>
      </c>
      <c r="AB67" s="467">
        <f t="shared" si="25"/>
        <v>3496.9300000000003</v>
      </c>
      <c r="AC67" s="223"/>
      <c r="AD67" s="223"/>
      <c r="AE67" s="223"/>
      <c r="AF67" s="223"/>
      <c r="AG67" s="223"/>
      <c r="AH67" s="223"/>
      <c r="AI67" s="35"/>
    </row>
    <row r="68" spans="1:35" s="124" customFormat="1" x14ac:dyDescent="0.25">
      <c r="A68" s="331">
        <v>17</v>
      </c>
      <c r="B68" s="331"/>
      <c r="C68" s="332" t="s">
        <v>39</v>
      </c>
      <c r="D68" s="13">
        <v>1987</v>
      </c>
      <c r="E68" s="13">
        <v>3</v>
      </c>
      <c r="F68" s="13">
        <v>27</v>
      </c>
      <c r="G68" s="177">
        <v>72</v>
      </c>
      <c r="H68" s="290">
        <v>1466.1</v>
      </c>
      <c r="I68" s="1040"/>
      <c r="J68" s="1040"/>
      <c r="K68" s="321">
        <v>21718.62</v>
      </c>
      <c r="L68" s="321">
        <v>21779.35</v>
      </c>
      <c r="M68" s="1047"/>
      <c r="N68" s="1047"/>
      <c r="O68" s="317">
        <f t="shared" si="21"/>
        <v>57399.9</v>
      </c>
      <c r="P68" s="322">
        <v>8820.9</v>
      </c>
      <c r="Q68" s="319"/>
      <c r="R68" s="313">
        <v>48579</v>
      </c>
      <c r="S68" s="313"/>
      <c r="T68" s="292"/>
      <c r="U68" s="1072"/>
      <c r="V68" s="1072"/>
      <c r="W68" s="1074"/>
      <c r="X68" s="467">
        <f t="shared" si="22"/>
        <v>-35681.279999999999</v>
      </c>
      <c r="Y68" s="1071">
        <f t="shared" si="23"/>
        <v>100.27962181759247</v>
      </c>
      <c r="Z68" s="467">
        <f t="shared" si="24"/>
        <v>6.5252370233954027</v>
      </c>
      <c r="AA68" s="391">
        <v>2.4700000000000002</v>
      </c>
      <c r="AB68" s="467">
        <f t="shared" si="25"/>
        <v>-60.729999999999563</v>
      </c>
      <c r="AC68" s="223"/>
      <c r="AD68" s="223"/>
      <c r="AE68" s="223"/>
      <c r="AF68" s="223"/>
      <c r="AG68" s="223"/>
      <c r="AH68" s="223"/>
      <c r="AI68" s="35"/>
    </row>
    <row r="69" spans="1:35" s="124" customFormat="1" x14ac:dyDescent="0.25">
      <c r="A69" s="334">
        <v>18</v>
      </c>
      <c r="B69" s="334"/>
      <c r="C69" s="335" t="s">
        <v>40</v>
      </c>
      <c r="D69" s="187">
        <v>1989</v>
      </c>
      <c r="E69" s="187">
        <v>3</v>
      </c>
      <c r="F69" s="187">
        <v>27</v>
      </c>
      <c r="G69" s="30">
        <v>78</v>
      </c>
      <c r="H69" s="291">
        <v>1468.1</v>
      </c>
      <c r="I69" s="1041"/>
      <c r="J69" s="1041"/>
      <c r="K69" s="324">
        <v>22296.639999999999</v>
      </c>
      <c r="L69" s="324">
        <v>23937.47</v>
      </c>
      <c r="M69" s="1060"/>
      <c r="N69" s="1060"/>
      <c r="O69" s="317">
        <f t="shared" si="21"/>
        <v>0</v>
      </c>
      <c r="P69" s="309"/>
      <c r="Q69" s="319"/>
      <c r="R69" s="311"/>
      <c r="S69" s="311"/>
      <c r="T69" s="292"/>
      <c r="U69" s="1072"/>
      <c r="V69" s="1072"/>
      <c r="W69" s="1075"/>
      <c r="X69" s="467">
        <f t="shared" si="22"/>
        <v>22296.639999999999</v>
      </c>
      <c r="Y69" s="1071">
        <f t="shared" si="23"/>
        <v>107.35909087647289</v>
      </c>
      <c r="Z69" s="467">
        <f t="shared" si="24"/>
        <v>0</v>
      </c>
      <c r="AA69" s="391">
        <v>2.5299999999999998</v>
      </c>
      <c r="AB69" s="467">
        <f t="shared" si="25"/>
        <v>-1640.8300000000017</v>
      </c>
      <c r="AC69" s="223"/>
      <c r="AD69" s="223"/>
      <c r="AE69" s="223"/>
      <c r="AF69" s="223"/>
      <c r="AG69" s="223"/>
      <c r="AH69" s="223"/>
      <c r="AI69" s="35"/>
    </row>
    <row r="70" spans="1:35" s="124" customFormat="1" x14ac:dyDescent="0.25">
      <c r="A70" s="331">
        <v>19</v>
      </c>
      <c r="B70" s="331"/>
      <c r="C70" s="332" t="s">
        <v>44</v>
      </c>
      <c r="D70" s="13">
        <v>1976</v>
      </c>
      <c r="E70" s="13">
        <v>2</v>
      </c>
      <c r="F70" s="13">
        <v>4</v>
      </c>
      <c r="G70" s="13">
        <v>22</v>
      </c>
      <c r="H70" s="14">
        <v>266.82</v>
      </c>
      <c r="I70" s="1042"/>
      <c r="J70" s="1042"/>
      <c r="K70" s="544">
        <v>1440.84</v>
      </c>
      <c r="L70" s="326">
        <v>1421.3</v>
      </c>
      <c r="M70" s="1060"/>
      <c r="N70" s="1060"/>
      <c r="O70" s="317">
        <f t="shared" si="21"/>
        <v>0</v>
      </c>
      <c r="P70" s="322"/>
      <c r="Q70" s="319"/>
      <c r="R70" s="322"/>
      <c r="S70" s="322"/>
      <c r="T70" s="292"/>
      <c r="U70" s="1072"/>
      <c r="V70" s="1072"/>
      <c r="W70" s="1076"/>
      <c r="X70" s="467">
        <f t="shared" si="22"/>
        <v>1440.84</v>
      </c>
      <c r="Y70" s="1071">
        <f t="shared" si="23"/>
        <v>98.64384664501263</v>
      </c>
      <c r="Z70" s="467">
        <f t="shared" si="24"/>
        <v>0</v>
      </c>
      <c r="AA70" s="467">
        <v>0.9</v>
      </c>
      <c r="AB70" s="467">
        <f t="shared" si="25"/>
        <v>19.539999999999964</v>
      </c>
      <c r="AC70" s="223"/>
      <c r="AD70" s="223"/>
      <c r="AE70" s="223"/>
      <c r="AF70" s="223"/>
      <c r="AG70" s="223"/>
      <c r="AH70" s="223"/>
      <c r="AI70" s="35"/>
    </row>
    <row r="71" spans="1:35" s="124" customFormat="1" x14ac:dyDescent="0.25">
      <c r="A71" s="334">
        <v>20</v>
      </c>
      <c r="B71" s="334"/>
      <c r="C71" s="335" t="s">
        <v>45</v>
      </c>
      <c r="D71" s="187">
        <v>1976</v>
      </c>
      <c r="E71" s="187">
        <v>2</v>
      </c>
      <c r="F71" s="187">
        <v>4</v>
      </c>
      <c r="G71" s="187">
        <v>12</v>
      </c>
      <c r="H71" s="233">
        <v>266.56</v>
      </c>
      <c r="I71" s="1043"/>
      <c r="J71" s="1043"/>
      <c r="K71" s="545">
        <v>1439.46</v>
      </c>
      <c r="L71" s="328">
        <v>1247.1099999999999</v>
      </c>
      <c r="M71" s="1048"/>
      <c r="N71" s="1048"/>
      <c r="O71" s="317">
        <f t="shared" si="21"/>
        <v>0</v>
      </c>
      <c r="P71" s="309"/>
      <c r="Q71" s="319"/>
      <c r="R71" s="309"/>
      <c r="S71" s="309"/>
      <c r="T71" s="546"/>
      <c r="U71" s="1077"/>
      <c r="V71" s="1077"/>
      <c r="W71" s="1078"/>
      <c r="X71" s="467">
        <f t="shared" si="22"/>
        <v>1439.46</v>
      </c>
      <c r="Y71" s="1071">
        <f t="shared" si="23"/>
        <v>86.637350117405134</v>
      </c>
      <c r="Z71" s="467">
        <f t="shared" si="24"/>
        <v>0</v>
      </c>
      <c r="AA71" s="467">
        <v>0.9</v>
      </c>
      <c r="AB71" s="467">
        <f t="shared" si="25"/>
        <v>192.35000000000014</v>
      </c>
      <c r="AC71" s="223"/>
      <c r="AD71" s="223"/>
      <c r="AE71" s="223"/>
      <c r="AF71" s="223"/>
      <c r="AG71" s="223"/>
      <c r="AH71" s="223"/>
      <c r="AI71" s="35"/>
    </row>
    <row r="72" spans="1:35" s="124" customFormat="1" x14ac:dyDescent="0.25">
      <c r="A72" s="334">
        <v>21</v>
      </c>
      <c r="B72" s="334"/>
      <c r="C72" s="335" t="s">
        <v>47</v>
      </c>
      <c r="D72" s="13">
        <v>1970</v>
      </c>
      <c r="E72" s="36">
        <v>2</v>
      </c>
      <c r="F72" s="36">
        <v>9</v>
      </c>
      <c r="G72" s="36">
        <v>2</v>
      </c>
      <c r="H72" s="121">
        <v>393.8</v>
      </c>
      <c r="I72" s="1042"/>
      <c r="J72" s="1042"/>
      <c r="K72" s="48">
        <v>12923.4</v>
      </c>
      <c r="L72" s="48">
        <v>7716.1</v>
      </c>
      <c r="M72" s="1049"/>
      <c r="N72" s="1049"/>
      <c r="O72" s="317">
        <f t="shared" si="21"/>
        <v>0</v>
      </c>
      <c r="P72" s="121"/>
      <c r="Q72" s="319"/>
      <c r="R72" s="309"/>
      <c r="S72" s="309"/>
      <c r="T72" s="546"/>
      <c r="U72" s="1077"/>
      <c r="V72" s="1077"/>
      <c r="W72" s="1078"/>
      <c r="X72" s="467">
        <f t="shared" si="22"/>
        <v>12923.4</v>
      </c>
      <c r="Y72" s="1071">
        <f t="shared" si="23"/>
        <v>59.706424006066513</v>
      </c>
      <c r="Z72" s="467">
        <f t="shared" si="24"/>
        <v>0</v>
      </c>
      <c r="AA72" s="467">
        <v>7</v>
      </c>
      <c r="AB72" s="467">
        <f t="shared" si="25"/>
        <v>5207.2999999999993</v>
      </c>
      <c r="AC72" s="223"/>
      <c r="AD72" s="223"/>
      <c r="AE72" s="223"/>
      <c r="AF72" s="223"/>
      <c r="AG72" s="223"/>
      <c r="AH72" s="223"/>
      <c r="AI72" s="35"/>
    </row>
    <row r="73" spans="1:35" s="124" customFormat="1" x14ac:dyDescent="0.25">
      <c r="A73" s="334">
        <v>22</v>
      </c>
      <c r="B73" s="334"/>
      <c r="C73" s="335" t="s">
        <v>48</v>
      </c>
      <c r="D73" s="13">
        <v>1970</v>
      </c>
      <c r="E73" s="36">
        <v>2</v>
      </c>
      <c r="F73" s="36">
        <v>12</v>
      </c>
      <c r="G73" s="36">
        <v>25</v>
      </c>
      <c r="H73" s="121">
        <v>462.1</v>
      </c>
      <c r="I73" s="1042"/>
      <c r="J73" s="1042"/>
      <c r="K73" s="48">
        <v>19408.2</v>
      </c>
      <c r="L73" s="48">
        <v>12864.93</v>
      </c>
      <c r="M73" s="1049"/>
      <c r="N73" s="1049"/>
      <c r="O73" s="317">
        <f t="shared" si="21"/>
        <v>0</v>
      </c>
      <c r="P73" s="121"/>
      <c r="Q73" s="319"/>
      <c r="R73" s="309"/>
      <c r="S73" s="309"/>
      <c r="T73" s="546"/>
      <c r="U73" s="1077"/>
      <c r="V73" s="1077"/>
      <c r="W73" s="1078"/>
      <c r="X73" s="467">
        <f t="shared" si="22"/>
        <v>19408.2</v>
      </c>
      <c r="Y73" s="1071">
        <f t="shared" si="23"/>
        <v>66.286054348162111</v>
      </c>
      <c r="Z73" s="467">
        <f t="shared" si="24"/>
        <v>0</v>
      </c>
      <c r="AA73" s="467"/>
      <c r="AB73" s="467">
        <f t="shared" si="25"/>
        <v>6543.27</v>
      </c>
      <c r="AC73" s="223"/>
      <c r="AD73" s="223"/>
      <c r="AE73" s="223"/>
      <c r="AF73" s="223"/>
      <c r="AG73" s="223"/>
      <c r="AH73" s="223"/>
      <c r="AI73" s="35"/>
    </row>
    <row r="74" spans="1:35" s="124" customFormat="1" x14ac:dyDescent="0.25">
      <c r="A74" s="334">
        <v>23</v>
      </c>
      <c r="B74" s="334"/>
      <c r="C74" s="42" t="s">
        <v>50</v>
      </c>
      <c r="D74" s="13">
        <v>1970</v>
      </c>
      <c r="E74" s="36">
        <v>2</v>
      </c>
      <c r="F74" s="36">
        <v>12</v>
      </c>
      <c r="G74" s="36">
        <v>30</v>
      </c>
      <c r="H74" s="121">
        <v>462.9</v>
      </c>
      <c r="I74" s="1042"/>
      <c r="J74" s="1042"/>
      <c r="K74" s="48">
        <v>18102</v>
      </c>
      <c r="L74" s="48">
        <v>15790.09</v>
      </c>
      <c r="M74" s="1049"/>
      <c r="N74" s="1049"/>
      <c r="O74" s="317">
        <f t="shared" si="21"/>
        <v>0</v>
      </c>
      <c r="P74" s="121"/>
      <c r="Q74" s="319"/>
      <c r="R74" s="309"/>
      <c r="S74" s="309"/>
      <c r="T74" s="546"/>
      <c r="U74" s="1077"/>
      <c r="V74" s="1077"/>
      <c r="W74" s="1078"/>
      <c r="X74" s="467">
        <f t="shared" si="22"/>
        <v>18102</v>
      </c>
      <c r="Y74" s="1071">
        <f t="shared" si="23"/>
        <v>87.228427798033366</v>
      </c>
      <c r="Z74" s="467">
        <f t="shared" si="24"/>
        <v>0</v>
      </c>
      <c r="AA74" s="467"/>
      <c r="AB74" s="467">
        <f t="shared" si="25"/>
        <v>2311.91</v>
      </c>
      <c r="AC74" s="223"/>
      <c r="AD74" s="223"/>
      <c r="AE74" s="223"/>
      <c r="AF74" s="223"/>
      <c r="AG74" s="223"/>
      <c r="AH74" s="223"/>
      <c r="AI74" s="35"/>
    </row>
    <row r="75" spans="1:35" s="124" customFormat="1" x14ac:dyDescent="0.25">
      <c r="A75" s="334">
        <v>24</v>
      </c>
      <c r="B75" s="334"/>
      <c r="C75" s="202" t="s">
        <v>51</v>
      </c>
      <c r="D75" s="187">
        <v>1971</v>
      </c>
      <c r="E75" s="187">
        <v>2</v>
      </c>
      <c r="F75" s="187">
        <v>11</v>
      </c>
      <c r="G75" s="187">
        <v>34</v>
      </c>
      <c r="H75" s="233">
        <v>464.6</v>
      </c>
      <c r="I75" s="1043"/>
      <c r="J75" s="1043"/>
      <c r="K75" s="48">
        <v>19138.59</v>
      </c>
      <c r="L75" s="48">
        <v>13936.22</v>
      </c>
      <c r="M75" s="1049"/>
      <c r="N75" s="1049"/>
      <c r="O75" s="317">
        <f t="shared" si="21"/>
        <v>0</v>
      </c>
      <c r="P75" s="121"/>
      <c r="Q75" s="319"/>
      <c r="R75" s="309"/>
      <c r="S75" s="309"/>
      <c r="T75" s="546"/>
      <c r="U75" s="1077"/>
      <c r="V75" s="1077"/>
      <c r="W75" s="1078"/>
      <c r="X75" s="467">
        <f t="shared" si="22"/>
        <v>19138.59</v>
      </c>
      <c r="Y75" s="1071">
        <f t="shared" si="23"/>
        <v>72.817381008736788</v>
      </c>
      <c r="Z75" s="467">
        <f t="shared" si="24"/>
        <v>0</v>
      </c>
      <c r="AA75" s="467"/>
      <c r="AB75" s="467">
        <f t="shared" si="25"/>
        <v>5202.3700000000008</v>
      </c>
      <c r="AC75" s="223"/>
      <c r="AD75" s="223"/>
      <c r="AE75" s="223"/>
      <c r="AF75" s="223"/>
      <c r="AG75" s="223"/>
      <c r="AH75" s="223"/>
      <c r="AI75" s="35"/>
    </row>
    <row r="76" spans="1:35" s="124" customFormat="1" x14ac:dyDescent="0.25">
      <c r="A76" s="382"/>
      <c r="B76" s="382"/>
      <c r="C76" s="464" t="s">
        <v>52</v>
      </c>
      <c r="D76" s="57">
        <v>1961</v>
      </c>
      <c r="E76" s="57">
        <v>1</v>
      </c>
      <c r="F76" s="57">
        <v>5</v>
      </c>
      <c r="G76" s="57">
        <v>11</v>
      </c>
      <c r="H76" s="288">
        <f>SUM(H52:H75)</f>
        <v>25508.859999999993</v>
      </c>
      <c r="I76" s="1044"/>
      <c r="J76" s="1044"/>
      <c r="K76" s="465">
        <f>SUM(K52:K75)</f>
        <v>447414.11000000016</v>
      </c>
      <c r="L76" s="465">
        <f t="shared" ref="L76:S76" si="26">SUM(L52:L75)</f>
        <v>415229.63999999984</v>
      </c>
      <c r="M76" s="1050"/>
      <c r="N76" s="1050"/>
      <c r="O76" s="465">
        <f t="shared" si="26"/>
        <v>475004.98</v>
      </c>
      <c r="P76" s="465">
        <f t="shared" si="26"/>
        <v>97003.23</v>
      </c>
      <c r="Q76" s="465">
        <f>SUM(Q52:Q75)</f>
        <v>0</v>
      </c>
      <c r="R76" s="465">
        <f t="shared" si="26"/>
        <v>131740.27000000002</v>
      </c>
      <c r="S76" s="465">
        <f t="shared" si="26"/>
        <v>0</v>
      </c>
      <c r="T76" s="465">
        <f>SUM(T52:T75)</f>
        <v>50000</v>
      </c>
      <c r="U76" s="465">
        <f t="shared" ref="U76:W76" si="27">SUM(U52:U75)</f>
        <v>196261.48</v>
      </c>
      <c r="V76" s="465">
        <f t="shared" si="27"/>
        <v>0</v>
      </c>
      <c r="W76" s="465">
        <f t="shared" si="27"/>
        <v>0</v>
      </c>
      <c r="X76" s="1027">
        <f t="shared" si="22"/>
        <v>-27590.869999999821</v>
      </c>
      <c r="Y76" s="1027">
        <f t="shared" si="23"/>
        <v>92.80655900637548</v>
      </c>
      <c r="Z76" s="1027">
        <f t="shared" si="24"/>
        <v>3.1035293880897341</v>
      </c>
      <c r="AA76" s="1080"/>
      <c r="AB76" s="1027">
        <f>SUM(AB52:AB75)</f>
        <v>32184.469999999994</v>
      </c>
      <c r="AC76" s="223"/>
      <c r="AD76" s="223"/>
      <c r="AE76" s="223"/>
      <c r="AF76" s="223"/>
      <c r="AG76" s="223"/>
      <c r="AH76" s="223"/>
      <c r="AI76" s="35"/>
    </row>
    <row r="77" spans="1:35" s="124" customFormat="1" x14ac:dyDescent="0.25">
      <c r="A77" s="466"/>
      <c r="B77" s="466"/>
      <c r="C77" s="466"/>
      <c r="D77" s="466"/>
      <c r="E77" s="466"/>
      <c r="F77" s="466"/>
      <c r="G77" s="466"/>
      <c r="H77" s="466"/>
      <c r="I77" s="466"/>
      <c r="J77" s="466"/>
      <c r="K77" s="466"/>
      <c r="L77" s="466"/>
      <c r="M77" s="466"/>
      <c r="N77" s="466"/>
      <c r="O77" s="466"/>
      <c r="P77" s="466"/>
      <c r="Q77" s="466"/>
      <c r="R77" s="466"/>
      <c r="S77" s="466"/>
      <c r="T77" s="466" t="s">
        <v>180</v>
      </c>
      <c r="U77" s="466"/>
      <c r="V77" s="466"/>
      <c r="W77" s="466"/>
      <c r="X77" s="466"/>
      <c r="Y77" s="466"/>
      <c r="Z77" s="466"/>
      <c r="AA77" s="466"/>
      <c r="AB77" s="466"/>
      <c r="AC77" s="466"/>
      <c r="AD77" s="466"/>
      <c r="AE77" s="466"/>
      <c r="AF77" s="466"/>
      <c r="AG77" s="466"/>
      <c r="AH77" s="466"/>
      <c r="AI77" s="35"/>
    </row>
    <row r="78" spans="1:35" s="124" customFormat="1" x14ac:dyDescent="0.25">
      <c r="A78" s="466"/>
      <c r="B78" s="466"/>
      <c r="C78" s="466"/>
      <c r="D78" s="466"/>
      <c r="E78" s="466"/>
      <c r="F78" s="466"/>
      <c r="G78" s="466"/>
      <c r="H78" s="466"/>
      <c r="I78" s="466"/>
      <c r="J78" s="466"/>
      <c r="K78" s="466"/>
      <c r="L78" s="466"/>
      <c r="M78" s="466"/>
      <c r="N78" s="466"/>
      <c r="O78" s="466"/>
      <c r="P78" s="466"/>
      <c r="Q78" s="466"/>
      <c r="R78" s="1302">
        <f>R76+U76</f>
        <v>328001.75</v>
      </c>
      <c r="S78" s="466"/>
      <c r="T78" s="466"/>
      <c r="U78" s="466"/>
      <c r="V78" s="466"/>
      <c r="W78" s="466"/>
      <c r="X78" s="466"/>
      <c r="Y78" s="466"/>
      <c r="Z78" s="466"/>
      <c r="AA78" s="466"/>
      <c r="AB78" s="466"/>
      <c r="AC78" s="466"/>
      <c r="AD78" s="466"/>
      <c r="AE78" s="466"/>
      <c r="AF78" s="466"/>
      <c r="AG78" s="466"/>
      <c r="AH78" s="466"/>
      <c r="AI78" s="35"/>
    </row>
    <row r="79" spans="1:35" s="124" customFormat="1" x14ac:dyDescent="0.25">
      <c r="A79" s="466"/>
      <c r="B79" s="466"/>
      <c r="C79" s="466"/>
      <c r="D79" s="466"/>
      <c r="E79" s="466"/>
      <c r="F79" s="466"/>
      <c r="G79" s="466"/>
      <c r="H79" s="466"/>
      <c r="I79" s="466"/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6"/>
      <c r="X79" s="466"/>
      <c r="Y79" s="466"/>
      <c r="Z79" s="466"/>
      <c r="AA79" s="466"/>
      <c r="AB79" s="466"/>
      <c r="AC79" s="466"/>
      <c r="AD79" s="466"/>
      <c r="AE79" s="466"/>
      <c r="AF79" s="466"/>
      <c r="AG79" s="466"/>
      <c r="AH79" s="466"/>
      <c r="AI79" s="35"/>
    </row>
    <row r="80" spans="1:35" s="124" customFormat="1" ht="15.75" x14ac:dyDescent="0.25">
      <c r="A80" s="466"/>
      <c r="B80" s="466"/>
      <c r="C80" s="222" t="s">
        <v>654</v>
      </c>
      <c r="D80" s="222"/>
      <c r="E80" s="222"/>
      <c r="F80" s="222"/>
      <c r="G80" s="222"/>
      <c r="H80" s="222"/>
      <c r="I80" s="222"/>
      <c r="J80" s="222"/>
      <c r="K80" s="466"/>
      <c r="L80" s="466"/>
      <c r="M80" s="466"/>
      <c r="N80" s="466"/>
      <c r="O80" s="466"/>
      <c r="P80" s="466"/>
      <c r="Q80" s="466"/>
      <c r="R80" s="466"/>
      <c r="S80" s="466"/>
      <c r="T80" s="466"/>
      <c r="U80" s="466"/>
      <c r="V80" s="466"/>
      <c r="W80" s="466"/>
      <c r="X80" s="466"/>
      <c r="Y80" s="466"/>
      <c r="Z80" s="466"/>
      <c r="AA80" s="466"/>
      <c r="AB80" s="466"/>
      <c r="AC80" s="466"/>
      <c r="AD80" s="466"/>
      <c r="AE80" s="466"/>
      <c r="AF80" s="466"/>
      <c r="AG80" s="466"/>
      <c r="AH80" s="466"/>
      <c r="AI80" s="35"/>
    </row>
    <row r="81" spans="1:554" s="124" customFormat="1" x14ac:dyDescent="0.25">
      <c r="A81" s="466"/>
      <c r="B81" s="466"/>
      <c r="C81" s="466"/>
      <c r="D81" s="466"/>
      <c r="E81" s="466"/>
      <c r="F81" s="466"/>
      <c r="G81" s="466"/>
      <c r="H81" s="466"/>
      <c r="I81" s="466"/>
      <c r="J81" s="466"/>
      <c r="K81" s="466"/>
      <c r="L81" s="466"/>
      <c r="M81" s="466"/>
      <c r="N81" s="466"/>
      <c r="O81" s="466"/>
      <c r="P81" s="466"/>
      <c r="Q81" s="466"/>
      <c r="R81" s="466"/>
      <c r="S81" s="466"/>
      <c r="T81" s="466"/>
      <c r="U81" s="466"/>
      <c r="V81" s="466"/>
      <c r="W81" s="466"/>
      <c r="X81" s="466"/>
      <c r="Y81" s="466"/>
      <c r="Z81" s="466"/>
      <c r="AA81" s="466"/>
      <c r="AB81" s="466"/>
      <c r="AC81" s="466"/>
      <c r="AD81" s="466"/>
      <c r="AE81" s="466"/>
      <c r="AF81" s="466"/>
      <c r="AG81" s="466"/>
      <c r="AH81" s="466"/>
      <c r="AI81" s="35"/>
    </row>
    <row r="82" spans="1:554" s="124" customFormat="1" ht="15.75" customHeight="1" x14ac:dyDescent="0.25">
      <c r="A82" s="466"/>
      <c r="B82" s="466"/>
      <c r="C82" s="466"/>
      <c r="D82" s="466"/>
      <c r="E82" s="466"/>
      <c r="F82" s="466"/>
      <c r="G82" s="466"/>
      <c r="H82" s="466"/>
      <c r="I82" s="466"/>
      <c r="J82" s="466"/>
      <c r="K82" s="466"/>
      <c r="L82" s="466"/>
      <c r="M82" s="466"/>
      <c r="N82" s="466"/>
      <c r="O82" s="466"/>
      <c r="P82" s="466"/>
      <c r="Q82" s="466"/>
      <c r="R82" s="466"/>
      <c r="S82" s="466"/>
      <c r="T82" s="466"/>
      <c r="U82" s="466"/>
      <c r="V82" s="466"/>
      <c r="W82" s="466"/>
      <c r="X82" s="466"/>
      <c r="Y82" s="466"/>
      <c r="Z82" s="466"/>
      <c r="AA82" s="466"/>
      <c r="AB82" s="466"/>
      <c r="AC82" s="466"/>
      <c r="AD82" s="466"/>
      <c r="AE82" s="466"/>
      <c r="AF82" s="466"/>
      <c r="AG82" s="466"/>
      <c r="AH82" s="466"/>
      <c r="AI82" s="35"/>
    </row>
    <row r="83" spans="1:554" s="124" customFormat="1" ht="18.75" customHeight="1" x14ac:dyDescent="0.25">
      <c r="A83" s="466"/>
      <c r="B83" s="466"/>
      <c r="C83" s="466"/>
      <c r="D83" s="466"/>
      <c r="E83" s="466"/>
      <c r="F83" s="466"/>
      <c r="G83" s="466"/>
      <c r="H83" s="466"/>
      <c r="I83" s="466"/>
      <c r="J83" s="466"/>
      <c r="K83" s="466"/>
      <c r="L83" s="466"/>
      <c r="M83" s="466"/>
      <c r="N83" s="466"/>
      <c r="O83" s="466"/>
      <c r="P83" s="466"/>
      <c r="Q83" s="466"/>
      <c r="R83" s="466"/>
      <c r="S83" s="466"/>
      <c r="T83" s="466"/>
      <c r="U83" s="466"/>
      <c r="V83" s="466"/>
      <c r="W83" s="466"/>
      <c r="X83" s="466"/>
      <c r="Y83" s="466"/>
      <c r="Z83" s="466"/>
      <c r="AA83" s="466"/>
      <c r="AB83" s="466"/>
      <c r="AC83" s="466"/>
      <c r="AD83" s="466"/>
      <c r="AE83" s="466"/>
      <c r="AF83" s="466"/>
      <c r="AG83" s="466"/>
      <c r="AH83" s="466"/>
      <c r="AI83" s="466"/>
      <c r="AJ83" s="466"/>
      <c r="AK83" s="466"/>
      <c r="AL83" s="466"/>
      <c r="AM83" s="466"/>
      <c r="AN83" s="466"/>
      <c r="AO83" s="466"/>
      <c r="AP83" s="466"/>
      <c r="AQ83" s="466"/>
      <c r="AR83" s="466"/>
      <c r="AS83" s="466"/>
      <c r="AT83" s="466"/>
      <c r="AU83" s="466"/>
      <c r="AV83" s="466"/>
      <c r="AW83" s="466"/>
      <c r="AX83" s="466"/>
      <c r="AY83" s="466"/>
      <c r="AZ83" s="466"/>
      <c r="BA83" s="466"/>
      <c r="BB83" s="466"/>
    </row>
    <row r="84" spans="1:554" s="124" customFormat="1" ht="27.75" customHeight="1" x14ac:dyDescent="0.25">
      <c r="A84" s="2017" t="s">
        <v>0</v>
      </c>
      <c r="B84" s="2020"/>
      <c r="C84" s="2017" t="s">
        <v>184</v>
      </c>
      <c r="D84" s="2017" t="s">
        <v>54</v>
      </c>
      <c r="E84" s="2017" t="s">
        <v>55</v>
      </c>
      <c r="F84" s="2017" t="s">
        <v>56</v>
      </c>
      <c r="G84" s="2017" t="s">
        <v>57</v>
      </c>
      <c r="H84" s="2017" t="s">
        <v>6</v>
      </c>
      <c r="I84" s="1300"/>
      <c r="J84" s="1300"/>
      <c r="K84" s="1989" t="s">
        <v>558</v>
      </c>
      <c r="L84" s="1990"/>
      <c r="M84" s="615"/>
      <c r="N84" s="615"/>
      <c r="O84" s="1987" t="s">
        <v>457</v>
      </c>
      <c r="P84" s="2009" t="s">
        <v>332</v>
      </c>
      <c r="Q84" s="1987" t="s">
        <v>333</v>
      </c>
      <c r="R84" s="2003" t="s">
        <v>313</v>
      </c>
      <c r="S84" s="1987" t="s">
        <v>554</v>
      </c>
      <c r="T84" s="1987" t="s">
        <v>175</v>
      </c>
      <c r="U84" s="1987" t="s">
        <v>183</v>
      </c>
      <c r="V84" s="2108" t="s">
        <v>182</v>
      </c>
      <c r="W84" s="2277" t="s">
        <v>544</v>
      </c>
      <c r="X84" s="2277" t="s">
        <v>506</v>
      </c>
      <c r="Y84" s="2257" t="s">
        <v>566</v>
      </c>
      <c r="Z84" s="466"/>
      <c r="AA84" s="466"/>
      <c r="AB84" s="466"/>
      <c r="AC84" s="466"/>
      <c r="AD84" s="466"/>
      <c r="AE84" s="466"/>
      <c r="AF84" s="466"/>
      <c r="AG84" s="466"/>
      <c r="AH84" s="466"/>
      <c r="AI84" s="466"/>
      <c r="AJ84" s="466"/>
      <c r="AK84" s="466"/>
      <c r="AL84" s="466"/>
      <c r="AM84" s="466"/>
      <c r="AN84" s="466"/>
      <c r="AO84" s="466"/>
      <c r="AP84" s="466"/>
      <c r="AQ84" s="466"/>
      <c r="AR84" s="466"/>
      <c r="AS84" s="466"/>
      <c r="AT84" s="466"/>
      <c r="AU84" s="466"/>
      <c r="AV84" s="466"/>
      <c r="AW84" s="466"/>
      <c r="AX84" s="466"/>
      <c r="AY84" s="466"/>
      <c r="AZ84" s="466"/>
      <c r="BA84" s="466"/>
      <c r="BB84" s="466"/>
    </row>
    <row r="85" spans="1:554" s="124" customFormat="1" ht="21" customHeight="1" x14ac:dyDescent="0.25">
      <c r="A85" s="2017"/>
      <c r="B85" s="2021"/>
      <c r="C85" s="2017"/>
      <c r="D85" s="2017"/>
      <c r="E85" s="2017"/>
      <c r="F85" s="2017"/>
      <c r="G85" s="2017"/>
      <c r="H85" s="2017"/>
      <c r="I85" s="1301"/>
      <c r="J85" s="1301"/>
      <c r="K85" s="150" t="s">
        <v>15</v>
      </c>
      <c r="L85" s="1299" t="s">
        <v>16</v>
      </c>
      <c r="M85" s="1045"/>
      <c r="N85" s="1045"/>
      <c r="O85" s="1988"/>
      <c r="P85" s="2009"/>
      <c r="Q85" s="1988"/>
      <c r="R85" s="2004"/>
      <c r="S85" s="1988"/>
      <c r="T85" s="1988"/>
      <c r="U85" s="1988"/>
      <c r="V85" s="2108"/>
      <c r="W85" s="2277"/>
      <c r="X85" s="2277"/>
      <c r="Y85" s="2258"/>
      <c r="Z85" s="466"/>
      <c r="AA85" s="466"/>
      <c r="AB85" s="466"/>
      <c r="AC85" s="466"/>
      <c r="AD85" s="466"/>
      <c r="AE85" s="466"/>
      <c r="AF85" s="466"/>
      <c r="AG85" s="466"/>
      <c r="AH85" s="466"/>
      <c r="AI85" s="466"/>
      <c r="AJ85" s="466"/>
      <c r="AK85" s="466"/>
      <c r="AL85" s="466"/>
      <c r="AM85" s="466"/>
      <c r="AN85" s="466"/>
      <c r="AO85" s="466"/>
      <c r="AP85" s="466"/>
      <c r="AQ85" s="466"/>
      <c r="AR85" s="466"/>
      <c r="AS85" s="466"/>
      <c r="AT85" s="466"/>
      <c r="AU85" s="466"/>
      <c r="AV85" s="466"/>
      <c r="AW85" s="466"/>
      <c r="AX85" s="466"/>
      <c r="AY85" s="466"/>
      <c r="AZ85" s="466"/>
      <c r="BA85" s="466"/>
      <c r="BB85" s="466"/>
    </row>
    <row r="86" spans="1:554" x14ac:dyDescent="0.25">
      <c r="A86" s="331">
        <v>1</v>
      </c>
      <c r="B86" s="331"/>
      <c r="C86" s="332" t="s">
        <v>29</v>
      </c>
      <c r="D86" s="331">
        <v>1985</v>
      </c>
      <c r="E86" s="331">
        <v>4</v>
      </c>
      <c r="F86" s="331">
        <v>48</v>
      </c>
      <c r="G86" s="336">
        <v>106</v>
      </c>
      <c r="H86" s="325">
        <v>2625.8</v>
      </c>
      <c r="I86" s="1052"/>
      <c r="J86" s="1052"/>
      <c r="K86" s="338">
        <v>40017.360000000001</v>
      </c>
      <c r="L86" s="338">
        <v>36407.360000000001</v>
      </c>
      <c r="M86" s="1055"/>
      <c r="N86" s="1055"/>
      <c r="O86" s="61">
        <f>P86+Q86+R86+S86</f>
        <v>35459.120209957699</v>
      </c>
      <c r="P86" s="322">
        <v>262.22000000000003</v>
      </c>
      <c r="Q86" s="313">
        <f>709.5/16754.38*H86</f>
        <v>111.19510838359881</v>
      </c>
      <c r="R86" s="313">
        <f>196344.22/2115.5*X86</f>
        <v>29189.438520444339</v>
      </c>
      <c r="S86" s="313">
        <f>R86*0.202</f>
        <v>5896.2665811297566</v>
      </c>
      <c r="T86" s="313">
        <f>K86-O86</f>
        <v>4558.239790042302</v>
      </c>
      <c r="U86" s="313">
        <f>L86/K86*100</f>
        <v>90.978915150824548</v>
      </c>
      <c r="V86" s="313">
        <f>O86/H86/6</f>
        <v>2.2506867881507664</v>
      </c>
      <c r="W86" s="313">
        <v>2.54</v>
      </c>
      <c r="X86" s="194">
        <v>314.5</v>
      </c>
      <c r="Y86" s="1081">
        <f>K86-L86</f>
        <v>3610</v>
      </c>
      <c r="Z86" s="466"/>
      <c r="AA86" s="466"/>
      <c r="AB86" s="466"/>
      <c r="AC86" s="466"/>
      <c r="AD86" s="466"/>
      <c r="AE86" s="466"/>
      <c r="AF86" s="466"/>
      <c r="AG86" s="466"/>
      <c r="AH86" s="466"/>
      <c r="AI86" s="466"/>
      <c r="AJ86" s="466"/>
      <c r="AK86" s="466"/>
      <c r="AL86" s="466"/>
      <c r="AM86" s="466"/>
      <c r="AN86" s="466"/>
      <c r="AO86" s="466"/>
      <c r="AP86" s="466"/>
      <c r="AQ86" s="466"/>
      <c r="AR86" s="466"/>
      <c r="AS86" s="466"/>
      <c r="AT86" s="466"/>
      <c r="AU86" s="466"/>
      <c r="AV86" s="466"/>
      <c r="AW86" s="466"/>
      <c r="AX86" s="466"/>
      <c r="AY86" s="466"/>
      <c r="AZ86" s="466"/>
      <c r="BA86" s="466"/>
      <c r="BB86" s="466"/>
    </row>
    <row r="87" spans="1:554" x14ac:dyDescent="0.25">
      <c r="A87" s="331">
        <v>2</v>
      </c>
      <c r="B87" s="331"/>
      <c r="C87" s="332" t="s">
        <v>35</v>
      </c>
      <c r="D87" s="331">
        <v>1978</v>
      </c>
      <c r="E87" s="331">
        <v>3</v>
      </c>
      <c r="F87" s="331">
        <v>24</v>
      </c>
      <c r="G87" s="336">
        <v>68</v>
      </c>
      <c r="H87" s="325">
        <v>1443.9</v>
      </c>
      <c r="I87" s="1052"/>
      <c r="J87" s="1052"/>
      <c r="K87" s="338">
        <v>22091.94</v>
      </c>
      <c r="L87" s="338">
        <v>21553.88</v>
      </c>
      <c r="M87" s="1055"/>
      <c r="N87" s="1055"/>
      <c r="O87" s="61">
        <f t="shared" ref="O87:O92" si="28">P87+Q87+R87+S87</f>
        <v>19946.816626292668</v>
      </c>
      <c r="P87" s="322">
        <v>262.22000000000003</v>
      </c>
      <c r="Q87" s="313">
        <f t="shared" ref="Q87:Q92" si="29">709.5/16754.38*H87</f>
        <v>61.145028941685702</v>
      </c>
      <c r="R87" s="313">
        <f t="shared" ref="R87:R92" si="30">196344.22/2115.5*X87</f>
        <v>16325.666886315292</v>
      </c>
      <c r="S87" s="313">
        <f t="shared" ref="S87:S92" si="31">R87*0.202</f>
        <v>3297.7847110356893</v>
      </c>
      <c r="T87" s="313">
        <f t="shared" ref="T87:T92" si="32">K87-O87</f>
        <v>2145.1233737073308</v>
      </c>
      <c r="U87" s="313">
        <f t="shared" ref="U87:U93" si="33">L87/K87*100</f>
        <v>97.564451107508006</v>
      </c>
      <c r="V87" s="313">
        <f t="shared" ref="V87:V93" si="34">O87/H87/6</f>
        <v>2.3024236011603603</v>
      </c>
      <c r="W87" s="313">
        <v>2.5499999999999998</v>
      </c>
      <c r="X87" s="194">
        <v>175.9</v>
      </c>
      <c r="Y87" s="1081">
        <f t="shared" ref="Y87:Y92" si="35">K87-L87</f>
        <v>538.05999999999767</v>
      </c>
      <c r="Z87" s="466"/>
      <c r="AA87" s="466"/>
      <c r="AB87" s="466"/>
      <c r="AC87" s="466"/>
      <c r="AD87" s="466"/>
      <c r="AE87" s="466"/>
      <c r="AF87" s="466"/>
      <c r="AG87" s="466"/>
      <c r="AH87" s="466"/>
      <c r="AI87" s="466"/>
      <c r="AJ87" s="466"/>
      <c r="AK87" s="466"/>
      <c r="AL87" s="466"/>
      <c r="AM87" s="466"/>
      <c r="AN87" s="466"/>
      <c r="AO87" s="466"/>
      <c r="AP87" s="466"/>
      <c r="AQ87" s="466"/>
      <c r="AR87" s="466"/>
      <c r="AS87" s="466"/>
      <c r="AT87" s="466"/>
      <c r="AU87" s="466"/>
      <c r="AV87" s="466"/>
      <c r="AW87" s="466"/>
      <c r="AX87" s="466"/>
      <c r="AY87" s="466"/>
      <c r="AZ87" s="466"/>
      <c r="BA87" s="466"/>
      <c r="BB87" s="466"/>
    </row>
    <row r="88" spans="1:554" x14ac:dyDescent="0.25">
      <c r="A88" s="331">
        <v>3</v>
      </c>
      <c r="B88" s="331"/>
      <c r="C88" s="332" t="s">
        <v>36</v>
      </c>
      <c r="D88" s="331">
        <v>1979</v>
      </c>
      <c r="E88" s="331">
        <v>5</v>
      </c>
      <c r="F88" s="331">
        <v>60</v>
      </c>
      <c r="G88" s="126">
        <v>181</v>
      </c>
      <c r="H88" s="325">
        <v>3240.38</v>
      </c>
      <c r="I88" s="1052"/>
      <c r="J88" s="1052"/>
      <c r="K88" s="338">
        <v>49180.38</v>
      </c>
      <c r="L88" s="338">
        <v>48615</v>
      </c>
      <c r="M88" s="1055"/>
      <c r="N88" s="1055"/>
      <c r="O88" s="61">
        <f t="shared" si="28"/>
        <v>44700.309749364897</v>
      </c>
      <c r="P88" s="322">
        <v>474.47</v>
      </c>
      <c r="Q88" s="313">
        <f t="shared" si="29"/>
        <v>137.22081091630966</v>
      </c>
      <c r="R88" s="313">
        <f t="shared" si="30"/>
        <v>36679.383476246745</v>
      </c>
      <c r="S88" s="313">
        <f t="shared" si="31"/>
        <v>7409.2354622018429</v>
      </c>
      <c r="T88" s="313">
        <f t="shared" si="32"/>
        <v>4480.0702506351008</v>
      </c>
      <c r="U88" s="313">
        <f t="shared" si="33"/>
        <v>98.85039521858107</v>
      </c>
      <c r="V88" s="313">
        <f t="shared" si="34"/>
        <v>2.2991289987267387</v>
      </c>
      <c r="W88" s="313">
        <v>2.5299999999999998</v>
      </c>
      <c r="X88" s="194">
        <v>395.2</v>
      </c>
      <c r="Y88" s="1081">
        <f t="shared" si="35"/>
        <v>565.37999999999738</v>
      </c>
      <c r="Z88" s="466"/>
      <c r="AA88" s="466"/>
      <c r="AB88" s="466"/>
      <c r="AC88" s="466"/>
      <c r="AD88" s="466"/>
      <c r="AE88" s="466"/>
      <c r="AF88" s="466"/>
      <c r="AG88" s="466"/>
      <c r="AH88" s="466"/>
      <c r="AI88" s="466"/>
      <c r="AJ88" s="466"/>
      <c r="AK88" s="466"/>
      <c r="AL88" s="466"/>
      <c r="AM88" s="466"/>
      <c r="AN88" s="466"/>
      <c r="AO88" s="466"/>
      <c r="AP88" s="466"/>
      <c r="AQ88" s="466"/>
      <c r="AR88" s="466"/>
      <c r="AS88" s="466"/>
      <c r="AT88" s="466"/>
      <c r="AU88" s="466"/>
      <c r="AV88" s="466"/>
      <c r="AW88" s="466"/>
      <c r="AX88" s="466"/>
      <c r="AY88" s="466"/>
      <c r="AZ88" s="466"/>
      <c r="BA88" s="466"/>
      <c r="BB88" s="466"/>
    </row>
    <row r="89" spans="1:554" x14ac:dyDescent="0.25">
      <c r="A89" s="331">
        <v>4</v>
      </c>
      <c r="B89" s="331"/>
      <c r="C89" s="332" t="s">
        <v>37</v>
      </c>
      <c r="D89" s="331">
        <v>1981</v>
      </c>
      <c r="E89" s="331">
        <v>5</v>
      </c>
      <c r="F89" s="331">
        <v>60</v>
      </c>
      <c r="G89" s="336">
        <v>163</v>
      </c>
      <c r="H89" s="325">
        <v>3236.3</v>
      </c>
      <c r="I89" s="1052"/>
      <c r="J89" s="1052"/>
      <c r="K89" s="338">
        <v>49133.26</v>
      </c>
      <c r="L89" s="338">
        <v>48167.98</v>
      </c>
      <c r="M89" s="1055"/>
      <c r="N89" s="1055"/>
      <c r="O89" s="61">
        <f t="shared" si="28"/>
        <v>44497.788756577494</v>
      </c>
      <c r="P89" s="322">
        <v>361.37</v>
      </c>
      <c r="Q89" s="313">
        <f t="shared" si="29"/>
        <v>137.04803460348876</v>
      </c>
      <c r="R89" s="313">
        <f t="shared" si="30"/>
        <v>36605.133712124793</v>
      </c>
      <c r="S89" s="313">
        <f t="shared" si="31"/>
        <v>7394.2370098492083</v>
      </c>
      <c r="T89" s="313">
        <f t="shared" si="32"/>
        <v>4635.4712434225075</v>
      </c>
      <c r="U89" s="313">
        <f t="shared" si="33"/>
        <v>98.035383770586364</v>
      </c>
      <c r="V89" s="313">
        <f t="shared" si="34"/>
        <v>2.2915978512796245</v>
      </c>
      <c r="W89" s="313">
        <v>2.5299999999999998</v>
      </c>
      <c r="X89" s="194">
        <v>394.4</v>
      </c>
      <c r="Y89" s="1081">
        <f t="shared" si="35"/>
        <v>965.27999999999884</v>
      </c>
      <c r="Z89" s="466"/>
      <c r="AA89" s="466"/>
      <c r="AB89" s="466"/>
      <c r="AC89" s="466"/>
      <c r="AD89" s="466"/>
      <c r="AE89" s="466"/>
      <c r="AF89" s="466"/>
      <c r="AG89" s="466"/>
      <c r="AH89" s="466"/>
      <c r="AI89" s="466"/>
      <c r="AJ89" s="466"/>
      <c r="AK89" s="466"/>
      <c r="AL89" s="466"/>
      <c r="AM89" s="466"/>
      <c r="AN89" s="466"/>
      <c r="AO89" s="466"/>
      <c r="AP89" s="466"/>
      <c r="AQ89" s="466"/>
      <c r="AR89" s="466"/>
      <c r="AS89" s="466"/>
      <c r="AT89" s="466"/>
      <c r="AU89" s="466"/>
      <c r="AV89" s="466"/>
      <c r="AW89" s="466"/>
      <c r="AX89" s="466"/>
      <c r="AY89" s="466"/>
      <c r="AZ89" s="466"/>
      <c r="BA89" s="466"/>
      <c r="BB89" s="466"/>
    </row>
    <row r="90" spans="1:554" x14ac:dyDescent="0.25">
      <c r="A90" s="331">
        <v>5</v>
      </c>
      <c r="B90" s="331"/>
      <c r="C90" s="332" t="s">
        <v>38</v>
      </c>
      <c r="D90" s="331">
        <v>1981</v>
      </c>
      <c r="E90" s="331">
        <v>5</v>
      </c>
      <c r="F90" s="331">
        <v>60</v>
      </c>
      <c r="G90" s="126">
        <v>184</v>
      </c>
      <c r="H90" s="325">
        <v>3273.8</v>
      </c>
      <c r="I90" s="1052"/>
      <c r="J90" s="1052"/>
      <c r="K90" s="338">
        <v>49154.94</v>
      </c>
      <c r="L90" s="338">
        <v>46208.27</v>
      </c>
      <c r="M90" s="1055"/>
      <c r="N90" s="1055"/>
      <c r="O90" s="61">
        <f t="shared" si="28"/>
        <v>44446.452530624643</v>
      </c>
      <c r="P90" s="322">
        <v>408.85</v>
      </c>
      <c r="Q90" s="313">
        <f t="shared" si="29"/>
        <v>138.63605218456308</v>
      </c>
      <c r="R90" s="313">
        <f t="shared" si="30"/>
        <v>36521.602727487589</v>
      </c>
      <c r="S90" s="313">
        <f t="shared" si="31"/>
        <v>7377.3637509524933</v>
      </c>
      <c r="T90" s="313">
        <f t="shared" si="32"/>
        <v>4708.4874693753591</v>
      </c>
      <c r="U90" s="313">
        <f t="shared" si="33"/>
        <v>94.005343104884247</v>
      </c>
      <c r="V90" s="313">
        <f t="shared" si="34"/>
        <v>2.2627350749701995</v>
      </c>
      <c r="W90" s="313">
        <v>2.5299999999999998</v>
      </c>
      <c r="X90" s="194">
        <v>393.5</v>
      </c>
      <c r="Y90" s="1081">
        <f t="shared" si="35"/>
        <v>2946.6700000000055</v>
      </c>
      <c r="Z90" s="466"/>
      <c r="AA90" s="466"/>
      <c r="AB90" s="466"/>
      <c r="AC90" s="466"/>
      <c r="AD90" s="466"/>
      <c r="AE90" s="466"/>
      <c r="AF90" s="466"/>
      <c r="AG90" s="466"/>
      <c r="AH90" s="466"/>
      <c r="AI90" s="466"/>
      <c r="AJ90" s="466"/>
      <c r="AK90" s="466"/>
      <c r="AL90" s="466"/>
      <c r="AM90" s="466"/>
      <c r="AN90" s="466"/>
      <c r="AO90" s="466"/>
      <c r="AP90" s="466"/>
      <c r="AQ90" s="466"/>
      <c r="AR90" s="466"/>
      <c r="AS90" s="466"/>
      <c r="AT90" s="466"/>
      <c r="AU90" s="466"/>
      <c r="AV90" s="466"/>
      <c r="AW90" s="466"/>
      <c r="AX90" s="466"/>
      <c r="AY90" s="466"/>
      <c r="AZ90" s="466"/>
      <c r="BA90" s="466"/>
      <c r="BB90" s="466"/>
      <c r="BC90" s="250"/>
      <c r="BD90" s="250"/>
      <c r="BE90" s="250"/>
      <c r="BF90" s="250"/>
      <c r="BG90" s="250"/>
      <c r="BH90" s="250"/>
      <c r="BI90" s="250"/>
      <c r="BJ90" s="250"/>
      <c r="BK90" s="250"/>
      <c r="BL90" s="250"/>
      <c r="BM90" s="250"/>
      <c r="BN90" s="250"/>
      <c r="BO90" s="250"/>
      <c r="BP90" s="250"/>
      <c r="BQ90" s="250"/>
      <c r="BR90" s="250"/>
      <c r="BS90" s="250"/>
      <c r="BT90" s="250"/>
      <c r="BU90" s="250"/>
      <c r="BV90" s="250"/>
      <c r="BW90" s="250"/>
      <c r="BX90" s="250"/>
      <c r="BY90" s="250"/>
      <c r="BZ90" s="250"/>
      <c r="CA90" s="250"/>
      <c r="CB90" s="250"/>
      <c r="CC90" s="250"/>
      <c r="CD90" s="250"/>
      <c r="CE90" s="250"/>
      <c r="CF90" s="250"/>
      <c r="CG90" s="250"/>
      <c r="CH90" s="250"/>
      <c r="CI90" s="250"/>
      <c r="CJ90" s="250"/>
      <c r="CK90" s="250"/>
      <c r="CL90" s="250"/>
      <c r="CM90" s="250"/>
      <c r="CN90" s="250"/>
      <c r="CO90" s="250"/>
      <c r="CP90" s="250"/>
      <c r="CQ90" s="250"/>
      <c r="CR90" s="250"/>
      <c r="CS90" s="250"/>
      <c r="CT90" s="250"/>
      <c r="CU90" s="250"/>
      <c r="CV90" s="250"/>
      <c r="CW90" s="250"/>
      <c r="CX90" s="250"/>
      <c r="CY90" s="250"/>
      <c r="CZ90" s="250"/>
      <c r="DA90" s="250"/>
      <c r="DB90" s="250"/>
      <c r="DC90" s="250"/>
      <c r="DD90" s="250"/>
      <c r="DE90" s="250"/>
      <c r="DF90" s="250"/>
      <c r="DG90" s="250"/>
      <c r="DH90" s="250"/>
      <c r="DI90" s="250"/>
      <c r="DJ90" s="250"/>
      <c r="DK90" s="250"/>
      <c r="DL90" s="250"/>
      <c r="DM90" s="250"/>
      <c r="DN90" s="250"/>
      <c r="DO90" s="250"/>
      <c r="DP90" s="250"/>
      <c r="DQ90" s="250"/>
      <c r="DR90" s="250"/>
      <c r="DS90" s="250"/>
      <c r="DT90" s="250"/>
      <c r="DU90" s="250"/>
      <c r="DV90" s="250"/>
      <c r="DW90" s="250"/>
      <c r="DX90" s="250"/>
      <c r="DY90" s="250"/>
      <c r="DZ90" s="250"/>
      <c r="EA90" s="250"/>
      <c r="EB90" s="250"/>
      <c r="EC90" s="250"/>
      <c r="ED90" s="250"/>
      <c r="EE90" s="250"/>
      <c r="EF90" s="250"/>
      <c r="EG90" s="250"/>
      <c r="EH90" s="250"/>
      <c r="EI90" s="250"/>
      <c r="EJ90" s="250"/>
      <c r="EK90" s="250"/>
      <c r="EL90" s="250"/>
      <c r="EM90" s="250"/>
      <c r="EN90" s="250"/>
      <c r="EO90" s="250"/>
      <c r="EP90" s="250"/>
      <c r="EQ90" s="250"/>
      <c r="ER90" s="250"/>
      <c r="ES90" s="250"/>
      <c r="ET90" s="250"/>
      <c r="EU90" s="250"/>
      <c r="EV90" s="250"/>
      <c r="EW90" s="250"/>
      <c r="EX90" s="250"/>
      <c r="EY90" s="250"/>
      <c r="EZ90" s="250"/>
      <c r="FA90" s="250"/>
      <c r="FB90" s="250"/>
      <c r="FC90" s="250"/>
      <c r="FD90" s="250"/>
      <c r="FE90" s="250"/>
      <c r="FF90" s="250"/>
      <c r="FG90" s="250"/>
      <c r="FH90" s="250"/>
      <c r="FI90" s="250"/>
      <c r="FJ90" s="250"/>
      <c r="FK90" s="250"/>
      <c r="FL90" s="250"/>
      <c r="FM90" s="250"/>
      <c r="FN90" s="250"/>
      <c r="FO90" s="250"/>
      <c r="FP90" s="250"/>
      <c r="FQ90" s="250"/>
      <c r="FR90" s="250"/>
      <c r="FS90" s="250"/>
      <c r="FT90" s="250"/>
      <c r="FU90" s="250"/>
      <c r="FV90" s="250"/>
      <c r="FW90" s="250"/>
      <c r="FX90" s="250"/>
      <c r="FY90" s="250"/>
      <c r="FZ90" s="250"/>
      <c r="GA90" s="250"/>
      <c r="GB90" s="250"/>
      <c r="GC90" s="250"/>
      <c r="GD90" s="250"/>
      <c r="GE90" s="250"/>
      <c r="GF90" s="250"/>
      <c r="GG90" s="250"/>
      <c r="GH90" s="250"/>
      <c r="GI90" s="250"/>
      <c r="GJ90" s="250"/>
      <c r="GK90" s="250"/>
      <c r="GL90" s="250"/>
      <c r="GM90" s="250"/>
      <c r="GN90" s="250"/>
      <c r="GO90" s="250"/>
      <c r="GP90" s="250"/>
      <c r="GQ90" s="250"/>
      <c r="GR90" s="250"/>
      <c r="GS90" s="250"/>
      <c r="GT90" s="250"/>
      <c r="GU90" s="250"/>
      <c r="GV90" s="250"/>
      <c r="GW90" s="250"/>
      <c r="GX90" s="250"/>
      <c r="GY90" s="250"/>
      <c r="GZ90" s="250"/>
      <c r="HA90" s="250"/>
      <c r="HB90" s="250"/>
      <c r="HC90" s="250"/>
      <c r="HD90" s="250"/>
      <c r="HE90" s="250"/>
      <c r="HF90" s="250"/>
      <c r="HG90" s="250"/>
      <c r="HH90" s="250"/>
      <c r="HI90" s="250"/>
      <c r="HJ90" s="250"/>
      <c r="HK90" s="250"/>
      <c r="HL90" s="250"/>
      <c r="HM90" s="250"/>
      <c r="HN90" s="250"/>
      <c r="HO90" s="250"/>
      <c r="HP90" s="250"/>
      <c r="HQ90" s="250"/>
      <c r="HR90" s="250"/>
      <c r="HS90" s="250"/>
      <c r="HT90" s="250"/>
      <c r="HU90" s="250"/>
      <c r="HV90" s="250"/>
      <c r="HW90" s="250"/>
      <c r="HX90" s="250"/>
      <c r="HY90" s="250"/>
      <c r="HZ90" s="250"/>
      <c r="IA90" s="250"/>
      <c r="IB90" s="250"/>
      <c r="IC90" s="250"/>
      <c r="ID90" s="250"/>
      <c r="IE90" s="250"/>
      <c r="IF90" s="250"/>
      <c r="IG90" s="250"/>
      <c r="IH90" s="250"/>
      <c r="II90" s="250"/>
      <c r="IJ90" s="250"/>
      <c r="IK90" s="250"/>
      <c r="IL90" s="250"/>
      <c r="IM90" s="250"/>
      <c r="IN90" s="250"/>
      <c r="IO90" s="250"/>
      <c r="IP90" s="250"/>
      <c r="IQ90" s="250"/>
      <c r="IR90" s="250"/>
      <c r="IS90" s="250"/>
      <c r="IT90" s="250"/>
      <c r="IU90" s="250"/>
      <c r="IV90" s="250"/>
      <c r="IW90" s="250"/>
      <c r="IX90" s="250"/>
      <c r="IY90" s="250"/>
      <c r="IZ90" s="250"/>
      <c r="JA90" s="250"/>
      <c r="JB90" s="250"/>
      <c r="JC90" s="250"/>
      <c r="JD90" s="250"/>
      <c r="JE90" s="250"/>
      <c r="JF90" s="250"/>
      <c r="JG90" s="250"/>
      <c r="JH90" s="250"/>
      <c r="JI90" s="250"/>
      <c r="JJ90" s="250"/>
      <c r="JK90" s="250"/>
      <c r="JL90" s="250"/>
      <c r="JM90" s="250"/>
      <c r="JN90" s="250"/>
      <c r="JO90" s="250"/>
      <c r="JP90" s="250"/>
      <c r="JQ90" s="250"/>
      <c r="JR90" s="250"/>
      <c r="JS90" s="250"/>
      <c r="JT90" s="250"/>
      <c r="JU90" s="250"/>
      <c r="JV90" s="250"/>
      <c r="JW90" s="250"/>
      <c r="JX90" s="250"/>
      <c r="JY90" s="250"/>
      <c r="JZ90" s="250"/>
      <c r="KA90" s="250"/>
      <c r="KB90" s="250"/>
      <c r="KC90" s="250"/>
      <c r="KD90" s="250"/>
      <c r="KE90" s="250"/>
      <c r="KF90" s="250"/>
      <c r="KG90" s="250"/>
      <c r="KH90" s="250"/>
      <c r="KI90" s="250"/>
      <c r="KJ90" s="250"/>
      <c r="KK90" s="250"/>
      <c r="KL90" s="250"/>
      <c r="KM90" s="250"/>
      <c r="KN90" s="250"/>
      <c r="KO90" s="250"/>
      <c r="KP90" s="250"/>
      <c r="KQ90" s="250"/>
      <c r="KR90" s="250"/>
      <c r="KS90" s="250"/>
      <c r="KT90" s="250"/>
      <c r="KU90" s="250"/>
      <c r="KV90" s="250"/>
      <c r="KW90" s="250"/>
      <c r="KX90" s="250"/>
      <c r="KY90" s="250"/>
      <c r="KZ90" s="250"/>
      <c r="LA90" s="250"/>
      <c r="LB90" s="250"/>
      <c r="LC90" s="250"/>
      <c r="LD90" s="250"/>
      <c r="LE90" s="250"/>
      <c r="LF90" s="250"/>
      <c r="LG90" s="250"/>
      <c r="LH90" s="250"/>
      <c r="LI90" s="250"/>
      <c r="LJ90" s="250"/>
      <c r="LK90" s="250"/>
      <c r="LL90" s="250"/>
      <c r="LM90" s="250"/>
      <c r="LN90" s="250"/>
      <c r="LO90" s="250"/>
      <c r="LP90" s="250"/>
      <c r="LQ90" s="250"/>
      <c r="LR90" s="250"/>
      <c r="LS90" s="250"/>
      <c r="LT90" s="250"/>
      <c r="LU90" s="250"/>
      <c r="LV90" s="250"/>
      <c r="LW90" s="250"/>
      <c r="LX90" s="250"/>
      <c r="LY90" s="250"/>
      <c r="LZ90" s="250"/>
      <c r="MA90" s="250"/>
      <c r="MB90" s="250"/>
      <c r="MC90" s="250"/>
      <c r="MD90" s="250"/>
      <c r="ME90" s="250"/>
      <c r="MF90" s="250"/>
      <c r="MG90" s="250"/>
      <c r="MH90" s="250"/>
      <c r="MI90" s="250"/>
      <c r="MJ90" s="250"/>
      <c r="MK90" s="250"/>
      <c r="ML90" s="250"/>
      <c r="MM90" s="250"/>
      <c r="MN90" s="250"/>
      <c r="MO90" s="250"/>
      <c r="MP90" s="250"/>
      <c r="MQ90" s="250"/>
      <c r="MR90" s="250"/>
      <c r="MS90" s="250"/>
      <c r="MT90" s="250"/>
      <c r="MU90" s="250"/>
      <c r="MV90" s="250"/>
      <c r="MW90" s="250"/>
      <c r="MX90" s="250"/>
      <c r="MY90" s="250"/>
      <c r="MZ90" s="250"/>
      <c r="NA90" s="250"/>
      <c r="NB90" s="250"/>
      <c r="NC90" s="250"/>
      <c r="ND90" s="250"/>
      <c r="NE90" s="250"/>
      <c r="NF90" s="250"/>
      <c r="NG90" s="250"/>
      <c r="NH90" s="250"/>
      <c r="NI90" s="250"/>
      <c r="NJ90" s="250"/>
      <c r="NK90" s="250"/>
      <c r="NL90" s="250"/>
      <c r="NM90" s="250"/>
      <c r="NN90" s="250"/>
      <c r="NO90" s="250"/>
      <c r="NP90" s="250"/>
      <c r="NQ90" s="250"/>
      <c r="NR90" s="250"/>
      <c r="NS90" s="250"/>
      <c r="NT90" s="250"/>
      <c r="NU90" s="250"/>
      <c r="NV90" s="250"/>
      <c r="NW90" s="250"/>
      <c r="NX90" s="250"/>
      <c r="NY90" s="250"/>
      <c r="NZ90" s="250"/>
      <c r="OA90" s="250"/>
      <c r="OB90" s="250"/>
      <c r="OC90" s="250"/>
      <c r="OD90" s="250"/>
      <c r="OE90" s="250"/>
      <c r="OF90" s="250"/>
      <c r="OG90" s="250"/>
      <c r="OH90" s="250"/>
      <c r="OI90" s="250"/>
      <c r="OJ90" s="250"/>
      <c r="OK90" s="250"/>
      <c r="OL90" s="250"/>
      <c r="OM90" s="250"/>
      <c r="ON90" s="250"/>
      <c r="OO90" s="250"/>
      <c r="OP90" s="250"/>
      <c r="OQ90" s="250"/>
      <c r="OR90" s="250"/>
      <c r="OS90" s="250"/>
      <c r="OT90" s="250"/>
      <c r="OU90" s="250"/>
      <c r="OV90" s="250"/>
      <c r="OW90" s="250"/>
      <c r="OX90" s="250"/>
      <c r="OY90" s="250"/>
      <c r="OZ90" s="250"/>
      <c r="PA90" s="250"/>
      <c r="PB90" s="250"/>
      <c r="PC90" s="250"/>
      <c r="PD90" s="250"/>
      <c r="PE90" s="250"/>
      <c r="PF90" s="250"/>
      <c r="PG90" s="250"/>
      <c r="PH90" s="250"/>
      <c r="PI90" s="250"/>
      <c r="PJ90" s="250"/>
      <c r="PK90" s="250"/>
      <c r="PL90" s="250"/>
      <c r="PM90" s="250"/>
      <c r="PN90" s="250"/>
      <c r="PO90" s="250"/>
      <c r="PP90" s="250"/>
      <c r="PQ90" s="250"/>
      <c r="PR90" s="250"/>
      <c r="PS90" s="250"/>
      <c r="PT90" s="250"/>
      <c r="PU90" s="250"/>
      <c r="PV90" s="250"/>
      <c r="PW90" s="250"/>
      <c r="PX90" s="250"/>
      <c r="PY90" s="250"/>
      <c r="PZ90" s="250"/>
      <c r="QA90" s="250"/>
      <c r="QB90" s="250"/>
      <c r="QC90" s="250"/>
      <c r="QD90" s="250"/>
      <c r="QE90" s="250"/>
      <c r="QF90" s="250"/>
      <c r="QG90" s="250"/>
      <c r="QH90" s="250"/>
      <c r="QI90" s="250"/>
      <c r="QJ90" s="250"/>
      <c r="QK90" s="250"/>
      <c r="QL90" s="250"/>
      <c r="QM90" s="250"/>
      <c r="QN90" s="250"/>
      <c r="QO90" s="250"/>
      <c r="QP90" s="250"/>
      <c r="QQ90" s="250"/>
      <c r="QR90" s="250"/>
      <c r="QS90" s="250"/>
      <c r="QT90" s="250"/>
      <c r="QU90" s="250"/>
      <c r="QV90" s="250"/>
      <c r="QW90" s="250"/>
      <c r="QX90" s="250"/>
      <c r="QY90" s="250"/>
      <c r="QZ90" s="250"/>
      <c r="RA90" s="250"/>
      <c r="RB90" s="250"/>
      <c r="RC90" s="250"/>
      <c r="RD90" s="250"/>
      <c r="RE90" s="250"/>
      <c r="RF90" s="250"/>
      <c r="RG90" s="250"/>
      <c r="RH90" s="250"/>
      <c r="RI90" s="250"/>
      <c r="RJ90" s="250"/>
      <c r="RK90" s="250"/>
      <c r="RL90" s="250"/>
      <c r="RM90" s="250"/>
      <c r="RN90" s="250"/>
      <c r="RO90" s="250"/>
      <c r="RP90" s="250"/>
      <c r="RQ90" s="250"/>
      <c r="RR90" s="250"/>
      <c r="RS90" s="250"/>
      <c r="RT90" s="250"/>
      <c r="RU90" s="250"/>
      <c r="RV90" s="250"/>
      <c r="RW90" s="250"/>
      <c r="RX90" s="250"/>
      <c r="RY90" s="250"/>
      <c r="RZ90" s="250"/>
      <c r="SA90" s="250"/>
      <c r="SB90" s="250"/>
      <c r="SC90" s="250"/>
      <c r="SD90" s="250"/>
      <c r="SE90" s="250"/>
      <c r="SF90" s="250"/>
      <c r="SG90" s="250"/>
      <c r="SH90" s="250"/>
      <c r="SI90" s="250"/>
      <c r="SJ90" s="250"/>
      <c r="SK90" s="250"/>
      <c r="SL90" s="250"/>
      <c r="SM90" s="250"/>
      <c r="SN90" s="250"/>
      <c r="SO90" s="250"/>
      <c r="SP90" s="250"/>
      <c r="SQ90" s="250"/>
      <c r="SR90" s="250"/>
      <c r="SS90" s="250"/>
      <c r="ST90" s="250"/>
      <c r="SU90" s="250"/>
      <c r="SV90" s="250"/>
      <c r="SW90" s="250"/>
      <c r="SX90" s="250"/>
      <c r="SY90" s="250"/>
      <c r="SZ90" s="250"/>
      <c r="TA90" s="250"/>
      <c r="TB90" s="250"/>
      <c r="TC90" s="250"/>
      <c r="TD90" s="250"/>
      <c r="TE90" s="250"/>
      <c r="TF90" s="250"/>
      <c r="TG90" s="250"/>
      <c r="TH90" s="250"/>
      <c r="TI90" s="250"/>
      <c r="TJ90" s="250"/>
      <c r="TK90" s="250"/>
      <c r="TL90" s="250"/>
      <c r="TM90" s="250"/>
      <c r="TN90" s="250"/>
      <c r="TO90" s="250"/>
      <c r="TP90" s="250"/>
      <c r="TQ90" s="250"/>
      <c r="TR90" s="250"/>
      <c r="TS90" s="250"/>
      <c r="TT90" s="250"/>
      <c r="TU90" s="250"/>
      <c r="TV90" s="250"/>
      <c r="TW90" s="250"/>
      <c r="TX90" s="250"/>
      <c r="TY90" s="250"/>
      <c r="TZ90" s="250"/>
      <c r="UA90" s="250"/>
      <c r="UB90" s="250"/>
      <c r="UC90" s="250"/>
      <c r="UD90" s="250"/>
      <c r="UE90" s="250"/>
      <c r="UF90" s="250"/>
      <c r="UG90" s="250"/>
      <c r="UH90" s="250"/>
    </row>
    <row r="91" spans="1:554" x14ac:dyDescent="0.25">
      <c r="A91" s="331">
        <v>6</v>
      </c>
      <c r="B91" s="331"/>
      <c r="C91" s="332" t="s">
        <v>39</v>
      </c>
      <c r="D91" s="331">
        <v>1987</v>
      </c>
      <c r="E91" s="331">
        <v>3</v>
      </c>
      <c r="F91" s="331">
        <v>27</v>
      </c>
      <c r="G91" s="336">
        <v>72</v>
      </c>
      <c r="H91" s="325">
        <v>1466.1</v>
      </c>
      <c r="I91" s="1052"/>
      <c r="J91" s="1052"/>
      <c r="K91" s="338">
        <v>22422.6</v>
      </c>
      <c r="L91" s="338">
        <v>22485.27</v>
      </c>
      <c r="M91" s="1055"/>
      <c r="N91" s="1055"/>
      <c r="O91" s="61">
        <f t="shared" si="28"/>
        <v>24716.904936455801</v>
      </c>
      <c r="P91" s="322"/>
      <c r="Q91" s="313">
        <f t="shared" si="29"/>
        <v>62.085135349681693</v>
      </c>
      <c r="R91" s="313">
        <f t="shared" si="30"/>
        <v>20511.497338690617</v>
      </c>
      <c r="S91" s="313">
        <f t="shared" si="31"/>
        <v>4143.3224624155046</v>
      </c>
      <c r="T91" s="313">
        <f t="shared" si="32"/>
        <v>-2294.3049364558028</v>
      </c>
      <c r="U91" s="313">
        <f t="shared" si="33"/>
        <v>100.27949479542961</v>
      </c>
      <c r="V91" s="313">
        <f t="shared" si="34"/>
        <v>2.8098248114562221</v>
      </c>
      <c r="W91" s="313">
        <v>2.5499999999999998</v>
      </c>
      <c r="X91" s="194">
        <v>221</v>
      </c>
      <c r="Y91" s="1081">
        <f t="shared" si="35"/>
        <v>-62.670000000001892</v>
      </c>
      <c r="Z91" s="466"/>
      <c r="AA91" s="466"/>
      <c r="AB91" s="466"/>
      <c r="AC91" s="466"/>
      <c r="AD91" s="466"/>
      <c r="AE91" s="466"/>
      <c r="AF91" s="466"/>
      <c r="AG91" s="466"/>
      <c r="AH91" s="466"/>
      <c r="AI91" s="466"/>
      <c r="AJ91" s="466"/>
      <c r="AK91" s="466"/>
      <c r="AL91" s="466"/>
      <c r="AM91" s="466"/>
      <c r="AN91" s="466"/>
      <c r="AO91" s="466"/>
      <c r="AP91" s="466"/>
      <c r="AQ91" s="466"/>
      <c r="AR91" s="466"/>
      <c r="AS91" s="466"/>
      <c r="AT91" s="466"/>
      <c r="AU91" s="466"/>
      <c r="AV91" s="466"/>
      <c r="AW91" s="466"/>
      <c r="AX91" s="466"/>
      <c r="AY91" s="466"/>
      <c r="AZ91" s="466"/>
      <c r="BA91" s="466"/>
      <c r="BB91" s="466"/>
      <c r="BC91" s="250"/>
      <c r="BD91" s="250"/>
      <c r="BE91" s="250"/>
      <c r="BF91" s="250"/>
      <c r="BG91" s="250"/>
      <c r="BH91" s="250"/>
      <c r="BI91" s="250"/>
      <c r="BJ91" s="250"/>
      <c r="BK91" s="250"/>
      <c r="BL91" s="250"/>
      <c r="BM91" s="250"/>
      <c r="BN91" s="250"/>
      <c r="BO91" s="250"/>
      <c r="BP91" s="250"/>
      <c r="BQ91" s="250"/>
      <c r="BR91" s="250"/>
      <c r="BS91" s="250"/>
      <c r="BT91" s="250"/>
      <c r="BU91" s="250"/>
      <c r="BV91" s="250"/>
      <c r="BW91" s="250"/>
      <c r="BX91" s="250"/>
      <c r="BY91" s="250"/>
      <c r="BZ91" s="250"/>
      <c r="CA91" s="250"/>
      <c r="CB91" s="250"/>
      <c r="CC91" s="250"/>
      <c r="CD91" s="250"/>
      <c r="CE91" s="250"/>
      <c r="CF91" s="250"/>
      <c r="CG91" s="250"/>
      <c r="CH91" s="250"/>
      <c r="CI91" s="250"/>
      <c r="CJ91" s="250"/>
      <c r="CK91" s="250"/>
      <c r="CL91" s="250"/>
      <c r="CM91" s="250"/>
      <c r="CN91" s="250"/>
      <c r="CO91" s="250"/>
      <c r="CP91" s="250"/>
      <c r="CQ91" s="250"/>
      <c r="CR91" s="250"/>
      <c r="CS91" s="250"/>
      <c r="CT91" s="250"/>
      <c r="CU91" s="250"/>
      <c r="CV91" s="250"/>
      <c r="CW91" s="250"/>
      <c r="CX91" s="250"/>
      <c r="CY91" s="250"/>
      <c r="CZ91" s="250"/>
      <c r="DA91" s="250"/>
      <c r="DB91" s="250"/>
      <c r="DC91" s="250"/>
      <c r="DD91" s="250"/>
      <c r="DE91" s="250"/>
      <c r="DF91" s="250"/>
      <c r="DG91" s="250"/>
      <c r="DH91" s="250"/>
      <c r="DI91" s="250"/>
      <c r="DJ91" s="250"/>
      <c r="DK91" s="250"/>
      <c r="DL91" s="250"/>
      <c r="DM91" s="250"/>
      <c r="DN91" s="250"/>
      <c r="DO91" s="250"/>
      <c r="DP91" s="250"/>
      <c r="DQ91" s="250"/>
      <c r="DR91" s="250"/>
      <c r="DS91" s="250"/>
      <c r="DT91" s="250"/>
      <c r="DU91" s="250"/>
      <c r="DV91" s="250"/>
      <c r="DW91" s="250"/>
      <c r="DX91" s="250"/>
      <c r="DY91" s="250"/>
      <c r="DZ91" s="250"/>
      <c r="EA91" s="250"/>
      <c r="EB91" s="250"/>
      <c r="EC91" s="250"/>
      <c r="ED91" s="250"/>
      <c r="EE91" s="250"/>
      <c r="EF91" s="250"/>
      <c r="EG91" s="250"/>
      <c r="EH91" s="250"/>
      <c r="EI91" s="250"/>
      <c r="EJ91" s="250"/>
      <c r="EK91" s="250"/>
      <c r="EL91" s="250"/>
      <c r="EM91" s="250"/>
      <c r="EN91" s="250"/>
      <c r="EO91" s="250"/>
      <c r="EP91" s="250"/>
      <c r="EQ91" s="250"/>
      <c r="ER91" s="250"/>
      <c r="ES91" s="250"/>
      <c r="ET91" s="250"/>
      <c r="EU91" s="250"/>
      <c r="EV91" s="250"/>
      <c r="EW91" s="250"/>
      <c r="EX91" s="250"/>
      <c r="EY91" s="250"/>
      <c r="EZ91" s="250"/>
      <c r="FA91" s="250"/>
      <c r="FB91" s="250"/>
      <c r="FC91" s="250"/>
      <c r="FD91" s="250"/>
      <c r="FE91" s="250"/>
      <c r="FF91" s="250"/>
      <c r="FG91" s="250"/>
      <c r="FH91" s="250"/>
      <c r="FI91" s="250"/>
      <c r="FJ91" s="250"/>
      <c r="FK91" s="250"/>
      <c r="FL91" s="250"/>
      <c r="FM91" s="250"/>
      <c r="FN91" s="250"/>
      <c r="FO91" s="250"/>
      <c r="FP91" s="250"/>
      <c r="FQ91" s="250"/>
      <c r="FR91" s="250"/>
      <c r="FS91" s="250"/>
      <c r="FT91" s="250"/>
      <c r="FU91" s="250"/>
      <c r="FV91" s="250"/>
      <c r="FW91" s="250"/>
      <c r="FX91" s="250"/>
      <c r="FY91" s="250"/>
      <c r="FZ91" s="250"/>
      <c r="GA91" s="250"/>
      <c r="GB91" s="250"/>
      <c r="GC91" s="250"/>
      <c r="GD91" s="250"/>
      <c r="GE91" s="250"/>
      <c r="GF91" s="250"/>
      <c r="GG91" s="250"/>
      <c r="GH91" s="250"/>
      <c r="GI91" s="250"/>
      <c r="GJ91" s="250"/>
      <c r="GK91" s="250"/>
      <c r="GL91" s="250"/>
      <c r="GM91" s="250"/>
      <c r="GN91" s="250"/>
      <c r="GO91" s="250"/>
      <c r="GP91" s="250"/>
      <c r="GQ91" s="250"/>
      <c r="GR91" s="250"/>
      <c r="GS91" s="250"/>
      <c r="GT91" s="250"/>
      <c r="GU91" s="250"/>
      <c r="GV91" s="250"/>
      <c r="GW91" s="250"/>
      <c r="GX91" s="250"/>
      <c r="GY91" s="250"/>
      <c r="GZ91" s="250"/>
      <c r="HA91" s="250"/>
      <c r="HB91" s="250"/>
      <c r="HC91" s="250"/>
      <c r="HD91" s="250"/>
      <c r="HE91" s="250"/>
      <c r="HF91" s="250"/>
      <c r="HG91" s="250"/>
      <c r="HH91" s="250"/>
      <c r="HI91" s="250"/>
      <c r="HJ91" s="250"/>
      <c r="HK91" s="250"/>
      <c r="HL91" s="250"/>
      <c r="HM91" s="250"/>
      <c r="HN91" s="250"/>
      <c r="HO91" s="250"/>
      <c r="HP91" s="250"/>
      <c r="HQ91" s="250"/>
      <c r="HR91" s="250"/>
      <c r="HS91" s="250"/>
      <c r="HT91" s="250"/>
      <c r="HU91" s="250"/>
      <c r="HV91" s="250"/>
      <c r="HW91" s="250"/>
      <c r="HX91" s="250"/>
      <c r="HY91" s="250"/>
      <c r="HZ91" s="250"/>
      <c r="IA91" s="250"/>
      <c r="IB91" s="250"/>
      <c r="IC91" s="250"/>
      <c r="ID91" s="250"/>
      <c r="IE91" s="250"/>
      <c r="IF91" s="250"/>
      <c r="IG91" s="250"/>
      <c r="IH91" s="250"/>
      <c r="II91" s="250"/>
      <c r="IJ91" s="250"/>
      <c r="IK91" s="250"/>
      <c r="IL91" s="250"/>
      <c r="IM91" s="250"/>
      <c r="IN91" s="250"/>
      <c r="IO91" s="250"/>
      <c r="IP91" s="250"/>
      <c r="IQ91" s="250"/>
      <c r="IR91" s="250"/>
      <c r="IS91" s="250"/>
      <c r="IT91" s="250"/>
      <c r="IU91" s="250"/>
      <c r="IV91" s="250"/>
      <c r="IW91" s="250"/>
      <c r="IX91" s="250"/>
      <c r="IY91" s="250"/>
      <c r="IZ91" s="250"/>
      <c r="JA91" s="250"/>
      <c r="JB91" s="250"/>
      <c r="JC91" s="250"/>
      <c r="JD91" s="250"/>
      <c r="JE91" s="250"/>
      <c r="JF91" s="250"/>
      <c r="JG91" s="250"/>
      <c r="JH91" s="250"/>
      <c r="JI91" s="250"/>
      <c r="JJ91" s="250"/>
      <c r="JK91" s="250"/>
      <c r="JL91" s="250"/>
      <c r="JM91" s="250"/>
      <c r="JN91" s="250"/>
      <c r="JO91" s="250"/>
      <c r="JP91" s="250"/>
      <c r="JQ91" s="250"/>
      <c r="JR91" s="250"/>
      <c r="JS91" s="250"/>
      <c r="JT91" s="250"/>
      <c r="JU91" s="250"/>
      <c r="JV91" s="250"/>
      <c r="JW91" s="250"/>
      <c r="JX91" s="250"/>
      <c r="JY91" s="250"/>
      <c r="JZ91" s="250"/>
      <c r="KA91" s="250"/>
      <c r="KB91" s="250"/>
      <c r="KC91" s="250"/>
      <c r="KD91" s="250"/>
      <c r="KE91" s="250"/>
      <c r="KF91" s="250"/>
      <c r="KG91" s="250"/>
      <c r="KH91" s="250"/>
      <c r="KI91" s="250"/>
      <c r="KJ91" s="250"/>
      <c r="KK91" s="250"/>
      <c r="KL91" s="250"/>
      <c r="KM91" s="250"/>
      <c r="KN91" s="250"/>
      <c r="KO91" s="250"/>
      <c r="KP91" s="250"/>
      <c r="KQ91" s="250"/>
      <c r="KR91" s="250"/>
      <c r="KS91" s="250"/>
      <c r="KT91" s="250"/>
      <c r="KU91" s="250"/>
      <c r="KV91" s="250"/>
      <c r="KW91" s="250"/>
      <c r="KX91" s="250"/>
      <c r="KY91" s="250"/>
      <c r="KZ91" s="250"/>
      <c r="LA91" s="250"/>
      <c r="LB91" s="250"/>
      <c r="LC91" s="250"/>
      <c r="LD91" s="250"/>
      <c r="LE91" s="250"/>
      <c r="LF91" s="250"/>
      <c r="LG91" s="250"/>
      <c r="LH91" s="250"/>
      <c r="LI91" s="250"/>
      <c r="LJ91" s="250"/>
      <c r="LK91" s="250"/>
      <c r="LL91" s="250"/>
      <c r="LM91" s="250"/>
      <c r="LN91" s="250"/>
      <c r="LO91" s="250"/>
      <c r="LP91" s="250"/>
      <c r="LQ91" s="250"/>
      <c r="LR91" s="250"/>
      <c r="LS91" s="250"/>
      <c r="LT91" s="250"/>
      <c r="LU91" s="250"/>
      <c r="LV91" s="250"/>
      <c r="LW91" s="250"/>
      <c r="LX91" s="250"/>
      <c r="LY91" s="250"/>
      <c r="LZ91" s="250"/>
      <c r="MA91" s="250"/>
      <c r="MB91" s="250"/>
      <c r="MC91" s="250"/>
      <c r="MD91" s="250"/>
      <c r="ME91" s="250"/>
      <c r="MF91" s="250"/>
      <c r="MG91" s="250"/>
      <c r="MH91" s="250"/>
      <c r="MI91" s="250"/>
      <c r="MJ91" s="250"/>
      <c r="MK91" s="250"/>
      <c r="ML91" s="250"/>
      <c r="MM91" s="250"/>
      <c r="MN91" s="250"/>
      <c r="MO91" s="250"/>
      <c r="MP91" s="250"/>
      <c r="MQ91" s="250"/>
      <c r="MR91" s="250"/>
      <c r="MS91" s="250"/>
      <c r="MT91" s="250"/>
      <c r="MU91" s="250"/>
      <c r="MV91" s="250"/>
      <c r="MW91" s="250"/>
      <c r="MX91" s="250"/>
      <c r="MY91" s="250"/>
      <c r="MZ91" s="250"/>
      <c r="NA91" s="250"/>
      <c r="NB91" s="250"/>
      <c r="NC91" s="250"/>
      <c r="ND91" s="250"/>
      <c r="NE91" s="250"/>
      <c r="NF91" s="250"/>
      <c r="NG91" s="250"/>
      <c r="NH91" s="250"/>
      <c r="NI91" s="250"/>
      <c r="NJ91" s="250"/>
      <c r="NK91" s="250"/>
      <c r="NL91" s="250"/>
      <c r="NM91" s="250"/>
      <c r="NN91" s="250"/>
      <c r="NO91" s="250"/>
      <c r="NP91" s="250"/>
      <c r="NQ91" s="250"/>
      <c r="NR91" s="250"/>
      <c r="NS91" s="250"/>
      <c r="NT91" s="250"/>
      <c r="NU91" s="250"/>
      <c r="NV91" s="250"/>
      <c r="NW91" s="250"/>
      <c r="NX91" s="250"/>
      <c r="NY91" s="250"/>
      <c r="NZ91" s="250"/>
      <c r="OA91" s="250"/>
      <c r="OB91" s="250"/>
      <c r="OC91" s="250"/>
      <c r="OD91" s="250"/>
      <c r="OE91" s="250"/>
      <c r="OF91" s="250"/>
      <c r="OG91" s="250"/>
      <c r="OH91" s="250"/>
      <c r="OI91" s="250"/>
      <c r="OJ91" s="250"/>
      <c r="OK91" s="250"/>
      <c r="OL91" s="250"/>
      <c r="OM91" s="250"/>
      <c r="ON91" s="250"/>
      <c r="OO91" s="250"/>
      <c r="OP91" s="250"/>
      <c r="OQ91" s="250"/>
      <c r="OR91" s="250"/>
      <c r="OS91" s="250"/>
      <c r="OT91" s="250"/>
      <c r="OU91" s="250"/>
      <c r="OV91" s="250"/>
      <c r="OW91" s="250"/>
      <c r="OX91" s="250"/>
      <c r="OY91" s="250"/>
      <c r="OZ91" s="250"/>
      <c r="PA91" s="250"/>
      <c r="PB91" s="250"/>
      <c r="PC91" s="250"/>
      <c r="PD91" s="250"/>
      <c r="PE91" s="250"/>
      <c r="PF91" s="250"/>
      <c r="PG91" s="250"/>
      <c r="PH91" s="250"/>
      <c r="PI91" s="250"/>
      <c r="PJ91" s="250"/>
      <c r="PK91" s="250"/>
      <c r="PL91" s="250"/>
      <c r="PM91" s="250"/>
      <c r="PN91" s="250"/>
      <c r="PO91" s="250"/>
      <c r="PP91" s="250"/>
      <c r="PQ91" s="250"/>
      <c r="PR91" s="250"/>
      <c r="PS91" s="250"/>
      <c r="PT91" s="250"/>
      <c r="PU91" s="250"/>
      <c r="PV91" s="250"/>
      <c r="PW91" s="250"/>
      <c r="PX91" s="250"/>
      <c r="PY91" s="250"/>
      <c r="PZ91" s="250"/>
      <c r="QA91" s="250"/>
      <c r="QB91" s="250"/>
      <c r="QC91" s="250"/>
      <c r="QD91" s="250"/>
      <c r="QE91" s="250"/>
      <c r="QF91" s="250"/>
      <c r="QG91" s="250"/>
      <c r="QH91" s="250"/>
      <c r="QI91" s="250"/>
      <c r="QJ91" s="250"/>
      <c r="QK91" s="250"/>
      <c r="QL91" s="250"/>
      <c r="QM91" s="250"/>
      <c r="QN91" s="250"/>
      <c r="QO91" s="250"/>
      <c r="QP91" s="250"/>
      <c r="QQ91" s="250"/>
      <c r="QR91" s="250"/>
      <c r="QS91" s="250"/>
      <c r="QT91" s="250"/>
      <c r="QU91" s="250"/>
      <c r="QV91" s="250"/>
      <c r="QW91" s="250"/>
      <c r="QX91" s="250"/>
      <c r="QY91" s="250"/>
      <c r="QZ91" s="250"/>
      <c r="RA91" s="250"/>
      <c r="RB91" s="250"/>
      <c r="RC91" s="250"/>
      <c r="RD91" s="250"/>
      <c r="RE91" s="250"/>
      <c r="RF91" s="250"/>
      <c r="RG91" s="250"/>
      <c r="RH91" s="250"/>
      <c r="RI91" s="250"/>
      <c r="RJ91" s="250"/>
      <c r="RK91" s="250"/>
      <c r="RL91" s="250"/>
      <c r="RM91" s="250"/>
      <c r="RN91" s="250"/>
      <c r="RO91" s="250"/>
      <c r="RP91" s="250"/>
      <c r="RQ91" s="250"/>
      <c r="RR91" s="250"/>
      <c r="RS91" s="250"/>
      <c r="RT91" s="250"/>
      <c r="RU91" s="250"/>
      <c r="RV91" s="250"/>
      <c r="RW91" s="250"/>
      <c r="RX91" s="250"/>
      <c r="RY91" s="250"/>
      <c r="RZ91" s="250"/>
      <c r="SA91" s="250"/>
      <c r="SB91" s="250"/>
      <c r="SC91" s="250"/>
      <c r="SD91" s="250"/>
      <c r="SE91" s="250"/>
      <c r="SF91" s="250"/>
      <c r="SG91" s="250"/>
      <c r="SH91" s="250"/>
      <c r="SI91" s="250"/>
      <c r="SJ91" s="250"/>
      <c r="SK91" s="250"/>
      <c r="SL91" s="250"/>
      <c r="SM91" s="250"/>
      <c r="SN91" s="250"/>
      <c r="SO91" s="250"/>
      <c r="SP91" s="250"/>
      <c r="SQ91" s="250"/>
      <c r="SR91" s="250"/>
      <c r="SS91" s="250"/>
      <c r="ST91" s="250"/>
      <c r="SU91" s="250"/>
      <c r="SV91" s="250"/>
      <c r="SW91" s="250"/>
      <c r="SX91" s="250"/>
      <c r="SY91" s="250"/>
      <c r="SZ91" s="250"/>
      <c r="TA91" s="250"/>
      <c r="TB91" s="250"/>
      <c r="TC91" s="250"/>
      <c r="TD91" s="250"/>
      <c r="TE91" s="250"/>
      <c r="TF91" s="250"/>
      <c r="TG91" s="250"/>
      <c r="TH91" s="250"/>
      <c r="TI91" s="250"/>
      <c r="TJ91" s="250"/>
      <c r="TK91" s="250"/>
      <c r="TL91" s="250"/>
      <c r="TM91" s="250"/>
      <c r="TN91" s="250"/>
      <c r="TO91" s="250"/>
      <c r="TP91" s="250"/>
      <c r="TQ91" s="250"/>
      <c r="TR91" s="250"/>
      <c r="TS91" s="250"/>
      <c r="TT91" s="250"/>
      <c r="TU91" s="250"/>
      <c r="TV91" s="250"/>
      <c r="TW91" s="250"/>
      <c r="TX91" s="250"/>
      <c r="TY91" s="250"/>
      <c r="TZ91" s="250"/>
      <c r="UA91" s="250"/>
      <c r="UB91" s="250"/>
      <c r="UC91" s="250"/>
      <c r="UD91" s="250"/>
      <c r="UE91" s="250"/>
      <c r="UF91" s="250"/>
      <c r="UG91" s="250"/>
      <c r="UH91" s="250"/>
    </row>
    <row r="92" spans="1:554" x14ac:dyDescent="0.25">
      <c r="A92" s="334">
        <v>7</v>
      </c>
      <c r="B92" s="334"/>
      <c r="C92" s="335" t="s">
        <v>40</v>
      </c>
      <c r="D92" s="334">
        <v>1989</v>
      </c>
      <c r="E92" s="334">
        <v>3</v>
      </c>
      <c r="F92" s="334">
        <v>27</v>
      </c>
      <c r="G92" s="126">
        <v>78</v>
      </c>
      <c r="H92" s="327">
        <v>1468.1</v>
      </c>
      <c r="I92" s="1053"/>
      <c r="J92" s="1053"/>
      <c r="K92" s="339">
        <v>22473.15</v>
      </c>
      <c r="L92" s="339">
        <v>24126.959999999999</v>
      </c>
      <c r="M92" s="1056"/>
      <c r="N92" s="1056"/>
      <c r="O92" s="61">
        <f t="shared" si="28"/>
        <v>24755.239630726792</v>
      </c>
      <c r="P92" s="309">
        <v>38.25</v>
      </c>
      <c r="Q92" s="313">
        <f t="shared" si="29"/>
        <v>62.169829620672324</v>
      </c>
      <c r="R92" s="313">
        <f t="shared" si="30"/>
        <v>20511.497338690617</v>
      </c>
      <c r="S92" s="313">
        <f t="shared" si="31"/>
        <v>4143.3224624155046</v>
      </c>
      <c r="T92" s="313">
        <f t="shared" si="32"/>
        <v>-2282.0896307267903</v>
      </c>
      <c r="U92" s="313">
        <f t="shared" si="33"/>
        <v>107.35904846450094</v>
      </c>
      <c r="V92" s="313">
        <f t="shared" si="34"/>
        <v>2.8103489352140856</v>
      </c>
      <c r="W92" s="311">
        <v>2.5499999999999998</v>
      </c>
      <c r="X92" s="337">
        <v>221</v>
      </c>
      <c r="Y92" s="1081">
        <f t="shared" si="35"/>
        <v>-1653.8099999999977</v>
      </c>
      <c r="Z92" s="466"/>
      <c r="AA92" s="466"/>
      <c r="AB92" s="466"/>
      <c r="AC92" s="466"/>
      <c r="AD92" s="466"/>
      <c r="AE92" s="466"/>
      <c r="AF92" s="466"/>
      <c r="AG92" s="466"/>
      <c r="AH92" s="466"/>
      <c r="AI92" s="466"/>
      <c r="AJ92" s="466"/>
      <c r="AK92" s="466"/>
      <c r="AL92" s="466"/>
      <c r="AM92" s="466"/>
      <c r="AN92" s="466"/>
      <c r="AO92" s="466"/>
      <c r="AP92" s="466"/>
      <c r="AQ92" s="466"/>
      <c r="AR92" s="466"/>
      <c r="AS92" s="466"/>
      <c r="AT92" s="466"/>
      <c r="AU92" s="466"/>
      <c r="AV92" s="466"/>
      <c r="AW92" s="466"/>
      <c r="AX92" s="466"/>
      <c r="AY92" s="466"/>
      <c r="AZ92" s="466"/>
      <c r="BA92" s="466"/>
      <c r="BB92" s="466"/>
      <c r="BC92" s="250"/>
      <c r="BD92" s="250"/>
      <c r="BE92" s="250"/>
      <c r="BF92" s="250"/>
      <c r="BG92" s="250"/>
      <c r="BH92" s="250"/>
      <c r="BI92" s="250"/>
      <c r="BJ92" s="250"/>
      <c r="BK92" s="250"/>
      <c r="BL92" s="250"/>
      <c r="BM92" s="250"/>
      <c r="BN92" s="250"/>
      <c r="BO92" s="250"/>
      <c r="BP92" s="250"/>
      <c r="BQ92" s="250"/>
      <c r="BR92" s="250"/>
      <c r="BS92" s="250"/>
      <c r="BT92" s="250"/>
      <c r="BU92" s="250"/>
      <c r="BV92" s="250"/>
      <c r="BW92" s="250"/>
      <c r="BX92" s="250"/>
      <c r="BY92" s="250"/>
      <c r="BZ92" s="250"/>
      <c r="CA92" s="250"/>
      <c r="CB92" s="250"/>
      <c r="CC92" s="250"/>
      <c r="CD92" s="250"/>
      <c r="CE92" s="250"/>
      <c r="CF92" s="250"/>
      <c r="CG92" s="250"/>
      <c r="CH92" s="250"/>
      <c r="CI92" s="250"/>
      <c r="CJ92" s="250"/>
      <c r="CK92" s="250"/>
      <c r="CL92" s="250"/>
      <c r="CM92" s="250"/>
      <c r="CN92" s="250"/>
      <c r="CO92" s="250"/>
      <c r="CP92" s="250"/>
      <c r="CQ92" s="250"/>
      <c r="CR92" s="250"/>
      <c r="CS92" s="250"/>
      <c r="CT92" s="250"/>
      <c r="CU92" s="250"/>
      <c r="CV92" s="250"/>
      <c r="CW92" s="250"/>
      <c r="CX92" s="250"/>
      <c r="CY92" s="250"/>
      <c r="CZ92" s="250"/>
      <c r="DA92" s="250"/>
      <c r="DB92" s="250"/>
      <c r="DC92" s="250"/>
      <c r="DD92" s="250"/>
      <c r="DE92" s="250"/>
      <c r="DF92" s="250"/>
      <c r="DG92" s="250"/>
      <c r="DH92" s="250"/>
      <c r="DI92" s="250"/>
      <c r="DJ92" s="250"/>
      <c r="DK92" s="250"/>
      <c r="DL92" s="250"/>
      <c r="DM92" s="250"/>
      <c r="DN92" s="250"/>
      <c r="DO92" s="250"/>
      <c r="DP92" s="250"/>
      <c r="DQ92" s="250"/>
      <c r="DR92" s="250"/>
      <c r="DS92" s="250"/>
      <c r="DT92" s="250"/>
      <c r="DU92" s="250"/>
      <c r="DV92" s="250"/>
      <c r="DW92" s="250"/>
      <c r="DX92" s="250"/>
      <c r="DY92" s="250"/>
      <c r="DZ92" s="250"/>
      <c r="EA92" s="250"/>
      <c r="EB92" s="250"/>
      <c r="EC92" s="250"/>
      <c r="ED92" s="250"/>
      <c r="EE92" s="250"/>
      <c r="EF92" s="250"/>
      <c r="EG92" s="250"/>
      <c r="EH92" s="250"/>
      <c r="EI92" s="250"/>
      <c r="EJ92" s="250"/>
      <c r="EK92" s="250"/>
      <c r="EL92" s="250"/>
      <c r="EM92" s="250"/>
      <c r="EN92" s="250"/>
      <c r="EO92" s="250"/>
      <c r="EP92" s="250"/>
      <c r="EQ92" s="250"/>
      <c r="ER92" s="250"/>
      <c r="ES92" s="250"/>
      <c r="ET92" s="250"/>
      <c r="EU92" s="250"/>
      <c r="EV92" s="250"/>
      <c r="EW92" s="250"/>
      <c r="EX92" s="250"/>
      <c r="EY92" s="250"/>
      <c r="EZ92" s="250"/>
      <c r="FA92" s="250"/>
      <c r="FB92" s="250"/>
      <c r="FC92" s="250"/>
      <c r="FD92" s="250"/>
      <c r="FE92" s="250"/>
      <c r="FF92" s="250"/>
      <c r="FG92" s="250"/>
      <c r="FH92" s="250"/>
      <c r="FI92" s="250"/>
      <c r="FJ92" s="250"/>
      <c r="FK92" s="250"/>
      <c r="FL92" s="250"/>
      <c r="FM92" s="250"/>
      <c r="FN92" s="250"/>
      <c r="FO92" s="250"/>
      <c r="FP92" s="250"/>
      <c r="FQ92" s="250"/>
      <c r="FR92" s="250"/>
      <c r="FS92" s="250"/>
      <c r="FT92" s="250"/>
      <c r="FU92" s="250"/>
      <c r="FV92" s="250"/>
      <c r="FW92" s="250"/>
      <c r="FX92" s="250"/>
      <c r="FY92" s="250"/>
      <c r="FZ92" s="250"/>
      <c r="GA92" s="250"/>
      <c r="GB92" s="250"/>
      <c r="GC92" s="250"/>
      <c r="GD92" s="250"/>
      <c r="GE92" s="250"/>
      <c r="GF92" s="250"/>
      <c r="GG92" s="250"/>
      <c r="GH92" s="250"/>
      <c r="GI92" s="250"/>
      <c r="GJ92" s="250"/>
      <c r="GK92" s="250"/>
      <c r="GL92" s="250"/>
      <c r="GM92" s="250"/>
      <c r="GN92" s="250"/>
      <c r="GO92" s="250"/>
      <c r="GP92" s="250"/>
      <c r="GQ92" s="250"/>
      <c r="GR92" s="250"/>
      <c r="GS92" s="250"/>
      <c r="GT92" s="250"/>
      <c r="GU92" s="250"/>
      <c r="GV92" s="250"/>
      <c r="GW92" s="250"/>
      <c r="GX92" s="250"/>
      <c r="GY92" s="250"/>
      <c r="GZ92" s="250"/>
      <c r="HA92" s="250"/>
      <c r="HB92" s="250"/>
      <c r="HC92" s="250"/>
      <c r="HD92" s="250"/>
      <c r="HE92" s="250"/>
      <c r="HF92" s="250"/>
      <c r="HG92" s="250"/>
      <c r="HH92" s="250"/>
      <c r="HI92" s="250"/>
      <c r="HJ92" s="250"/>
      <c r="HK92" s="250"/>
      <c r="HL92" s="250"/>
      <c r="HM92" s="250"/>
      <c r="HN92" s="250"/>
      <c r="HO92" s="250"/>
      <c r="HP92" s="250"/>
      <c r="HQ92" s="250"/>
      <c r="HR92" s="250"/>
      <c r="HS92" s="250"/>
      <c r="HT92" s="250"/>
      <c r="HU92" s="250"/>
      <c r="HV92" s="250"/>
      <c r="HW92" s="250"/>
      <c r="HX92" s="250"/>
      <c r="HY92" s="250"/>
      <c r="HZ92" s="250"/>
      <c r="IA92" s="250"/>
      <c r="IB92" s="250"/>
      <c r="IC92" s="250"/>
      <c r="ID92" s="250"/>
      <c r="IE92" s="250"/>
      <c r="IF92" s="250"/>
      <c r="IG92" s="250"/>
      <c r="IH92" s="250"/>
      <c r="II92" s="250"/>
      <c r="IJ92" s="250"/>
      <c r="IK92" s="250"/>
      <c r="IL92" s="250"/>
      <c r="IM92" s="250"/>
      <c r="IN92" s="250"/>
      <c r="IO92" s="250"/>
      <c r="IP92" s="250"/>
      <c r="IQ92" s="250"/>
      <c r="IR92" s="250"/>
      <c r="IS92" s="250"/>
      <c r="IT92" s="250"/>
      <c r="IU92" s="250"/>
      <c r="IV92" s="250"/>
      <c r="IW92" s="250"/>
      <c r="IX92" s="250"/>
      <c r="IY92" s="250"/>
      <c r="IZ92" s="250"/>
      <c r="JA92" s="250"/>
      <c r="JB92" s="250"/>
      <c r="JC92" s="250"/>
      <c r="JD92" s="250"/>
      <c r="JE92" s="250"/>
      <c r="JF92" s="250"/>
      <c r="JG92" s="250"/>
      <c r="JH92" s="250"/>
      <c r="JI92" s="250"/>
      <c r="JJ92" s="250"/>
      <c r="JK92" s="250"/>
      <c r="JL92" s="250"/>
      <c r="JM92" s="250"/>
      <c r="JN92" s="250"/>
      <c r="JO92" s="250"/>
      <c r="JP92" s="250"/>
      <c r="JQ92" s="250"/>
      <c r="JR92" s="250"/>
      <c r="JS92" s="250"/>
      <c r="JT92" s="250"/>
      <c r="JU92" s="250"/>
      <c r="JV92" s="250"/>
      <c r="JW92" s="250"/>
      <c r="JX92" s="250"/>
      <c r="JY92" s="250"/>
      <c r="JZ92" s="250"/>
      <c r="KA92" s="250"/>
      <c r="KB92" s="250"/>
      <c r="KC92" s="250"/>
      <c r="KD92" s="250"/>
      <c r="KE92" s="250"/>
      <c r="KF92" s="250"/>
      <c r="KG92" s="250"/>
      <c r="KH92" s="250"/>
      <c r="KI92" s="250"/>
      <c r="KJ92" s="250"/>
      <c r="KK92" s="250"/>
      <c r="KL92" s="250"/>
      <c r="KM92" s="250"/>
      <c r="KN92" s="250"/>
      <c r="KO92" s="250"/>
      <c r="KP92" s="250"/>
      <c r="KQ92" s="250"/>
      <c r="KR92" s="250"/>
      <c r="KS92" s="250"/>
      <c r="KT92" s="250"/>
      <c r="KU92" s="250"/>
      <c r="KV92" s="250"/>
      <c r="KW92" s="250"/>
      <c r="KX92" s="250"/>
      <c r="KY92" s="250"/>
      <c r="KZ92" s="250"/>
      <c r="LA92" s="250"/>
      <c r="LB92" s="250"/>
      <c r="LC92" s="250"/>
      <c r="LD92" s="250"/>
      <c r="LE92" s="250"/>
      <c r="LF92" s="250"/>
      <c r="LG92" s="250"/>
      <c r="LH92" s="250"/>
      <c r="LI92" s="250"/>
      <c r="LJ92" s="250"/>
      <c r="LK92" s="250"/>
      <c r="LL92" s="250"/>
      <c r="LM92" s="250"/>
      <c r="LN92" s="250"/>
      <c r="LO92" s="250"/>
      <c r="LP92" s="250"/>
      <c r="LQ92" s="250"/>
      <c r="LR92" s="250"/>
      <c r="LS92" s="250"/>
      <c r="LT92" s="250"/>
      <c r="LU92" s="250"/>
      <c r="LV92" s="250"/>
      <c r="LW92" s="250"/>
      <c r="LX92" s="250"/>
      <c r="LY92" s="250"/>
      <c r="LZ92" s="250"/>
      <c r="MA92" s="250"/>
      <c r="MB92" s="250"/>
      <c r="MC92" s="250"/>
      <c r="MD92" s="250"/>
      <c r="ME92" s="250"/>
      <c r="MF92" s="250"/>
      <c r="MG92" s="250"/>
      <c r="MH92" s="250"/>
      <c r="MI92" s="250"/>
      <c r="MJ92" s="250"/>
      <c r="MK92" s="250"/>
      <c r="ML92" s="250"/>
      <c r="MM92" s="250"/>
      <c r="MN92" s="250"/>
      <c r="MO92" s="250"/>
      <c r="MP92" s="250"/>
      <c r="MQ92" s="250"/>
      <c r="MR92" s="250"/>
      <c r="MS92" s="250"/>
      <c r="MT92" s="250"/>
      <c r="MU92" s="250"/>
      <c r="MV92" s="250"/>
      <c r="MW92" s="250"/>
      <c r="MX92" s="250"/>
      <c r="MY92" s="250"/>
      <c r="MZ92" s="250"/>
      <c r="NA92" s="250"/>
      <c r="NB92" s="250"/>
      <c r="NC92" s="250"/>
      <c r="ND92" s="250"/>
      <c r="NE92" s="250"/>
      <c r="NF92" s="250"/>
      <c r="NG92" s="250"/>
      <c r="NH92" s="250"/>
      <c r="NI92" s="250"/>
      <c r="NJ92" s="250"/>
      <c r="NK92" s="250"/>
      <c r="NL92" s="250"/>
      <c r="NM92" s="250"/>
      <c r="NN92" s="250"/>
      <c r="NO92" s="250"/>
      <c r="NP92" s="250"/>
      <c r="NQ92" s="250"/>
      <c r="NR92" s="250"/>
      <c r="NS92" s="250"/>
      <c r="NT92" s="250"/>
      <c r="NU92" s="250"/>
      <c r="NV92" s="250"/>
      <c r="NW92" s="250"/>
      <c r="NX92" s="250"/>
      <c r="NY92" s="250"/>
      <c r="NZ92" s="250"/>
      <c r="OA92" s="250"/>
      <c r="OB92" s="250"/>
      <c r="OC92" s="250"/>
      <c r="OD92" s="250"/>
      <c r="OE92" s="250"/>
      <c r="OF92" s="250"/>
      <c r="OG92" s="250"/>
      <c r="OH92" s="250"/>
      <c r="OI92" s="250"/>
      <c r="OJ92" s="250"/>
      <c r="OK92" s="250"/>
      <c r="OL92" s="250"/>
      <c r="OM92" s="250"/>
      <c r="ON92" s="250"/>
      <c r="OO92" s="250"/>
      <c r="OP92" s="250"/>
      <c r="OQ92" s="250"/>
      <c r="OR92" s="250"/>
      <c r="OS92" s="250"/>
      <c r="OT92" s="250"/>
      <c r="OU92" s="250"/>
      <c r="OV92" s="250"/>
      <c r="OW92" s="250"/>
      <c r="OX92" s="250"/>
      <c r="OY92" s="250"/>
      <c r="OZ92" s="250"/>
      <c r="PA92" s="250"/>
      <c r="PB92" s="250"/>
      <c r="PC92" s="250"/>
      <c r="PD92" s="250"/>
      <c r="PE92" s="250"/>
      <c r="PF92" s="250"/>
      <c r="PG92" s="250"/>
      <c r="PH92" s="250"/>
      <c r="PI92" s="250"/>
      <c r="PJ92" s="250"/>
      <c r="PK92" s="250"/>
      <c r="PL92" s="250"/>
      <c r="PM92" s="250"/>
      <c r="PN92" s="250"/>
      <c r="PO92" s="250"/>
      <c r="PP92" s="250"/>
      <c r="PQ92" s="250"/>
      <c r="PR92" s="250"/>
      <c r="PS92" s="250"/>
      <c r="PT92" s="250"/>
      <c r="PU92" s="250"/>
      <c r="PV92" s="250"/>
      <c r="PW92" s="250"/>
      <c r="PX92" s="250"/>
      <c r="PY92" s="250"/>
      <c r="PZ92" s="250"/>
      <c r="QA92" s="250"/>
      <c r="QB92" s="250"/>
      <c r="QC92" s="250"/>
      <c r="QD92" s="250"/>
      <c r="QE92" s="250"/>
      <c r="QF92" s="250"/>
      <c r="QG92" s="250"/>
      <c r="QH92" s="250"/>
      <c r="QI92" s="250"/>
      <c r="QJ92" s="250"/>
      <c r="QK92" s="250"/>
      <c r="QL92" s="250"/>
      <c r="QM92" s="250"/>
      <c r="QN92" s="250"/>
      <c r="QO92" s="250"/>
      <c r="QP92" s="250"/>
      <c r="QQ92" s="250"/>
      <c r="QR92" s="250"/>
      <c r="QS92" s="250"/>
      <c r="QT92" s="250"/>
      <c r="QU92" s="250"/>
      <c r="QV92" s="250"/>
      <c r="QW92" s="250"/>
      <c r="QX92" s="250"/>
      <c r="QY92" s="250"/>
      <c r="QZ92" s="250"/>
      <c r="RA92" s="250"/>
      <c r="RB92" s="250"/>
      <c r="RC92" s="250"/>
      <c r="RD92" s="250"/>
      <c r="RE92" s="250"/>
      <c r="RF92" s="250"/>
      <c r="RG92" s="250"/>
      <c r="RH92" s="250"/>
      <c r="RI92" s="250"/>
      <c r="RJ92" s="250"/>
      <c r="RK92" s="250"/>
      <c r="RL92" s="250"/>
      <c r="RM92" s="250"/>
      <c r="RN92" s="250"/>
      <c r="RO92" s="250"/>
      <c r="RP92" s="250"/>
      <c r="RQ92" s="250"/>
      <c r="RR92" s="250"/>
      <c r="RS92" s="250"/>
      <c r="RT92" s="250"/>
      <c r="RU92" s="250"/>
      <c r="RV92" s="250"/>
      <c r="RW92" s="250"/>
      <c r="RX92" s="250"/>
      <c r="RY92" s="250"/>
      <c r="RZ92" s="250"/>
      <c r="SA92" s="250"/>
      <c r="SB92" s="250"/>
      <c r="SC92" s="250"/>
      <c r="SD92" s="250"/>
      <c r="SE92" s="250"/>
      <c r="SF92" s="250"/>
      <c r="SG92" s="250"/>
      <c r="SH92" s="250"/>
      <c r="SI92" s="250"/>
      <c r="SJ92" s="250"/>
      <c r="SK92" s="250"/>
      <c r="SL92" s="250"/>
      <c r="SM92" s="250"/>
      <c r="SN92" s="250"/>
      <c r="SO92" s="250"/>
      <c r="SP92" s="250"/>
      <c r="SQ92" s="250"/>
      <c r="SR92" s="250"/>
      <c r="SS92" s="250"/>
      <c r="ST92" s="250"/>
      <c r="SU92" s="250"/>
      <c r="SV92" s="250"/>
      <c r="SW92" s="250"/>
      <c r="SX92" s="250"/>
      <c r="SY92" s="250"/>
      <c r="SZ92" s="250"/>
      <c r="TA92" s="250"/>
      <c r="TB92" s="250"/>
      <c r="TC92" s="250"/>
      <c r="TD92" s="250"/>
      <c r="TE92" s="250"/>
      <c r="TF92" s="250"/>
      <c r="TG92" s="250"/>
      <c r="TH92" s="250"/>
      <c r="TI92" s="250"/>
      <c r="TJ92" s="250"/>
      <c r="TK92" s="250"/>
      <c r="TL92" s="250"/>
      <c r="TM92" s="250"/>
      <c r="TN92" s="250"/>
      <c r="TO92" s="250"/>
      <c r="TP92" s="250"/>
      <c r="TQ92" s="250"/>
      <c r="TR92" s="250"/>
      <c r="TS92" s="250"/>
      <c r="TT92" s="250"/>
      <c r="TU92" s="250"/>
      <c r="TV92" s="250"/>
      <c r="TW92" s="250"/>
      <c r="TX92" s="250"/>
      <c r="TY92" s="250"/>
      <c r="TZ92" s="250"/>
      <c r="UA92" s="250"/>
      <c r="UB92" s="250"/>
      <c r="UC92" s="250"/>
      <c r="UD92" s="250"/>
      <c r="UE92" s="250"/>
      <c r="UF92" s="250"/>
      <c r="UG92" s="250"/>
      <c r="UH92" s="250"/>
    </row>
    <row r="93" spans="1:554" s="15" customFormat="1" x14ac:dyDescent="0.25">
      <c r="A93" s="382"/>
      <c r="B93" s="382"/>
      <c r="C93" s="464" t="s">
        <v>52</v>
      </c>
      <c r="D93" s="382">
        <v>1961</v>
      </c>
      <c r="E93" s="382">
        <v>1</v>
      </c>
      <c r="F93" s="382">
        <v>5</v>
      </c>
      <c r="G93" s="382">
        <v>11</v>
      </c>
      <c r="H93" s="383">
        <f>SUM(H86:H92)</f>
        <v>16754.38</v>
      </c>
      <c r="I93" s="1054"/>
      <c r="J93" s="1054"/>
      <c r="K93" s="390">
        <f t="shared" ref="K93:T93" si="36">SUM(K86:K92)</f>
        <v>254473.63</v>
      </c>
      <c r="L93" s="397">
        <f t="shared" si="36"/>
        <v>247564.71999999997</v>
      </c>
      <c r="M93" s="1057"/>
      <c r="N93" s="1057"/>
      <c r="O93" s="394">
        <f t="shared" si="36"/>
        <v>238522.63244000002</v>
      </c>
      <c r="P93" s="468">
        <f t="shared" si="36"/>
        <v>1807.38</v>
      </c>
      <c r="Q93" s="393">
        <f t="shared" si="36"/>
        <v>709.5</v>
      </c>
      <c r="R93" s="393">
        <f>SUM(R86:R92)</f>
        <v>196344.22</v>
      </c>
      <c r="S93" s="393">
        <f t="shared" si="36"/>
        <v>39661.532440000003</v>
      </c>
      <c r="T93" s="393">
        <f t="shared" si="36"/>
        <v>15950.997560000007</v>
      </c>
      <c r="U93" s="470">
        <f t="shared" si="33"/>
        <v>97.285019276850008</v>
      </c>
      <c r="V93" s="470">
        <f t="shared" si="34"/>
        <v>2.3727390732055338</v>
      </c>
      <c r="W93" s="393"/>
      <c r="X93" s="294">
        <f>SUM(X86:X92)</f>
        <v>2115.5</v>
      </c>
      <c r="Y93" s="1082">
        <f>SUM(Y86:Y92)</f>
        <v>6908.91</v>
      </c>
      <c r="Z93" s="466"/>
      <c r="AA93" s="466"/>
      <c r="AB93" s="466"/>
      <c r="AC93" s="466"/>
      <c r="AD93" s="466"/>
      <c r="AE93" s="466"/>
      <c r="AF93" s="466"/>
      <c r="AG93" s="466"/>
      <c r="AH93" s="466"/>
      <c r="AI93" s="466"/>
      <c r="AJ93" s="466"/>
      <c r="AK93" s="466"/>
      <c r="AL93" s="466"/>
      <c r="AM93" s="466"/>
      <c r="AN93" s="466"/>
      <c r="AO93" s="466"/>
      <c r="AP93" s="466"/>
      <c r="AQ93" s="466"/>
      <c r="AR93" s="466"/>
      <c r="AS93" s="466"/>
      <c r="AT93" s="466"/>
      <c r="AU93" s="466"/>
      <c r="AV93" s="466"/>
      <c r="AW93" s="466"/>
      <c r="AX93" s="466"/>
      <c r="AY93" s="466"/>
      <c r="AZ93" s="466"/>
      <c r="BA93" s="466"/>
      <c r="BB93" s="466"/>
      <c r="BC93" s="250"/>
      <c r="BD93" s="250"/>
      <c r="BE93" s="250"/>
      <c r="BF93" s="250"/>
      <c r="BG93" s="250"/>
      <c r="BH93" s="250"/>
      <c r="BI93" s="250"/>
      <c r="BJ93" s="250"/>
      <c r="BK93" s="250"/>
      <c r="BL93" s="250"/>
      <c r="BM93" s="250"/>
      <c r="BN93" s="250"/>
      <c r="BO93" s="250"/>
      <c r="BP93" s="250"/>
      <c r="BQ93" s="250"/>
      <c r="BR93" s="250"/>
      <c r="BS93" s="250"/>
      <c r="BT93" s="250"/>
      <c r="BU93" s="250"/>
      <c r="BV93" s="250"/>
      <c r="BW93" s="250"/>
      <c r="BX93" s="250"/>
      <c r="BY93" s="250"/>
      <c r="BZ93" s="250"/>
      <c r="CA93" s="250"/>
      <c r="CB93" s="250"/>
      <c r="CC93" s="250"/>
      <c r="CD93" s="250"/>
      <c r="CE93" s="250"/>
      <c r="CF93" s="250"/>
      <c r="CG93" s="250"/>
      <c r="CH93" s="250"/>
      <c r="CI93" s="250"/>
      <c r="CJ93" s="250"/>
      <c r="CK93" s="250"/>
      <c r="CL93" s="250"/>
      <c r="CM93" s="250"/>
      <c r="CN93" s="250"/>
      <c r="CO93" s="250"/>
      <c r="CP93" s="250"/>
      <c r="CQ93" s="250"/>
      <c r="CR93" s="250"/>
      <c r="CS93" s="250"/>
      <c r="CT93" s="250"/>
      <c r="CU93" s="250"/>
      <c r="CV93" s="250"/>
      <c r="CW93" s="250"/>
      <c r="CX93" s="250"/>
      <c r="CY93" s="250"/>
      <c r="CZ93" s="250"/>
      <c r="DA93" s="250"/>
      <c r="DB93" s="250"/>
      <c r="DC93" s="250"/>
      <c r="DD93" s="250"/>
      <c r="DE93" s="250"/>
      <c r="DF93" s="250"/>
      <c r="DG93" s="250"/>
      <c r="DH93" s="250"/>
      <c r="DI93" s="250"/>
      <c r="DJ93" s="250"/>
      <c r="DK93" s="250"/>
      <c r="DL93" s="250"/>
      <c r="DM93" s="250"/>
      <c r="DN93" s="250"/>
      <c r="DO93" s="250"/>
      <c r="DP93" s="250"/>
      <c r="DQ93" s="250"/>
      <c r="DR93" s="250"/>
      <c r="DS93" s="250"/>
      <c r="DT93" s="250"/>
      <c r="DU93" s="250"/>
      <c r="DV93" s="250"/>
      <c r="DW93" s="250"/>
      <c r="DX93" s="250"/>
      <c r="DY93" s="250"/>
      <c r="DZ93" s="250"/>
      <c r="EA93" s="250"/>
      <c r="EB93" s="250"/>
      <c r="EC93" s="250"/>
      <c r="ED93" s="250"/>
      <c r="EE93" s="250"/>
      <c r="EF93" s="250"/>
      <c r="EG93" s="250"/>
      <c r="EH93" s="250"/>
      <c r="EI93" s="250"/>
      <c r="EJ93" s="250"/>
      <c r="EK93" s="250"/>
      <c r="EL93" s="250"/>
      <c r="EM93" s="250"/>
      <c r="EN93" s="250"/>
      <c r="EO93" s="250"/>
      <c r="EP93" s="250"/>
      <c r="EQ93" s="250"/>
      <c r="ER93" s="250"/>
      <c r="ES93" s="250"/>
      <c r="ET93" s="250"/>
      <c r="EU93" s="250"/>
      <c r="EV93" s="250"/>
      <c r="EW93" s="250"/>
      <c r="EX93" s="250"/>
      <c r="EY93" s="250"/>
      <c r="EZ93" s="250"/>
      <c r="FA93" s="250"/>
      <c r="FB93" s="250"/>
      <c r="FC93" s="250"/>
      <c r="FD93" s="250"/>
      <c r="FE93" s="250"/>
      <c r="FF93" s="250"/>
      <c r="FG93" s="250"/>
      <c r="FH93" s="250"/>
      <c r="FI93" s="250"/>
      <c r="FJ93" s="250"/>
      <c r="FK93" s="250"/>
      <c r="FL93" s="250"/>
      <c r="FM93" s="250"/>
      <c r="FN93" s="250"/>
      <c r="FO93" s="250"/>
      <c r="FP93" s="250"/>
      <c r="FQ93" s="250"/>
      <c r="FR93" s="250"/>
      <c r="FS93" s="250"/>
      <c r="FT93" s="250"/>
      <c r="FU93" s="250"/>
      <c r="FV93" s="250"/>
      <c r="FW93" s="250"/>
      <c r="FX93" s="250"/>
      <c r="FY93" s="250"/>
      <c r="FZ93" s="250"/>
      <c r="GA93" s="250"/>
      <c r="GB93" s="250"/>
      <c r="GC93" s="250"/>
      <c r="GD93" s="250"/>
      <c r="GE93" s="250"/>
      <c r="GF93" s="250"/>
      <c r="GG93" s="250"/>
      <c r="GH93" s="250"/>
      <c r="GI93" s="250"/>
      <c r="GJ93" s="250"/>
      <c r="GK93" s="250"/>
      <c r="GL93" s="250"/>
      <c r="GM93" s="250"/>
      <c r="GN93" s="250"/>
      <c r="GO93" s="250"/>
      <c r="GP93" s="250"/>
      <c r="GQ93" s="250"/>
      <c r="GR93" s="250"/>
      <c r="GS93" s="250"/>
      <c r="GT93" s="250"/>
      <c r="GU93" s="250"/>
      <c r="GV93" s="250"/>
      <c r="GW93" s="250"/>
      <c r="GX93" s="250"/>
      <c r="GY93" s="250"/>
      <c r="GZ93" s="250"/>
      <c r="HA93" s="250"/>
      <c r="HB93" s="250"/>
      <c r="HC93" s="250"/>
      <c r="HD93" s="250"/>
      <c r="HE93" s="250"/>
      <c r="HF93" s="250"/>
      <c r="HG93" s="250"/>
      <c r="HH93" s="250"/>
      <c r="HI93" s="250"/>
      <c r="HJ93" s="250"/>
      <c r="HK93" s="250"/>
      <c r="HL93" s="250"/>
      <c r="HM93" s="250"/>
      <c r="HN93" s="250"/>
      <c r="HO93" s="250"/>
      <c r="HP93" s="250"/>
      <c r="HQ93" s="250"/>
      <c r="HR93" s="250"/>
      <c r="HS93" s="250"/>
      <c r="HT93" s="250"/>
      <c r="HU93" s="250"/>
      <c r="HV93" s="250"/>
      <c r="HW93" s="250"/>
      <c r="HX93" s="250"/>
      <c r="HY93" s="250"/>
      <c r="HZ93" s="250"/>
      <c r="IA93" s="250"/>
      <c r="IB93" s="250"/>
      <c r="IC93" s="250"/>
      <c r="ID93" s="250"/>
      <c r="IE93" s="250"/>
      <c r="IF93" s="250"/>
      <c r="IG93" s="250"/>
      <c r="IH93" s="250"/>
      <c r="II93" s="250"/>
      <c r="IJ93" s="250"/>
      <c r="IK93" s="250"/>
      <c r="IL93" s="250"/>
      <c r="IM93" s="250"/>
      <c r="IN93" s="250"/>
      <c r="IO93" s="250"/>
      <c r="IP93" s="250"/>
      <c r="IQ93" s="250"/>
      <c r="IR93" s="250"/>
      <c r="IS93" s="250"/>
      <c r="IT93" s="250"/>
      <c r="IU93" s="250"/>
      <c r="IV93" s="250"/>
      <c r="IW93" s="250"/>
      <c r="IX93" s="250"/>
      <c r="IY93" s="250"/>
      <c r="IZ93" s="250"/>
      <c r="JA93" s="250"/>
      <c r="JB93" s="250"/>
      <c r="JC93" s="250"/>
      <c r="JD93" s="250"/>
      <c r="JE93" s="250"/>
      <c r="JF93" s="250"/>
      <c r="JG93" s="250"/>
      <c r="JH93" s="250"/>
      <c r="JI93" s="250"/>
      <c r="JJ93" s="250"/>
      <c r="JK93" s="250"/>
      <c r="JL93" s="250"/>
      <c r="JM93" s="250"/>
      <c r="JN93" s="250"/>
      <c r="JO93" s="250"/>
      <c r="JP93" s="250"/>
      <c r="JQ93" s="250"/>
      <c r="JR93" s="250"/>
      <c r="JS93" s="250"/>
      <c r="JT93" s="250"/>
      <c r="JU93" s="250"/>
      <c r="JV93" s="250"/>
      <c r="JW93" s="250"/>
      <c r="JX93" s="250"/>
      <c r="JY93" s="250"/>
      <c r="JZ93" s="250"/>
      <c r="KA93" s="250"/>
      <c r="KB93" s="250"/>
      <c r="KC93" s="250"/>
      <c r="KD93" s="250"/>
      <c r="KE93" s="250"/>
      <c r="KF93" s="250"/>
      <c r="KG93" s="250"/>
      <c r="KH93" s="250"/>
      <c r="KI93" s="250"/>
      <c r="KJ93" s="250"/>
      <c r="KK93" s="250"/>
      <c r="KL93" s="250"/>
      <c r="KM93" s="250"/>
      <c r="KN93" s="250"/>
      <c r="KO93" s="250"/>
      <c r="KP93" s="250"/>
      <c r="KQ93" s="250"/>
      <c r="KR93" s="250"/>
      <c r="KS93" s="250"/>
      <c r="KT93" s="250"/>
      <c r="KU93" s="250"/>
      <c r="KV93" s="250"/>
      <c r="KW93" s="250"/>
      <c r="KX93" s="250"/>
      <c r="KY93" s="250"/>
      <c r="KZ93" s="250"/>
      <c r="LA93" s="250"/>
      <c r="LB93" s="250"/>
      <c r="LC93" s="250"/>
      <c r="LD93" s="250"/>
      <c r="LE93" s="250"/>
      <c r="LF93" s="250"/>
      <c r="LG93" s="250"/>
      <c r="LH93" s="250"/>
      <c r="LI93" s="250"/>
      <c r="LJ93" s="250"/>
      <c r="LK93" s="250"/>
      <c r="LL93" s="250"/>
      <c r="LM93" s="250"/>
      <c r="LN93" s="250"/>
      <c r="LO93" s="250"/>
      <c r="LP93" s="250"/>
      <c r="LQ93" s="250"/>
      <c r="LR93" s="250"/>
      <c r="LS93" s="250"/>
      <c r="LT93" s="250"/>
      <c r="LU93" s="250"/>
      <c r="LV93" s="250"/>
      <c r="LW93" s="250"/>
      <c r="LX93" s="250"/>
      <c r="LY93" s="250"/>
      <c r="LZ93" s="250"/>
      <c r="MA93" s="250"/>
      <c r="MB93" s="250"/>
      <c r="MC93" s="250"/>
      <c r="MD93" s="250"/>
      <c r="ME93" s="250"/>
      <c r="MF93" s="250"/>
      <c r="MG93" s="250"/>
      <c r="MH93" s="250"/>
      <c r="MI93" s="250"/>
      <c r="MJ93" s="250"/>
      <c r="MK93" s="250"/>
      <c r="ML93" s="250"/>
      <c r="MM93" s="250"/>
      <c r="MN93" s="250"/>
      <c r="MO93" s="250"/>
      <c r="MP93" s="250"/>
      <c r="MQ93" s="250"/>
      <c r="MR93" s="250"/>
      <c r="MS93" s="250"/>
      <c r="MT93" s="250"/>
      <c r="MU93" s="250"/>
      <c r="MV93" s="250"/>
      <c r="MW93" s="250"/>
      <c r="MX93" s="250"/>
      <c r="MY93" s="250"/>
      <c r="MZ93" s="250"/>
      <c r="NA93" s="250"/>
      <c r="NB93" s="250"/>
      <c r="NC93" s="250"/>
      <c r="ND93" s="250"/>
      <c r="NE93" s="250"/>
      <c r="NF93" s="250"/>
      <c r="NG93" s="250"/>
      <c r="NH93" s="250"/>
      <c r="NI93" s="250"/>
      <c r="NJ93" s="250"/>
      <c r="NK93" s="250"/>
      <c r="NL93" s="250"/>
      <c r="NM93" s="250"/>
      <c r="NN93" s="250"/>
      <c r="NO93" s="250"/>
      <c r="NP93" s="250"/>
      <c r="NQ93" s="250"/>
      <c r="NR93" s="250"/>
      <c r="NS93" s="250"/>
      <c r="NT93" s="250"/>
      <c r="NU93" s="250"/>
      <c r="NV93" s="250"/>
      <c r="NW93" s="250"/>
      <c r="NX93" s="250"/>
      <c r="NY93" s="250"/>
      <c r="NZ93" s="250"/>
      <c r="OA93" s="250"/>
      <c r="OB93" s="250"/>
      <c r="OC93" s="250"/>
      <c r="OD93" s="250"/>
      <c r="OE93" s="250"/>
      <c r="OF93" s="250"/>
      <c r="OG93" s="250"/>
      <c r="OH93" s="250"/>
      <c r="OI93" s="250"/>
      <c r="OJ93" s="250"/>
      <c r="OK93" s="250"/>
      <c r="OL93" s="250"/>
      <c r="OM93" s="250"/>
      <c r="ON93" s="250"/>
      <c r="OO93" s="250"/>
      <c r="OP93" s="250"/>
      <c r="OQ93" s="250"/>
      <c r="OR93" s="250"/>
      <c r="OS93" s="250"/>
      <c r="OT93" s="250"/>
      <c r="OU93" s="250"/>
      <c r="OV93" s="250"/>
      <c r="OW93" s="250"/>
      <c r="OX93" s="250"/>
      <c r="OY93" s="250"/>
      <c r="OZ93" s="250"/>
      <c r="PA93" s="250"/>
      <c r="PB93" s="250"/>
      <c r="PC93" s="250"/>
      <c r="PD93" s="250"/>
      <c r="PE93" s="250"/>
      <c r="PF93" s="250"/>
      <c r="PG93" s="250"/>
      <c r="PH93" s="250"/>
      <c r="PI93" s="250"/>
      <c r="PJ93" s="250"/>
      <c r="PK93" s="250"/>
      <c r="PL93" s="250"/>
      <c r="PM93" s="250"/>
      <c r="PN93" s="250"/>
      <c r="PO93" s="250"/>
      <c r="PP93" s="250"/>
      <c r="PQ93" s="250"/>
      <c r="PR93" s="250"/>
      <c r="PS93" s="250"/>
      <c r="PT93" s="250"/>
      <c r="PU93" s="250"/>
      <c r="PV93" s="250"/>
      <c r="PW93" s="250"/>
      <c r="PX93" s="250"/>
      <c r="PY93" s="250"/>
      <c r="PZ93" s="250"/>
      <c r="QA93" s="250"/>
      <c r="QB93" s="250"/>
      <c r="QC93" s="250"/>
      <c r="QD93" s="250"/>
      <c r="QE93" s="250"/>
      <c r="QF93" s="250"/>
      <c r="QG93" s="250"/>
      <c r="QH93" s="250"/>
      <c r="QI93" s="250"/>
      <c r="QJ93" s="250"/>
      <c r="QK93" s="250"/>
      <c r="QL93" s="250"/>
      <c r="QM93" s="250"/>
      <c r="QN93" s="250"/>
      <c r="QO93" s="250"/>
      <c r="QP93" s="250"/>
      <c r="QQ93" s="250"/>
      <c r="QR93" s="250"/>
      <c r="QS93" s="250"/>
      <c r="QT93" s="250"/>
      <c r="QU93" s="250"/>
      <c r="QV93" s="250"/>
      <c r="QW93" s="250"/>
      <c r="QX93" s="250"/>
      <c r="QY93" s="250"/>
      <c r="QZ93" s="250"/>
      <c r="RA93" s="250"/>
      <c r="RB93" s="250"/>
      <c r="RC93" s="250"/>
      <c r="RD93" s="250"/>
      <c r="RE93" s="250"/>
      <c r="RF93" s="250"/>
      <c r="RG93" s="250"/>
      <c r="RH93" s="250"/>
      <c r="RI93" s="250"/>
      <c r="RJ93" s="250"/>
      <c r="RK93" s="250"/>
      <c r="RL93" s="250"/>
      <c r="RM93" s="250"/>
      <c r="RN93" s="250"/>
      <c r="RO93" s="250"/>
      <c r="RP93" s="250"/>
      <c r="RQ93" s="250"/>
      <c r="RR93" s="250"/>
      <c r="RS93" s="250"/>
      <c r="RT93" s="250"/>
      <c r="RU93" s="250"/>
      <c r="RV93" s="250"/>
      <c r="RW93" s="250"/>
      <c r="RX93" s="250"/>
      <c r="RY93" s="250"/>
      <c r="RZ93" s="250"/>
      <c r="SA93" s="250"/>
      <c r="SB93" s="250"/>
      <c r="SC93" s="250"/>
      <c r="SD93" s="250"/>
      <c r="SE93" s="250"/>
      <c r="SF93" s="250"/>
      <c r="SG93" s="250"/>
      <c r="SH93" s="250"/>
      <c r="SI93" s="250"/>
      <c r="SJ93" s="250"/>
      <c r="SK93" s="250"/>
      <c r="SL93" s="250"/>
      <c r="SM93" s="250"/>
      <c r="SN93" s="250"/>
      <c r="SO93" s="250"/>
      <c r="SP93" s="250"/>
      <c r="SQ93" s="250"/>
      <c r="SR93" s="250"/>
      <c r="SS93" s="250"/>
      <c r="ST93" s="250"/>
      <c r="SU93" s="250"/>
      <c r="SV93" s="250"/>
      <c r="SW93" s="250"/>
      <c r="SX93" s="250"/>
      <c r="SY93" s="250"/>
      <c r="SZ93" s="250"/>
      <c r="TA93" s="250"/>
      <c r="TB93" s="250"/>
      <c r="TC93" s="250"/>
      <c r="TD93" s="250"/>
      <c r="TE93" s="250"/>
      <c r="TF93" s="250"/>
      <c r="TG93" s="250"/>
      <c r="TH93" s="250"/>
      <c r="TI93" s="250"/>
      <c r="TJ93" s="250"/>
      <c r="TK93" s="250"/>
      <c r="TL93" s="250"/>
      <c r="TM93" s="250"/>
      <c r="TN93" s="250"/>
      <c r="TO93" s="250"/>
      <c r="TP93" s="250"/>
      <c r="TQ93" s="250"/>
      <c r="TR93" s="250"/>
      <c r="TS93" s="250"/>
      <c r="TT93" s="250"/>
      <c r="TU93" s="250"/>
      <c r="TV93" s="250"/>
      <c r="TW93" s="250"/>
      <c r="TX93" s="250"/>
      <c r="TY93" s="250"/>
      <c r="TZ93" s="250"/>
      <c r="UA93" s="250"/>
      <c r="UB93" s="250"/>
      <c r="UC93" s="250"/>
      <c r="UD93" s="250"/>
      <c r="UE93" s="250"/>
      <c r="UF93" s="250"/>
      <c r="UG93" s="250"/>
      <c r="UH93" s="250"/>
    </row>
    <row r="94" spans="1:554" x14ac:dyDescent="0.25">
      <c r="P94" s="469">
        <f>P93+Q93</f>
        <v>2516.88</v>
      </c>
      <c r="R94" s="352">
        <f>R93+S93</f>
        <v>236005.75244000001</v>
      </c>
      <c r="Y94" s="466"/>
      <c r="Z94" s="466"/>
      <c r="AA94" s="466"/>
      <c r="AB94" s="466" t="s">
        <v>178</v>
      </c>
      <c r="AC94" s="466"/>
      <c r="AD94" s="466"/>
      <c r="AE94" s="466"/>
      <c r="AF94" s="466"/>
      <c r="AG94" s="466"/>
      <c r="AH94" s="466"/>
      <c r="AI94" s="466"/>
      <c r="AJ94" s="466"/>
      <c r="AK94" s="466"/>
      <c r="AL94" s="466"/>
      <c r="AM94" s="466"/>
      <c r="AN94" s="466"/>
      <c r="AO94" s="466"/>
      <c r="AP94" s="466"/>
      <c r="AQ94" s="466"/>
      <c r="AR94" s="466"/>
      <c r="AS94" s="466"/>
      <c r="AT94" s="466"/>
      <c r="AU94" s="466"/>
      <c r="AV94" s="466"/>
      <c r="AW94" s="466"/>
      <c r="AX94" s="466"/>
      <c r="AY94" s="466"/>
      <c r="AZ94" s="466"/>
      <c r="BA94" s="466"/>
      <c r="BB94" s="466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50"/>
      <c r="CB94" s="250"/>
      <c r="CC94" s="250"/>
      <c r="CD94" s="250"/>
      <c r="CE94" s="250"/>
      <c r="CF94" s="250"/>
      <c r="CG94" s="250"/>
      <c r="CH94" s="250"/>
      <c r="CI94" s="250"/>
      <c r="CJ94" s="250"/>
      <c r="CK94" s="250"/>
      <c r="CL94" s="250"/>
      <c r="CM94" s="250"/>
      <c r="CN94" s="250"/>
      <c r="CO94" s="250"/>
      <c r="CP94" s="250"/>
      <c r="CQ94" s="250"/>
      <c r="CR94" s="250"/>
      <c r="CS94" s="250"/>
      <c r="CT94" s="250"/>
      <c r="CU94" s="250"/>
      <c r="CV94" s="250"/>
      <c r="CW94" s="250"/>
      <c r="CX94" s="250"/>
      <c r="CY94" s="250"/>
      <c r="CZ94" s="250"/>
      <c r="DA94" s="250"/>
      <c r="DB94" s="250"/>
      <c r="DC94" s="250"/>
      <c r="DD94" s="250"/>
      <c r="DE94" s="250"/>
      <c r="DF94" s="250"/>
      <c r="DG94" s="250"/>
      <c r="DH94" s="250"/>
      <c r="DI94" s="250"/>
      <c r="DJ94" s="250"/>
      <c r="DK94" s="250"/>
      <c r="DL94" s="250"/>
      <c r="DM94" s="250"/>
      <c r="DN94" s="250"/>
      <c r="DO94" s="250"/>
      <c r="DP94" s="250"/>
      <c r="DQ94" s="250"/>
      <c r="DR94" s="250"/>
      <c r="DS94" s="250"/>
      <c r="DT94" s="250"/>
      <c r="DU94" s="250"/>
      <c r="DV94" s="250"/>
      <c r="DW94" s="250"/>
      <c r="DX94" s="250"/>
      <c r="DY94" s="250"/>
      <c r="DZ94" s="250"/>
      <c r="EA94" s="250"/>
      <c r="EB94" s="250"/>
      <c r="EC94" s="250"/>
      <c r="ED94" s="250"/>
      <c r="EE94" s="250"/>
      <c r="EF94" s="250"/>
      <c r="EG94" s="250"/>
      <c r="EH94" s="250"/>
      <c r="EI94" s="250"/>
      <c r="EJ94" s="250"/>
      <c r="EK94" s="250"/>
      <c r="EL94" s="250"/>
      <c r="EM94" s="250"/>
      <c r="EN94" s="250"/>
      <c r="EO94" s="250"/>
      <c r="EP94" s="250"/>
      <c r="EQ94" s="250"/>
      <c r="ER94" s="250"/>
      <c r="ES94" s="250"/>
      <c r="ET94" s="250"/>
      <c r="EU94" s="250"/>
      <c r="EV94" s="250"/>
      <c r="EW94" s="250"/>
      <c r="EX94" s="250"/>
      <c r="EY94" s="250"/>
      <c r="EZ94" s="250"/>
      <c r="FA94" s="250"/>
      <c r="FB94" s="250"/>
      <c r="FC94" s="250"/>
      <c r="FD94" s="250"/>
      <c r="FE94" s="250"/>
      <c r="FF94" s="250"/>
      <c r="FG94" s="250"/>
      <c r="FH94" s="250"/>
      <c r="FI94" s="250"/>
      <c r="FJ94" s="250"/>
      <c r="FK94" s="250"/>
      <c r="FL94" s="250"/>
      <c r="FM94" s="250"/>
      <c r="FN94" s="250"/>
      <c r="FO94" s="250"/>
      <c r="FP94" s="250"/>
      <c r="FQ94" s="250"/>
      <c r="FR94" s="250"/>
      <c r="FS94" s="250"/>
      <c r="FT94" s="250"/>
      <c r="FU94" s="250"/>
      <c r="FV94" s="250"/>
      <c r="FW94" s="250"/>
      <c r="FX94" s="250"/>
      <c r="FY94" s="250"/>
      <c r="FZ94" s="250"/>
      <c r="GA94" s="250"/>
      <c r="GB94" s="250"/>
      <c r="GC94" s="250"/>
      <c r="GD94" s="250"/>
      <c r="GE94" s="250"/>
      <c r="GF94" s="250"/>
      <c r="GG94" s="250"/>
      <c r="GH94" s="250"/>
      <c r="GI94" s="250"/>
      <c r="GJ94" s="250"/>
      <c r="GK94" s="250"/>
      <c r="GL94" s="250"/>
      <c r="GM94" s="250"/>
      <c r="GN94" s="250"/>
      <c r="GO94" s="250"/>
      <c r="GP94" s="250"/>
      <c r="GQ94" s="250"/>
      <c r="GR94" s="250"/>
      <c r="GS94" s="250"/>
      <c r="GT94" s="250"/>
      <c r="GU94" s="250"/>
      <c r="GV94" s="250"/>
      <c r="GW94" s="250"/>
      <c r="GX94" s="250"/>
      <c r="GY94" s="250"/>
      <c r="GZ94" s="250"/>
      <c r="HA94" s="250"/>
      <c r="HB94" s="250"/>
      <c r="HC94" s="250"/>
      <c r="HD94" s="250"/>
      <c r="HE94" s="250"/>
      <c r="HF94" s="250"/>
      <c r="HG94" s="250"/>
      <c r="HH94" s="250"/>
      <c r="HI94" s="250"/>
      <c r="HJ94" s="250"/>
      <c r="HK94" s="250"/>
      <c r="HL94" s="250"/>
      <c r="HM94" s="250"/>
      <c r="HN94" s="250"/>
      <c r="HO94" s="250"/>
      <c r="HP94" s="250"/>
      <c r="HQ94" s="250"/>
      <c r="HR94" s="250"/>
      <c r="HS94" s="250"/>
      <c r="HT94" s="250"/>
      <c r="HU94" s="250"/>
      <c r="HV94" s="250"/>
      <c r="HW94" s="250"/>
      <c r="HX94" s="250"/>
      <c r="HY94" s="250"/>
      <c r="HZ94" s="250"/>
      <c r="IA94" s="250"/>
      <c r="IB94" s="250"/>
      <c r="IC94" s="250"/>
      <c r="ID94" s="250"/>
      <c r="IE94" s="250"/>
      <c r="IF94" s="250"/>
      <c r="IG94" s="250"/>
      <c r="IH94" s="250"/>
      <c r="II94" s="250"/>
      <c r="IJ94" s="250"/>
      <c r="IK94" s="250"/>
      <c r="IL94" s="250"/>
      <c r="IM94" s="250"/>
      <c r="IN94" s="250"/>
      <c r="IO94" s="250"/>
      <c r="IP94" s="250"/>
      <c r="IQ94" s="250"/>
      <c r="IR94" s="250"/>
      <c r="IS94" s="250"/>
      <c r="IT94" s="250"/>
      <c r="IU94" s="250"/>
      <c r="IV94" s="250"/>
      <c r="IW94" s="250"/>
      <c r="IX94" s="250"/>
      <c r="IY94" s="250"/>
      <c r="IZ94" s="250"/>
      <c r="JA94" s="250"/>
      <c r="JB94" s="250"/>
      <c r="JC94" s="250"/>
      <c r="JD94" s="250"/>
      <c r="JE94" s="250"/>
      <c r="JF94" s="250"/>
      <c r="JG94" s="250"/>
      <c r="JH94" s="250"/>
      <c r="JI94" s="250"/>
      <c r="JJ94" s="250"/>
      <c r="JK94" s="250"/>
      <c r="JL94" s="250"/>
      <c r="JM94" s="250"/>
      <c r="JN94" s="250"/>
      <c r="JO94" s="250"/>
      <c r="JP94" s="250"/>
      <c r="JQ94" s="250"/>
      <c r="JR94" s="250"/>
      <c r="JS94" s="250"/>
      <c r="JT94" s="250"/>
      <c r="JU94" s="250"/>
      <c r="JV94" s="250"/>
      <c r="JW94" s="250"/>
      <c r="JX94" s="250"/>
      <c r="JY94" s="250"/>
      <c r="JZ94" s="250"/>
      <c r="KA94" s="250"/>
      <c r="KB94" s="250"/>
      <c r="KC94" s="250"/>
      <c r="KD94" s="250"/>
      <c r="KE94" s="250"/>
      <c r="KF94" s="250"/>
      <c r="KG94" s="250"/>
      <c r="KH94" s="250"/>
      <c r="KI94" s="250"/>
      <c r="KJ94" s="250"/>
      <c r="KK94" s="250"/>
      <c r="KL94" s="250"/>
      <c r="KM94" s="250"/>
      <c r="KN94" s="250"/>
      <c r="KO94" s="250"/>
      <c r="KP94" s="250"/>
      <c r="KQ94" s="250"/>
      <c r="KR94" s="250"/>
      <c r="KS94" s="250"/>
      <c r="KT94" s="250"/>
      <c r="KU94" s="250"/>
      <c r="KV94" s="250"/>
      <c r="KW94" s="250"/>
      <c r="KX94" s="250"/>
      <c r="KY94" s="250"/>
      <c r="KZ94" s="250"/>
      <c r="LA94" s="250"/>
      <c r="LB94" s="250"/>
      <c r="LC94" s="250"/>
      <c r="LD94" s="250"/>
      <c r="LE94" s="250"/>
      <c r="LF94" s="250"/>
      <c r="LG94" s="250"/>
      <c r="LH94" s="250"/>
      <c r="LI94" s="250"/>
      <c r="LJ94" s="250"/>
      <c r="LK94" s="250"/>
      <c r="LL94" s="250"/>
      <c r="LM94" s="250"/>
      <c r="LN94" s="250"/>
      <c r="LO94" s="250"/>
      <c r="LP94" s="250"/>
      <c r="LQ94" s="250"/>
      <c r="LR94" s="250"/>
      <c r="LS94" s="250"/>
      <c r="LT94" s="250"/>
      <c r="LU94" s="250"/>
      <c r="LV94" s="250"/>
      <c r="LW94" s="250"/>
      <c r="LX94" s="250"/>
      <c r="LY94" s="250"/>
      <c r="LZ94" s="250"/>
      <c r="MA94" s="250"/>
      <c r="MB94" s="250"/>
      <c r="MC94" s="250"/>
      <c r="MD94" s="250"/>
      <c r="ME94" s="250"/>
      <c r="MF94" s="250"/>
      <c r="MG94" s="250"/>
      <c r="MH94" s="250"/>
      <c r="MI94" s="250"/>
      <c r="MJ94" s="250"/>
      <c r="MK94" s="250"/>
      <c r="ML94" s="250"/>
      <c r="MM94" s="250"/>
      <c r="MN94" s="250"/>
      <c r="MO94" s="250"/>
      <c r="MP94" s="250"/>
      <c r="MQ94" s="250"/>
      <c r="MR94" s="250"/>
      <c r="MS94" s="250"/>
      <c r="MT94" s="250"/>
      <c r="MU94" s="250"/>
      <c r="MV94" s="250"/>
      <c r="MW94" s="250"/>
      <c r="MX94" s="250"/>
      <c r="MY94" s="250"/>
      <c r="MZ94" s="250"/>
      <c r="NA94" s="250"/>
      <c r="NB94" s="250"/>
      <c r="NC94" s="250"/>
      <c r="ND94" s="250"/>
      <c r="NE94" s="250"/>
      <c r="NF94" s="250"/>
      <c r="NG94" s="250"/>
      <c r="NH94" s="250"/>
      <c r="NI94" s="250"/>
      <c r="NJ94" s="250"/>
      <c r="NK94" s="250"/>
      <c r="NL94" s="250"/>
      <c r="NM94" s="250"/>
      <c r="NN94" s="250"/>
      <c r="NO94" s="250"/>
      <c r="NP94" s="250"/>
      <c r="NQ94" s="250"/>
      <c r="NR94" s="250"/>
      <c r="NS94" s="250"/>
      <c r="NT94" s="250"/>
      <c r="NU94" s="250"/>
      <c r="NV94" s="250"/>
      <c r="NW94" s="250"/>
      <c r="NX94" s="250"/>
      <c r="NY94" s="250"/>
      <c r="NZ94" s="250"/>
      <c r="OA94" s="250"/>
      <c r="OB94" s="250"/>
      <c r="OC94" s="250"/>
      <c r="OD94" s="250"/>
      <c r="OE94" s="250"/>
      <c r="OF94" s="250"/>
      <c r="OG94" s="250"/>
      <c r="OH94" s="250"/>
      <c r="OI94" s="250"/>
      <c r="OJ94" s="250"/>
      <c r="OK94" s="250"/>
      <c r="OL94" s="250"/>
      <c r="OM94" s="250"/>
      <c r="ON94" s="250"/>
      <c r="OO94" s="250"/>
      <c r="OP94" s="250"/>
      <c r="OQ94" s="250"/>
      <c r="OR94" s="250"/>
      <c r="OS94" s="250"/>
      <c r="OT94" s="250"/>
      <c r="OU94" s="250"/>
      <c r="OV94" s="250"/>
      <c r="OW94" s="250"/>
      <c r="OX94" s="250"/>
      <c r="OY94" s="250"/>
      <c r="OZ94" s="250"/>
      <c r="PA94" s="250"/>
      <c r="PB94" s="250"/>
      <c r="PC94" s="250"/>
      <c r="PD94" s="250"/>
      <c r="PE94" s="250"/>
      <c r="PF94" s="250"/>
      <c r="PG94" s="250"/>
      <c r="PH94" s="250"/>
      <c r="PI94" s="250"/>
      <c r="PJ94" s="250"/>
      <c r="PK94" s="250"/>
      <c r="PL94" s="250"/>
      <c r="PM94" s="250"/>
      <c r="PN94" s="250"/>
      <c r="PO94" s="250"/>
      <c r="PP94" s="250"/>
      <c r="PQ94" s="250"/>
      <c r="PR94" s="250"/>
      <c r="PS94" s="250"/>
      <c r="PT94" s="250"/>
      <c r="PU94" s="250"/>
      <c r="PV94" s="250"/>
      <c r="PW94" s="250"/>
      <c r="PX94" s="250"/>
      <c r="PY94" s="250"/>
      <c r="PZ94" s="250"/>
      <c r="QA94" s="250"/>
      <c r="QB94" s="250"/>
      <c r="QC94" s="250"/>
      <c r="QD94" s="250"/>
      <c r="QE94" s="250"/>
      <c r="QF94" s="250"/>
      <c r="QG94" s="250"/>
      <c r="QH94" s="250"/>
      <c r="QI94" s="250"/>
      <c r="QJ94" s="250"/>
      <c r="QK94" s="250"/>
      <c r="QL94" s="250"/>
      <c r="QM94" s="250"/>
      <c r="QN94" s="250"/>
      <c r="QO94" s="250"/>
      <c r="QP94" s="250"/>
      <c r="QQ94" s="250"/>
      <c r="QR94" s="250"/>
      <c r="QS94" s="250"/>
      <c r="QT94" s="250"/>
      <c r="QU94" s="250"/>
      <c r="QV94" s="250"/>
      <c r="QW94" s="250"/>
      <c r="QX94" s="250"/>
      <c r="QY94" s="250"/>
      <c r="QZ94" s="250"/>
      <c r="RA94" s="250"/>
      <c r="RB94" s="250"/>
      <c r="RC94" s="250"/>
      <c r="RD94" s="250"/>
      <c r="RE94" s="250"/>
      <c r="RF94" s="250"/>
      <c r="RG94" s="250"/>
      <c r="RH94" s="250"/>
      <c r="RI94" s="250"/>
      <c r="RJ94" s="250"/>
      <c r="RK94" s="250"/>
      <c r="RL94" s="250"/>
      <c r="RM94" s="250"/>
      <c r="RN94" s="250"/>
      <c r="RO94" s="250"/>
      <c r="RP94" s="250"/>
      <c r="RQ94" s="250"/>
      <c r="RR94" s="250"/>
      <c r="RS94" s="250"/>
      <c r="RT94" s="250"/>
      <c r="RU94" s="250"/>
      <c r="RV94" s="250"/>
      <c r="RW94" s="250"/>
      <c r="RX94" s="250"/>
      <c r="RY94" s="250"/>
      <c r="RZ94" s="250"/>
      <c r="SA94" s="250"/>
      <c r="SB94" s="250"/>
      <c r="SC94" s="250"/>
      <c r="SD94" s="250"/>
      <c r="SE94" s="250"/>
      <c r="SF94" s="250"/>
      <c r="SG94" s="250"/>
      <c r="SH94" s="250"/>
      <c r="SI94" s="250"/>
      <c r="SJ94" s="250"/>
      <c r="SK94" s="250"/>
      <c r="SL94" s="250"/>
      <c r="SM94" s="250"/>
      <c r="SN94" s="250"/>
      <c r="SO94" s="250"/>
      <c r="SP94" s="250"/>
      <c r="SQ94" s="250"/>
      <c r="SR94" s="250"/>
      <c r="SS94" s="250"/>
      <c r="ST94" s="250"/>
      <c r="SU94" s="250"/>
      <c r="SV94" s="250"/>
      <c r="SW94" s="250"/>
      <c r="SX94" s="250"/>
      <c r="SY94" s="250"/>
      <c r="SZ94" s="250"/>
      <c r="TA94" s="250"/>
      <c r="TB94" s="250"/>
      <c r="TC94" s="250"/>
      <c r="TD94" s="250"/>
      <c r="TE94" s="250"/>
      <c r="TF94" s="250"/>
      <c r="TG94" s="250"/>
      <c r="TH94" s="250"/>
      <c r="TI94" s="250"/>
      <c r="TJ94" s="250"/>
      <c r="TK94" s="250"/>
      <c r="TL94" s="250"/>
      <c r="TM94" s="250"/>
      <c r="TN94" s="250"/>
      <c r="TO94" s="250"/>
      <c r="TP94" s="250"/>
      <c r="TQ94" s="250"/>
      <c r="TR94" s="250"/>
      <c r="TS94" s="250"/>
      <c r="TT94" s="250"/>
      <c r="TU94" s="250"/>
      <c r="TV94" s="250"/>
      <c r="TW94" s="250"/>
      <c r="TX94" s="250"/>
      <c r="TY94" s="250"/>
      <c r="TZ94" s="250"/>
      <c r="UA94" s="250"/>
      <c r="UB94" s="250"/>
      <c r="UC94" s="250"/>
      <c r="UD94" s="250"/>
      <c r="UE94" s="250"/>
      <c r="UF94" s="250"/>
      <c r="UG94" s="250"/>
      <c r="UH94" s="250"/>
    </row>
    <row r="95" spans="1:554" x14ac:dyDescent="0.25">
      <c r="Y95" s="466"/>
      <c r="Z95" s="466"/>
      <c r="AA95" s="466"/>
      <c r="AB95" s="466"/>
      <c r="AC95" s="466"/>
      <c r="AD95" s="466"/>
      <c r="AE95" s="466"/>
      <c r="AF95" s="466"/>
      <c r="AG95" s="466"/>
      <c r="AH95" s="466"/>
      <c r="AI95" s="466"/>
      <c r="AJ95" s="466"/>
      <c r="AK95" s="466"/>
      <c r="AL95" s="466"/>
      <c r="AM95" s="466"/>
      <c r="AN95" s="466"/>
      <c r="AO95" s="466"/>
      <c r="AP95" s="466"/>
      <c r="AQ95" s="466"/>
      <c r="AR95" s="466"/>
      <c r="AS95" s="466"/>
      <c r="AT95" s="466"/>
      <c r="AU95" s="466"/>
      <c r="AV95" s="466"/>
      <c r="AW95" s="466"/>
      <c r="AX95" s="466"/>
      <c r="AY95" s="466"/>
      <c r="AZ95" s="466"/>
      <c r="BA95" s="466"/>
      <c r="BB95" s="466"/>
    </row>
    <row r="96" spans="1:554" x14ac:dyDescent="0.25">
      <c r="E96" s="353" t="s">
        <v>581</v>
      </c>
      <c r="Y96" s="466"/>
      <c r="Z96" s="466"/>
      <c r="AA96" s="466"/>
      <c r="AB96" s="466"/>
      <c r="AC96" s="466"/>
      <c r="AD96" s="466"/>
      <c r="AE96" s="466"/>
      <c r="AF96" s="466"/>
      <c r="AG96" s="466"/>
      <c r="AH96" s="466"/>
      <c r="AI96" s="466"/>
      <c r="AJ96" s="466"/>
      <c r="AK96" s="466"/>
      <c r="AL96" s="466"/>
      <c r="AM96" s="466"/>
      <c r="AN96" s="466"/>
      <c r="AO96" s="466"/>
      <c r="AP96" s="466"/>
      <c r="AQ96" s="466"/>
      <c r="AR96" s="466"/>
      <c r="AS96" s="466"/>
      <c r="AT96" s="466"/>
      <c r="AU96" s="466"/>
      <c r="AV96" s="466"/>
      <c r="AW96" s="466"/>
      <c r="AX96" s="466"/>
      <c r="AY96" s="466"/>
      <c r="AZ96" s="466"/>
      <c r="BA96" s="466"/>
      <c r="BB96" s="466"/>
    </row>
    <row r="97" spans="1:33" ht="15.75" x14ac:dyDescent="0.25">
      <c r="C97" s="11"/>
      <c r="D97" s="11"/>
      <c r="E97" s="11"/>
      <c r="F97" s="11"/>
      <c r="G97" s="11"/>
      <c r="H97" s="11"/>
      <c r="I97" s="11"/>
      <c r="J97" s="11"/>
    </row>
    <row r="98" spans="1:33" ht="15.75" x14ac:dyDescent="0.25">
      <c r="A98" s="10"/>
      <c r="B98" s="1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1:33" ht="15.75" customHeight="1" x14ac:dyDescent="0.25">
      <c r="A99" s="296"/>
      <c r="B99" s="296"/>
      <c r="C99" s="296"/>
      <c r="D99" s="296"/>
      <c r="E99" s="296"/>
      <c r="F99" s="296"/>
      <c r="G99" s="296"/>
      <c r="H99" s="296"/>
      <c r="I99" s="296"/>
      <c r="J99" s="296"/>
      <c r="K99" s="296"/>
      <c r="L99" s="296"/>
      <c r="M99" s="296"/>
      <c r="N99" s="296"/>
      <c r="O99" s="296"/>
      <c r="P99" s="296"/>
      <c r="Q99" s="296"/>
      <c r="R99" s="296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</row>
    <row r="100" spans="1:33" ht="22.5" customHeight="1" x14ac:dyDescent="0.25">
      <c r="A100" s="296"/>
      <c r="B100" s="296"/>
      <c r="C100" s="296"/>
      <c r="D100" s="296"/>
      <c r="E100" s="296"/>
      <c r="F100" s="296"/>
      <c r="G100" s="296"/>
      <c r="H100" s="296"/>
      <c r="I100" s="296"/>
      <c r="J100" s="296"/>
      <c r="K100" s="296"/>
      <c r="L100" s="296"/>
      <c r="M100" s="296"/>
      <c r="N100" s="296"/>
      <c r="O100" s="296"/>
      <c r="P100" s="296"/>
      <c r="Q100" s="296"/>
      <c r="R100" s="296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</row>
    <row r="101" spans="1:33" ht="18" customHeight="1" x14ac:dyDescent="0.25">
      <c r="A101" s="296"/>
      <c r="B101" s="296"/>
      <c r="C101" s="296"/>
      <c r="D101" s="296"/>
      <c r="E101" s="296"/>
      <c r="F101" s="296"/>
      <c r="G101" s="296"/>
      <c r="H101" s="296"/>
      <c r="I101" s="296"/>
      <c r="J101" s="296"/>
      <c r="K101" s="296"/>
      <c r="L101" s="296"/>
      <c r="M101" s="296"/>
      <c r="N101" s="296"/>
      <c r="O101" s="296"/>
      <c r="P101" s="296"/>
      <c r="Q101" s="296"/>
      <c r="R101" s="296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</row>
    <row r="102" spans="1:33" ht="15" customHeight="1" x14ac:dyDescent="0.25">
      <c r="A102" s="296"/>
      <c r="B102" s="296"/>
      <c r="C102" s="296"/>
      <c r="D102" s="296"/>
      <c r="E102" s="296"/>
      <c r="F102" s="296"/>
      <c r="G102" s="296"/>
      <c r="H102" s="296"/>
      <c r="I102" s="296"/>
      <c r="J102" s="296"/>
      <c r="K102" s="296"/>
      <c r="L102" s="296"/>
      <c r="M102" s="296"/>
      <c r="N102" s="296"/>
      <c r="O102" s="296"/>
      <c r="P102" s="296"/>
      <c r="Q102" s="296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</row>
    <row r="103" spans="1:33" ht="15" customHeight="1" x14ac:dyDescent="0.25">
      <c r="A103" s="296"/>
      <c r="B103" s="296"/>
      <c r="C103" s="296"/>
      <c r="D103" s="296"/>
      <c r="E103" s="296"/>
      <c r="F103" s="296"/>
      <c r="G103" s="296"/>
      <c r="H103" s="296"/>
      <c r="I103" s="296"/>
      <c r="J103" s="296"/>
      <c r="K103" s="296"/>
      <c r="L103" s="296"/>
      <c r="M103" s="296"/>
      <c r="N103" s="296"/>
      <c r="O103" s="296"/>
      <c r="P103" s="296"/>
      <c r="Q103" s="296"/>
      <c r="R103" s="296"/>
      <c r="S103" s="296"/>
      <c r="T103" s="296"/>
      <c r="U103" s="296"/>
      <c r="V103" s="296"/>
      <c r="W103" s="296"/>
      <c r="X103" s="296"/>
      <c r="Y103" s="296"/>
      <c r="Z103" s="296"/>
      <c r="AA103" s="296"/>
      <c r="AB103" s="296"/>
      <c r="AC103" s="296"/>
      <c r="AD103" s="296"/>
      <c r="AE103" s="296"/>
      <c r="AF103" s="296"/>
      <c r="AG103" s="296"/>
    </row>
    <row r="104" spans="1:33" ht="15" customHeight="1" x14ac:dyDescent="0.25">
      <c r="A104" s="296"/>
      <c r="B104" s="296"/>
      <c r="C104" s="296"/>
      <c r="D104" s="296"/>
      <c r="E104" s="296"/>
      <c r="F104" s="296"/>
      <c r="G104" s="296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296"/>
      <c r="S104" s="296"/>
      <c r="T104" s="296"/>
      <c r="U104" s="296"/>
      <c r="V104" s="296"/>
      <c r="W104" s="296"/>
      <c r="X104" s="296"/>
      <c r="Y104" s="296"/>
      <c r="Z104" s="296"/>
      <c r="AA104" s="296"/>
      <c r="AB104" s="296"/>
      <c r="AC104" s="296"/>
      <c r="AD104" s="296"/>
      <c r="AE104" s="296"/>
      <c r="AF104" s="296"/>
      <c r="AG104" s="296"/>
    </row>
    <row r="105" spans="1:33" ht="15" customHeight="1" x14ac:dyDescent="0.25">
      <c r="A105" s="296"/>
      <c r="B105" s="296"/>
      <c r="C105" s="296"/>
      <c r="D105" s="296"/>
      <c r="E105" s="296"/>
      <c r="F105" s="296"/>
      <c r="G105" s="296"/>
      <c r="H105" s="296"/>
      <c r="I105" s="296"/>
      <c r="J105" s="296"/>
      <c r="K105" s="296"/>
      <c r="L105" s="296"/>
      <c r="M105" s="296"/>
      <c r="N105" s="296"/>
      <c r="O105" s="296"/>
      <c r="P105" s="296"/>
      <c r="Q105" s="296"/>
      <c r="R105" s="296"/>
      <c r="S105" s="296"/>
      <c r="T105" s="296"/>
      <c r="U105" s="296"/>
      <c r="V105" s="296"/>
      <c r="W105" s="296"/>
      <c r="X105" s="296"/>
      <c r="Y105" s="296"/>
      <c r="Z105" s="296"/>
      <c r="AA105" s="296"/>
      <c r="AB105" s="296"/>
      <c r="AC105" s="296"/>
      <c r="AD105" s="296"/>
      <c r="AE105" s="296"/>
      <c r="AF105" s="296"/>
      <c r="AG105" s="296"/>
    </row>
    <row r="106" spans="1:33" ht="15" customHeight="1" x14ac:dyDescent="0.25">
      <c r="A106" s="296"/>
      <c r="B106" s="296"/>
      <c r="C106" s="296"/>
      <c r="D106" s="296"/>
      <c r="E106" s="296"/>
      <c r="F106" s="296"/>
      <c r="G106" s="296"/>
      <c r="H106" s="296"/>
      <c r="I106" s="296"/>
      <c r="J106" s="296"/>
      <c r="K106" s="296"/>
      <c r="L106" s="296"/>
      <c r="M106" s="296"/>
      <c r="N106" s="296"/>
      <c r="O106" s="296"/>
      <c r="P106" s="296"/>
      <c r="Q106" s="296"/>
      <c r="R106" s="296"/>
      <c r="S106" s="296"/>
      <c r="T106" s="296"/>
      <c r="U106" s="296"/>
      <c r="V106" s="296"/>
      <c r="W106" s="296"/>
      <c r="X106" s="296"/>
      <c r="Y106" s="296"/>
      <c r="Z106" s="296"/>
      <c r="AA106" s="296"/>
      <c r="AB106" s="296"/>
      <c r="AC106" s="296"/>
      <c r="AD106" s="296"/>
      <c r="AE106" s="296"/>
      <c r="AF106" s="296"/>
      <c r="AG106" s="296"/>
    </row>
    <row r="107" spans="1:33" ht="15" customHeight="1" x14ac:dyDescent="0.25">
      <c r="A107" s="296"/>
      <c r="B107" s="296"/>
      <c r="C107" s="296"/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6"/>
      <c r="O107" s="296"/>
      <c r="P107" s="296"/>
      <c r="Q107" s="296"/>
      <c r="R107" s="296"/>
      <c r="S107" s="296"/>
      <c r="T107" s="296"/>
      <c r="U107" s="296"/>
      <c r="V107" s="296"/>
      <c r="W107" s="296"/>
      <c r="X107" s="296"/>
      <c r="Y107" s="296"/>
      <c r="Z107" s="296"/>
      <c r="AA107" s="296"/>
      <c r="AB107" s="296"/>
      <c r="AC107" s="296"/>
      <c r="AD107" s="296"/>
      <c r="AE107" s="296"/>
      <c r="AF107" s="296"/>
      <c r="AG107" s="296"/>
    </row>
    <row r="108" spans="1:33" ht="15" customHeight="1" x14ac:dyDescent="0.25">
      <c r="A108" s="296"/>
      <c r="B108" s="296"/>
      <c r="C108" s="296"/>
      <c r="D108" s="296"/>
      <c r="E108" s="296"/>
      <c r="F108" s="296"/>
      <c r="G108" s="296"/>
      <c r="H108" s="296"/>
      <c r="I108" s="296"/>
      <c r="J108" s="296"/>
      <c r="K108" s="296"/>
      <c r="L108" s="296"/>
      <c r="M108" s="296"/>
      <c r="N108" s="296"/>
      <c r="O108" s="296"/>
      <c r="P108" s="296"/>
      <c r="Q108" s="296"/>
      <c r="R108" s="296"/>
      <c r="S108" s="296"/>
      <c r="T108" s="296"/>
      <c r="U108" s="296"/>
      <c r="V108" s="296"/>
      <c r="W108" s="296"/>
      <c r="X108" s="296"/>
      <c r="Y108" s="296"/>
      <c r="Z108" s="296"/>
      <c r="AA108" s="296"/>
      <c r="AB108" s="296"/>
      <c r="AC108" s="296"/>
      <c r="AD108" s="296"/>
      <c r="AE108" s="296"/>
      <c r="AF108" s="296"/>
      <c r="AG108" s="296"/>
    </row>
    <row r="109" spans="1:33" ht="15" customHeight="1" x14ac:dyDescent="0.25">
      <c r="A109" s="296"/>
      <c r="B109" s="296"/>
      <c r="C109" s="296"/>
      <c r="D109" s="296"/>
      <c r="E109" s="296"/>
      <c r="F109" s="296"/>
      <c r="G109" s="296"/>
      <c r="H109" s="296"/>
      <c r="I109" s="296"/>
      <c r="J109" s="296"/>
      <c r="K109" s="296"/>
      <c r="L109" s="296"/>
      <c r="M109" s="296"/>
      <c r="N109" s="296"/>
      <c r="O109" s="296"/>
      <c r="P109" s="296"/>
      <c r="Q109" s="296"/>
      <c r="R109" s="296"/>
      <c r="S109" s="296"/>
      <c r="T109" s="296"/>
      <c r="U109" s="296"/>
      <c r="V109" s="296"/>
      <c r="W109" s="296"/>
      <c r="X109" s="296"/>
      <c r="Y109" s="296"/>
      <c r="Z109" s="296"/>
      <c r="AA109" s="296"/>
      <c r="AB109" s="296"/>
      <c r="AC109" s="296"/>
      <c r="AD109" s="296"/>
      <c r="AE109" s="296"/>
      <c r="AF109" s="296"/>
      <c r="AG109" s="296"/>
    </row>
    <row r="110" spans="1:33" ht="15" customHeight="1" x14ac:dyDescent="0.25">
      <c r="A110" s="296"/>
      <c r="B110" s="296"/>
      <c r="C110" s="296"/>
      <c r="D110" s="296"/>
      <c r="E110" s="296"/>
      <c r="F110" s="296"/>
      <c r="G110" s="296"/>
      <c r="H110" s="296"/>
      <c r="I110" s="296"/>
      <c r="J110" s="296"/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6"/>
      <c r="AE110" s="296"/>
      <c r="AF110" s="296"/>
      <c r="AG110" s="296"/>
    </row>
    <row r="111" spans="1:33" ht="15" customHeight="1" x14ac:dyDescent="0.25">
      <c r="A111" s="296"/>
      <c r="B111" s="296"/>
      <c r="C111" s="296"/>
      <c r="D111" s="296"/>
      <c r="E111" s="296"/>
      <c r="F111" s="296"/>
      <c r="G111" s="296"/>
      <c r="H111" s="296"/>
      <c r="I111" s="296"/>
      <c r="J111" s="296"/>
      <c r="K111" s="296"/>
      <c r="L111" s="296"/>
      <c r="M111" s="296"/>
      <c r="N111" s="296"/>
      <c r="O111" s="296"/>
      <c r="P111" s="296"/>
      <c r="Q111" s="296"/>
      <c r="R111" s="296"/>
      <c r="S111" s="296"/>
      <c r="T111" s="296"/>
      <c r="U111" s="296"/>
      <c r="V111" s="296"/>
      <c r="W111" s="296"/>
      <c r="X111" s="296"/>
      <c r="Y111" s="296"/>
      <c r="Z111" s="296"/>
      <c r="AA111" s="296"/>
      <c r="AB111" s="296"/>
      <c r="AC111" s="296"/>
      <c r="AD111" s="296"/>
      <c r="AE111" s="296"/>
      <c r="AF111" s="296"/>
      <c r="AG111" s="296"/>
    </row>
    <row r="112" spans="1:33" ht="15" customHeight="1" x14ac:dyDescent="0.25">
      <c r="A112" s="296"/>
      <c r="B112" s="296"/>
      <c r="C112" s="296"/>
      <c r="D112" s="296"/>
      <c r="E112" s="296"/>
      <c r="F112" s="296"/>
      <c r="G112" s="296"/>
      <c r="H112" s="296"/>
      <c r="I112" s="296"/>
      <c r="J112" s="296"/>
      <c r="K112" s="296"/>
      <c r="L112" s="296"/>
      <c r="M112" s="296"/>
      <c r="N112" s="296"/>
      <c r="O112" s="296"/>
      <c r="P112" s="296"/>
      <c r="Q112" s="296"/>
      <c r="R112" s="296"/>
      <c r="S112" s="296"/>
      <c r="T112" s="296"/>
      <c r="U112" s="296"/>
      <c r="V112" s="296"/>
      <c r="W112" s="296"/>
      <c r="X112" s="296"/>
      <c r="Y112" s="296"/>
      <c r="Z112" s="296"/>
      <c r="AA112" s="296"/>
      <c r="AB112" s="296"/>
      <c r="AC112" s="296"/>
      <c r="AD112" s="296"/>
      <c r="AE112" s="296"/>
      <c r="AF112" s="296"/>
      <c r="AG112" s="296"/>
    </row>
    <row r="113" spans="1:33" ht="15" customHeight="1" x14ac:dyDescent="0.25">
      <c r="A113" s="296"/>
      <c r="B113" s="296"/>
      <c r="C113" s="296"/>
      <c r="D113" s="296"/>
      <c r="E113" s="296"/>
      <c r="F113" s="296"/>
      <c r="G113" s="296"/>
      <c r="H113" s="296"/>
      <c r="I113" s="296"/>
      <c r="J113" s="296"/>
      <c r="K113" s="296"/>
      <c r="L113" s="296"/>
      <c r="M113" s="296"/>
      <c r="N113" s="296"/>
      <c r="O113" s="296"/>
      <c r="P113" s="296"/>
      <c r="Q113" s="296"/>
      <c r="R113" s="296"/>
      <c r="S113" s="296"/>
      <c r="T113" s="296"/>
      <c r="U113" s="296"/>
      <c r="V113" s="296"/>
      <c r="W113" s="296"/>
      <c r="X113" s="296"/>
      <c r="Y113" s="296"/>
      <c r="Z113" s="296"/>
      <c r="AA113" s="296"/>
      <c r="AB113" s="296"/>
      <c r="AC113" s="296"/>
      <c r="AD113" s="296"/>
      <c r="AE113" s="296"/>
      <c r="AF113" s="296"/>
      <c r="AG113" s="296"/>
    </row>
    <row r="114" spans="1:33" ht="15" customHeight="1" x14ac:dyDescent="0.25">
      <c r="A114" s="296"/>
      <c r="B114" s="296"/>
      <c r="C114" s="296"/>
      <c r="D114" s="296"/>
      <c r="E114" s="296"/>
      <c r="F114" s="296"/>
      <c r="G114" s="296"/>
      <c r="H114" s="296"/>
      <c r="I114" s="296"/>
      <c r="J114" s="296"/>
      <c r="K114" s="296"/>
      <c r="L114" s="296"/>
      <c r="M114" s="296"/>
      <c r="N114" s="296"/>
      <c r="O114" s="296"/>
      <c r="P114" s="296"/>
      <c r="Q114" s="296"/>
      <c r="R114" s="296"/>
      <c r="S114" s="296"/>
      <c r="T114" s="296"/>
      <c r="U114" s="296"/>
      <c r="V114" s="296"/>
      <c r="W114" s="296"/>
      <c r="X114" s="296"/>
      <c r="Y114" s="296"/>
      <c r="Z114" s="296"/>
      <c r="AA114" s="296"/>
      <c r="AB114" s="296"/>
      <c r="AC114" s="296"/>
      <c r="AD114" s="296"/>
      <c r="AE114" s="296"/>
      <c r="AF114" s="296"/>
      <c r="AG114" s="296"/>
    </row>
    <row r="115" spans="1:33" ht="15" customHeight="1" x14ac:dyDescent="0.25">
      <c r="A115" s="296"/>
      <c r="B115" s="296"/>
      <c r="C115" s="296"/>
      <c r="D115" s="296"/>
      <c r="E115" s="296"/>
      <c r="F115" s="296"/>
      <c r="G115" s="296"/>
      <c r="H115" s="296"/>
      <c r="I115" s="296"/>
      <c r="J115" s="296"/>
      <c r="K115" s="296"/>
      <c r="L115" s="296"/>
      <c r="M115" s="296"/>
      <c r="N115" s="296"/>
      <c r="O115" s="296"/>
      <c r="P115" s="296"/>
      <c r="Q115" s="296"/>
      <c r="R115" s="296"/>
      <c r="S115" s="296"/>
      <c r="T115" s="296"/>
      <c r="U115" s="296"/>
      <c r="V115" s="296"/>
      <c r="W115" s="296"/>
      <c r="X115" s="296"/>
      <c r="Y115" s="296"/>
      <c r="Z115" s="296"/>
      <c r="AA115" s="296"/>
      <c r="AB115" s="296"/>
      <c r="AC115" s="296"/>
      <c r="AD115" s="296"/>
      <c r="AE115" s="296"/>
      <c r="AF115" s="296"/>
      <c r="AG115" s="296"/>
    </row>
    <row r="116" spans="1:33" ht="15" customHeight="1" x14ac:dyDescent="0.25">
      <c r="A116" s="296"/>
      <c r="B116" s="296"/>
      <c r="C116" s="296"/>
      <c r="D116" s="296"/>
      <c r="E116" s="296"/>
      <c r="F116" s="296"/>
      <c r="G116" s="296"/>
      <c r="H116" s="296"/>
      <c r="I116" s="296"/>
      <c r="J116" s="296"/>
      <c r="K116" s="296"/>
      <c r="L116" s="296"/>
      <c r="M116" s="296"/>
      <c r="N116" s="296"/>
      <c r="O116" s="296"/>
      <c r="P116" s="296"/>
      <c r="Q116" s="296"/>
      <c r="R116" s="296"/>
      <c r="S116" s="296"/>
      <c r="T116" s="296"/>
      <c r="U116" s="296"/>
      <c r="V116" s="296"/>
      <c r="W116" s="296"/>
      <c r="X116" s="296"/>
      <c r="Y116" s="296"/>
      <c r="Z116" s="296"/>
      <c r="AA116" s="296"/>
      <c r="AB116" s="296"/>
      <c r="AC116" s="296"/>
      <c r="AD116" s="296"/>
      <c r="AE116" s="296"/>
      <c r="AF116" s="296"/>
      <c r="AG116" s="296"/>
    </row>
    <row r="117" spans="1:33" ht="15" customHeight="1" x14ac:dyDescent="0.25">
      <c r="A117" s="296"/>
      <c r="B117" s="296"/>
      <c r="C117" s="296"/>
      <c r="D117" s="296"/>
      <c r="E117" s="296"/>
      <c r="F117" s="296"/>
      <c r="G117" s="296"/>
      <c r="H117" s="296"/>
      <c r="I117" s="296"/>
      <c r="J117" s="296"/>
      <c r="K117" s="296"/>
      <c r="L117" s="296"/>
      <c r="M117" s="296"/>
      <c r="N117" s="296"/>
      <c r="O117" s="296"/>
      <c r="P117" s="296"/>
      <c r="Q117" s="296"/>
      <c r="R117" s="296"/>
      <c r="S117" s="296"/>
      <c r="T117" s="296"/>
      <c r="U117" s="296"/>
      <c r="V117" s="296"/>
      <c r="W117" s="296"/>
      <c r="X117" s="296"/>
      <c r="Y117" s="296"/>
      <c r="Z117" s="296"/>
      <c r="AA117" s="296"/>
      <c r="AB117" s="296"/>
      <c r="AC117" s="296"/>
      <c r="AD117" s="296"/>
      <c r="AE117" s="296"/>
      <c r="AF117" s="296"/>
      <c r="AG117" s="296"/>
    </row>
    <row r="118" spans="1:33" ht="15" customHeight="1" x14ac:dyDescent="0.25">
      <c r="A118" s="296"/>
      <c r="B118" s="296"/>
      <c r="C118" s="296"/>
      <c r="D118" s="296"/>
      <c r="E118" s="296"/>
      <c r="F118" s="296"/>
      <c r="G118" s="296"/>
      <c r="H118" s="296"/>
      <c r="I118" s="296"/>
      <c r="J118" s="296"/>
      <c r="K118" s="296"/>
      <c r="L118" s="296"/>
      <c r="M118" s="296"/>
      <c r="N118" s="296"/>
      <c r="O118" s="296"/>
      <c r="P118" s="296"/>
      <c r="Q118" s="296"/>
      <c r="R118" s="296"/>
      <c r="S118" s="296"/>
      <c r="T118" s="296"/>
      <c r="U118" s="296"/>
      <c r="V118" s="296"/>
      <c r="W118" s="296"/>
      <c r="X118" s="296"/>
      <c r="Y118" s="296"/>
      <c r="Z118" s="296"/>
      <c r="AA118" s="296"/>
      <c r="AB118" s="296"/>
      <c r="AC118" s="296"/>
      <c r="AD118" s="296"/>
      <c r="AE118" s="296"/>
      <c r="AF118" s="296"/>
      <c r="AG118" s="296"/>
    </row>
    <row r="119" spans="1:33" ht="15" customHeight="1" x14ac:dyDescent="0.25">
      <c r="A119" s="296"/>
      <c r="B119" s="296"/>
      <c r="C119" s="296"/>
      <c r="D119" s="296"/>
      <c r="E119" s="296"/>
      <c r="F119" s="296"/>
      <c r="G119" s="296"/>
      <c r="H119" s="296"/>
      <c r="I119" s="296"/>
      <c r="J119" s="296"/>
      <c r="K119" s="296"/>
      <c r="L119" s="296"/>
      <c r="M119" s="296"/>
      <c r="N119" s="296"/>
      <c r="O119" s="296"/>
      <c r="P119" s="296"/>
      <c r="Q119" s="296"/>
      <c r="R119" s="296"/>
      <c r="S119" s="296"/>
      <c r="T119" s="296"/>
      <c r="U119" s="296"/>
      <c r="V119" s="296"/>
      <c r="W119" s="296"/>
      <c r="X119" s="296"/>
      <c r="Y119" s="296"/>
      <c r="Z119" s="296"/>
      <c r="AA119" s="296"/>
      <c r="AB119" s="296"/>
      <c r="AC119" s="296"/>
      <c r="AD119" s="296"/>
      <c r="AE119" s="296"/>
      <c r="AF119" s="296"/>
      <c r="AG119" s="296"/>
    </row>
    <row r="120" spans="1:33" ht="15" customHeight="1" x14ac:dyDescent="0.25">
      <c r="A120" s="296"/>
      <c r="B120" s="296"/>
      <c r="C120" s="296"/>
      <c r="D120" s="296"/>
      <c r="E120" s="296"/>
      <c r="F120" s="296"/>
      <c r="G120" s="296"/>
      <c r="H120" s="296"/>
      <c r="I120" s="296"/>
      <c r="J120" s="296"/>
      <c r="K120" s="296"/>
      <c r="L120" s="296"/>
      <c r="M120" s="296"/>
      <c r="N120" s="296"/>
      <c r="O120" s="296"/>
      <c r="P120" s="296"/>
      <c r="Q120" s="296"/>
      <c r="R120" s="296"/>
      <c r="S120" s="296"/>
      <c r="T120" s="296"/>
      <c r="U120" s="296"/>
      <c r="V120" s="296"/>
      <c r="W120" s="296"/>
      <c r="X120" s="296"/>
      <c r="Y120" s="296"/>
      <c r="Z120" s="296"/>
      <c r="AA120" s="296"/>
      <c r="AB120" s="296"/>
      <c r="AC120" s="296"/>
      <c r="AD120" s="296"/>
      <c r="AE120" s="296"/>
      <c r="AF120" s="296"/>
      <c r="AG120" s="296"/>
    </row>
    <row r="121" spans="1:33" ht="15" customHeight="1" x14ac:dyDescent="0.25">
      <c r="A121" s="296"/>
      <c r="B121" s="296"/>
      <c r="C121" s="296"/>
      <c r="D121" s="296"/>
      <c r="E121" s="296"/>
      <c r="F121" s="296"/>
      <c r="G121" s="296"/>
      <c r="H121" s="296"/>
      <c r="I121" s="296"/>
      <c r="J121" s="296"/>
      <c r="K121" s="296"/>
      <c r="L121" s="296"/>
      <c r="M121" s="296"/>
      <c r="N121" s="296"/>
      <c r="O121" s="296"/>
      <c r="P121" s="296"/>
      <c r="Q121" s="296"/>
      <c r="R121" s="296"/>
      <c r="S121" s="296"/>
      <c r="T121" s="296"/>
      <c r="U121" s="296"/>
      <c r="V121" s="296"/>
      <c r="W121" s="296"/>
      <c r="X121" s="296"/>
      <c r="Y121" s="296"/>
      <c r="Z121" s="296"/>
      <c r="AA121" s="296"/>
      <c r="AB121" s="296"/>
      <c r="AC121" s="296"/>
      <c r="AD121" s="296"/>
      <c r="AE121" s="296"/>
      <c r="AF121" s="296"/>
      <c r="AG121" s="296"/>
    </row>
    <row r="122" spans="1:33" ht="15" customHeight="1" x14ac:dyDescent="0.25">
      <c r="A122" s="296"/>
      <c r="B122" s="296"/>
      <c r="C122" s="296"/>
      <c r="D122" s="296"/>
      <c r="E122" s="296"/>
      <c r="F122" s="296"/>
      <c r="G122" s="296"/>
      <c r="H122" s="296"/>
      <c r="I122" s="296"/>
      <c r="J122" s="296"/>
      <c r="K122" s="296"/>
      <c r="L122" s="296"/>
      <c r="M122" s="296"/>
      <c r="N122" s="296"/>
      <c r="O122" s="296"/>
      <c r="P122" s="296"/>
      <c r="Q122" s="296"/>
      <c r="R122" s="296"/>
      <c r="S122" s="296"/>
      <c r="T122" s="296"/>
      <c r="U122" s="296"/>
      <c r="V122" s="296"/>
      <c r="W122" s="296"/>
      <c r="X122" s="296"/>
      <c r="Y122" s="296"/>
      <c r="Z122" s="296"/>
      <c r="AA122" s="296"/>
      <c r="AB122" s="296"/>
      <c r="AC122" s="296"/>
      <c r="AD122" s="296"/>
      <c r="AE122" s="296"/>
      <c r="AF122" s="296"/>
      <c r="AG122" s="296"/>
    </row>
    <row r="123" spans="1:33" ht="15" customHeight="1" x14ac:dyDescent="0.25">
      <c r="A123" s="296"/>
      <c r="B123" s="296"/>
      <c r="C123" s="296"/>
      <c r="D123" s="296"/>
      <c r="E123" s="296"/>
      <c r="F123" s="296"/>
      <c r="G123" s="296"/>
      <c r="H123" s="296"/>
      <c r="I123" s="296"/>
      <c r="J123" s="296"/>
      <c r="K123" s="296"/>
      <c r="L123" s="296"/>
      <c r="M123" s="296"/>
      <c r="N123" s="296"/>
      <c r="O123" s="296"/>
      <c r="P123" s="296"/>
      <c r="Q123" s="296"/>
      <c r="R123" s="296"/>
      <c r="S123" s="296"/>
      <c r="T123" s="296"/>
      <c r="U123" s="296"/>
      <c r="V123" s="296"/>
      <c r="W123" s="296"/>
      <c r="X123" s="296"/>
      <c r="Y123" s="296"/>
      <c r="Z123" s="296"/>
      <c r="AA123" s="296"/>
      <c r="AB123" s="296"/>
      <c r="AC123" s="296"/>
      <c r="AD123" s="296"/>
      <c r="AE123" s="296"/>
      <c r="AF123" s="296"/>
      <c r="AG123" s="296"/>
    </row>
    <row r="124" spans="1:33" ht="15" customHeight="1" x14ac:dyDescent="0.25">
      <c r="A124" s="296"/>
      <c r="B124" s="296"/>
      <c r="C124" s="296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96"/>
      <c r="Q124" s="296"/>
      <c r="R124" s="296"/>
      <c r="S124" s="296"/>
      <c r="T124" s="296"/>
      <c r="U124" s="296"/>
      <c r="V124" s="296"/>
      <c r="W124" s="296"/>
      <c r="X124" s="296"/>
      <c r="Y124" s="296"/>
      <c r="Z124" s="296"/>
      <c r="AA124" s="296"/>
      <c r="AB124" s="296"/>
      <c r="AC124" s="296"/>
      <c r="AD124" s="296"/>
      <c r="AE124" s="296"/>
      <c r="AF124" s="296"/>
      <c r="AG124" s="296"/>
    </row>
    <row r="125" spans="1:33" ht="15" customHeight="1" x14ac:dyDescent="0.25">
      <c r="A125" s="296"/>
      <c r="B125" s="296"/>
      <c r="C125" s="296"/>
      <c r="D125" s="296"/>
      <c r="E125" s="296"/>
      <c r="F125" s="296"/>
      <c r="G125" s="296"/>
      <c r="H125" s="296"/>
      <c r="I125" s="296"/>
      <c r="J125" s="296"/>
      <c r="K125" s="296"/>
      <c r="L125" s="296"/>
      <c r="M125" s="296"/>
      <c r="N125" s="296"/>
      <c r="O125" s="296"/>
      <c r="P125" s="296"/>
      <c r="Q125" s="296"/>
      <c r="R125" s="296"/>
      <c r="S125" s="296"/>
      <c r="T125" s="296"/>
      <c r="U125" s="296"/>
      <c r="V125" s="296"/>
      <c r="W125" s="296"/>
      <c r="X125" s="296"/>
      <c r="Y125" s="296"/>
      <c r="Z125" s="296"/>
      <c r="AA125" s="296"/>
      <c r="AB125" s="296"/>
      <c r="AC125" s="296"/>
      <c r="AD125" s="296"/>
      <c r="AE125" s="296"/>
      <c r="AF125" s="296"/>
      <c r="AG125" s="296"/>
    </row>
    <row r="126" spans="1:33" ht="15" customHeight="1" x14ac:dyDescent="0.25">
      <c r="A126" s="296"/>
      <c r="B126" s="296"/>
      <c r="C126" s="296"/>
      <c r="D126" s="296"/>
      <c r="E126" s="296"/>
      <c r="F126" s="296"/>
      <c r="G126" s="296"/>
      <c r="H126" s="296"/>
      <c r="I126" s="296"/>
      <c r="J126" s="296"/>
      <c r="K126" s="296"/>
      <c r="L126" s="296"/>
      <c r="M126" s="296"/>
      <c r="N126" s="296"/>
      <c r="O126" s="296"/>
      <c r="P126" s="296"/>
      <c r="Q126" s="296"/>
      <c r="R126" s="296"/>
      <c r="S126" s="296"/>
      <c r="T126" s="296"/>
      <c r="U126" s="296"/>
      <c r="V126" s="296"/>
      <c r="W126" s="296"/>
      <c r="X126" s="296"/>
      <c r="Y126" s="296"/>
      <c r="Z126" s="296"/>
      <c r="AA126" s="296"/>
      <c r="AB126" s="296"/>
      <c r="AC126" s="296"/>
      <c r="AD126" s="296"/>
      <c r="AE126" s="296"/>
      <c r="AF126" s="296"/>
      <c r="AG126" s="296"/>
    </row>
    <row r="127" spans="1:33" ht="15" customHeight="1" x14ac:dyDescent="0.25">
      <c r="A127" s="296"/>
      <c r="B127" s="296"/>
      <c r="C127" s="296"/>
      <c r="D127" s="296"/>
      <c r="E127" s="296"/>
      <c r="F127" s="296"/>
      <c r="G127" s="296"/>
      <c r="H127" s="296"/>
      <c r="I127" s="296"/>
      <c r="J127" s="296"/>
      <c r="K127" s="296"/>
      <c r="L127" s="296"/>
      <c r="M127" s="296"/>
      <c r="N127" s="296"/>
      <c r="O127" s="296"/>
      <c r="P127" s="296"/>
      <c r="Q127" s="296"/>
      <c r="R127" s="296"/>
      <c r="S127" s="296"/>
      <c r="T127" s="296"/>
      <c r="U127" s="296"/>
      <c r="V127" s="296"/>
      <c r="W127" s="296"/>
      <c r="X127" s="296"/>
      <c r="Y127" s="296"/>
      <c r="Z127" s="296"/>
      <c r="AA127" s="296"/>
      <c r="AB127" s="296"/>
      <c r="AC127" s="296"/>
      <c r="AD127" s="296"/>
      <c r="AE127" s="296"/>
      <c r="AF127" s="296"/>
      <c r="AG127" s="296"/>
    </row>
    <row r="128" spans="1:33" ht="15" customHeight="1" x14ac:dyDescent="0.25">
      <c r="A128" s="296"/>
      <c r="B128" s="296"/>
      <c r="C128" s="296"/>
      <c r="D128" s="296"/>
      <c r="E128" s="296"/>
      <c r="F128" s="296"/>
      <c r="G128" s="296"/>
      <c r="H128" s="296"/>
      <c r="I128" s="296"/>
      <c r="J128" s="296"/>
      <c r="K128" s="296"/>
      <c r="L128" s="296"/>
      <c r="M128" s="296"/>
      <c r="N128" s="296"/>
      <c r="O128" s="296"/>
      <c r="P128" s="296"/>
      <c r="Q128" s="296"/>
      <c r="R128" s="296"/>
      <c r="S128" s="296"/>
      <c r="T128" s="296"/>
      <c r="U128" s="296"/>
      <c r="V128" s="296"/>
      <c r="W128" s="296"/>
      <c r="X128" s="296"/>
      <c r="Y128" s="296"/>
      <c r="Z128" s="296"/>
      <c r="AA128" s="296"/>
      <c r="AB128" s="296"/>
      <c r="AC128" s="296"/>
      <c r="AD128" s="296"/>
      <c r="AE128" s="296"/>
      <c r="AF128" s="296"/>
      <c r="AG128" s="296"/>
    </row>
    <row r="129" spans="1:33" ht="15" customHeight="1" x14ac:dyDescent="0.25">
      <c r="A129" s="296"/>
      <c r="B129" s="296"/>
      <c r="C129" s="296"/>
      <c r="D129" s="296"/>
      <c r="E129" s="296"/>
      <c r="F129" s="296"/>
      <c r="G129" s="296"/>
      <c r="H129" s="296"/>
      <c r="I129" s="296"/>
      <c r="J129" s="296"/>
      <c r="K129" s="296"/>
      <c r="L129" s="296"/>
      <c r="M129" s="296"/>
      <c r="N129" s="296"/>
      <c r="O129" s="296"/>
      <c r="P129" s="296"/>
      <c r="Q129" s="296"/>
      <c r="R129" s="296"/>
      <c r="S129" s="296"/>
      <c r="T129" s="296"/>
      <c r="U129" s="296"/>
      <c r="V129" s="296"/>
      <c r="W129" s="296"/>
      <c r="X129" s="296"/>
      <c r="Y129" s="296"/>
      <c r="Z129" s="296"/>
      <c r="AA129" s="296"/>
      <c r="AB129" s="296"/>
      <c r="AC129" s="296"/>
      <c r="AD129" s="296"/>
      <c r="AE129" s="296"/>
      <c r="AF129" s="296"/>
      <c r="AG129" s="296"/>
    </row>
    <row r="130" spans="1:33" ht="15" customHeight="1" x14ac:dyDescent="0.25">
      <c r="A130" s="296"/>
      <c r="B130" s="296"/>
      <c r="C130" s="296"/>
      <c r="D130" s="296"/>
      <c r="E130" s="296"/>
      <c r="F130" s="296"/>
      <c r="G130" s="296"/>
      <c r="H130" s="296"/>
      <c r="I130" s="296"/>
      <c r="J130" s="296"/>
      <c r="K130" s="296"/>
      <c r="L130" s="296"/>
      <c r="M130" s="296"/>
      <c r="N130" s="296"/>
      <c r="O130" s="296"/>
      <c r="P130" s="296"/>
      <c r="Q130" s="296"/>
      <c r="R130" s="296"/>
      <c r="S130" s="296"/>
      <c r="T130" s="296"/>
      <c r="U130" s="296"/>
      <c r="V130" s="296"/>
      <c r="W130" s="296"/>
      <c r="X130" s="296"/>
      <c r="Y130" s="296"/>
      <c r="Z130" s="296"/>
      <c r="AA130" s="296"/>
      <c r="AB130" s="296"/>
      <c r="AC130" s="296"/>
      <c r="AD130" s="296"/>
      <c r="AE130" s="296"/>
      <c r="AF130" s="296"/>
      <c r="AG130" s="296"/>
    </row>
    <row r="131" spans="1:33" ht="15" customHeight="1" x14ac:dyDescent="0.25">
      <c r="A131" s="296"/>
      <c r="B131" s="296"/>
      <c r="C131" s="296"/>
      <c r="D131" s="296"/>
      <c r="E131" s="296"/>
      <c r="F131" s="296"/>
      <c r="G131" s="296"/>
      <c r="H131" s="296"/>
      <c r="I131" s="296"/>
      <c r="J131" s="296"/>
      <c r="K131" s="296"/>
      <c r="L131" s="296"/>
      <c r="M131" s="296"/>
      <c r="N131" s="296"/>
      <c r="O131" s="296"/>
      <c r="P131" s="296"/>
      <c r="Q131" s="296"/>
      <c r="R131" s="296"/>
      <c r="S131" s="296"/>
      <c r="T131" s="296"/>
      <c r="U131" s="296"/>
      <c r="V131" s="296"/>
      <c r="W131" s="296"/>
      <c r="X131" s="296"/>
      <c r="Y131" s="296"/>
      <c r="Z131" s="296"/>
      <c r="AA131" s="296"/>
      <c r="AB131" s="296"/>
      <c r="AC131" s="296"/>
      <c r="AD131" s="296"/>
      <c r="AE131" s="296"/>
      <c r="AF131" s="296"/>
      <c r="AG131" s="296"/>
    </row>
    <row r="132" spans="1:33" ht="15" customHeight="1" x14ac:dyDescent="0.25">
      <c r="A132" s="296"/>
      <c r="B132" s="296"/>
      <c r="C132" s="296"/>
      <c r="D132" s="296"/>
      <c r="E132" s="296"/>
      <c r="F132" s="296"/>
      <c r="G132" s="296"/>
      <c r="H132" s="296"/>
      <c r="I132" s="296"/>
      <c r="J132" s="296"/>
      <c r="K132" s="296"/>
      <c r="L132" s="296"/>
      <c r="M132" s="296"/>
      <c r="N132" s="296"/>
      <c r="O132" s="296"/>
      <c r="P132" s="296"/>
      <c r="Q132" s="296"/>
      <c r="R132" s="296"/>
      <c r="S132" s="296"/>
      <c r="T132" s="296"/>
      <c r="U132" s="296"/>
      <c r="V132" s="296"/>
      <c r="W132" s="296"/>
      <c r="X132" s="296"/>
      <c r="Y132" s="296"/>
      <c r="Z132" s="296"/>
      <c r="AA132" s="296"/>
      <c r="AB132" s="296"/>
      <c r="AC132" s="296"/>
      <c r="AD132" s="296"/>
      <c r="AE132" s="296"/>
      <c r="AF132" s="296"/>
      <c r="AG132" s="296"/>
    </row>
    <row r="133" spans="1:33" ht="15" customHeight="1" x14ac:dyDescent="0.25">
      <c r="A133" s="296"/>
      <c r="B133" s="296"/>
      <c r="C133" s="296"/>
      <c r="D133" s="296"/>
      <c r="E133" s="296"/>
      <c r="F133" s="296"/>
      <c r="G133" s="296"/>
      <c r="H133" s="296"/>
      <c r="I133" s="296"/>
      <c r="J133" s="296"/>
      <c r="K133" s="296"/>
      <c r="L133" s="296"/>
      <c r="M133" s="296"/>
      <c r="N133" s="296"/>
      <c r="O133" s="296"/>
      <c r="P133" s="296"/>
      <c r="Q133" s="296"/>
      <c r="R133" s="296"/>
      <c r="S133" s="296"/>
      <c r="T133" s="296"/>
      <c r="U133" s="296"/>
      <c r="V133" s="296"/>
      <c r="W133" s="296"/>
      <c r="X133" s="296"/>
      <c r="Y133" s="296"/>
      <c r="Z133" s="296"/>
      <c r="AA133" s="296"/>
      <c r="AB133" s="296"/>
      <c r="AC133" s="296"/>
      <c r="AD133" s="296"/>
      <c r="AE133" s="296"/>
      <c r="AF133" s="296"/>
      <c r="AG133" s="296"/>
    </row>
    <row r="134" spans="1:33" ht="15.75" customHeight="1" thickBot="1" x14ac:dyDescent="0.3">
      <c r="A134" s="296"/>
      <c r="B134" s="296"/>
      <c r="C134" s="296"/>
      <c r="D134" s="296"/>
      <c r="E134" s="296"/>
      <c r="F134" s="296"/>
      <c r="G134" s="296"/>
      <c r="H134" s="296"/>
      <c r="I134" s="296"/>
      <c r="J134" s="296"/>
      <c r="K134" s="296"/>
      <c r="L134" s="296"/>
      <c r="M134" s="296"/>
      <c r="N134" s="296"/>
      <c r="O134" s="296"/>
      <c r="P134" s="296"/>
      <c r="Q134" s="296"/>
      <c r="R134" s="296"/>
      <c r="S134" s="296"/>
      <c r="T134" s="296"/>
      <c r="U134" s="296"/>
      <c r="V134" s="296"/>
      <c r="W134" s="296"/>
      <c r="X134" s="296"/>
      <c r="Y134" s="296"/>
      <c r="Z134" s="296"/>
      <c r="AA134" s="296"/>
      <c r="AB134" s="296"/>
      <c r="AC134" s="296"/>
      <c r="AD134" s="296"/>
      <c r="AE134" s="296"/>
      <c r="AF134" s="296"/>
      <c r="AG134" s="296"/>
    </row>
    <row r="135" spans="1:33" ht="15.75" thickBot="1" x14ac:dyDescent="0.3">
      <c r="A135" s="239"/>
      <c r="B135" s="577"/>
      <c r="C135" s="240"/>
      <c r="D135" s="54"/>
      <c r="E135" s="54"/>
      <c r="F135" s="241"/>
      <c r="G135" s="241"/>
      <c r="H135" s="242"/>
      <c r="I135" s="242"/>
      <c r="J135" s="242"/>
      <c r="K135" s="244"/>
      <c r="L135" s="245"/>
      <c r="M135" s="245"/>
      <c r="N135" s="245"/>
      <c r="O135" s="230"/>
      <c r="P135" s="243"/>
      <c r="Q135" s="230"/>
      <c r="R135" s="243"/>
      <c r="S135" s="242"/>
      <c r="T135" s="243"/>
      <c r="U135" s="243"/>
      <c r="V135" s="243"/>
      <c r="W135" s="243"/>
      <c r="X135" s="231"/>
      <c r="Y135" s="243"/>
      <c r="Z135" s="243"/>
      <c r="AA135" s="246"/>
      <c r="AB135" s="230"/>
      <c r="AC135" s="230"/>
      <c r="AD135" s="230"/>
      <c r="AE135" s="123"/>
      <c r="AF135" s="207"/>
    </row>
  </sheetData>
  <mergeCells count="91">
    <mergeCell ref="U84:U85"/>
    <mergeCell ref="V84:V85"/>
    <mergeCell ref="W84:W85"/>
    <mergeCell ref="X84:X85"/>
    <mergeCell ref="Y84:Y85"/>
    <mergeCell ref="O84:O85"/>
    <mergeCell ref="P84:P85"/>
    <mergeCell ref="Q84:Q85"/>
    <mergeCell ref="R84:R85"/>
    <mergeCell ref="S84:S85"/>
    <mergeCell ref="T84:T85"/>
    <mergeCell ref="AB50:AB51"/>
    <mergeCell ref="A84:A85"/>
    <mergeCell ref="B84:B85"/>
    <mergeCell ref="C84:C85"/>
    <mergeCell ref="D84:D85"/>
    <mergeCell ref="E84:E85"/>
    <mergeCell ref="F84:F85"/>
    <mergeCell ref="G84:G85"/>
    <mergeCell ref="H84:H85"/>
    <mergeCell ref="K84:L84"/>
    <mergeCell ref="V50:V51"/>
    <mergeCell ref="W50:W51"/>
    <mergeCell ref="X50:X51"/>
    <mergeCell ref="Y50:Y51"/>
    <mergeCell ref="Z50:Z51"/>
    <mergeCell ref="AA50:AA51"/>
    <mergeCell ref="P50:P51"/>
    <mergeCell ref="Q50:Q51"/>
    <mergeCell ref="R50:R51"/>
    <mergeCell ref="S50:S51"/>
    <mergeCell ref="T50:T51"/>
    <mergeCell ref="U50:U51"/>
    <mergeCell ref="F50:F51"/>
    <mergeCell ref="G50:G51"/>
    <mergeCell ref="H50:H51"/>
    <mergeCell ref="I50:J50"/>
    <mergeCell ref="K50:L50"/>
    <mergeCell ref="O50:O51"/>
    <mergeCell ref="T46:T47"/>
    <mergeCell ref="U46:U47"/>
    <mergeCell ref="V46:V47"/>
    <mergeCell ref="W46:W47"/>
    <mergeCell ref="AI46:AI47"/>
    <mergeCell ref="A50:A51"/>
    <mergeCell ref="B50:B51"/>
    <mergeCell ref="C50:C51"/>
    <mergeCell ref="D50:D51"/>
    <mergeCell ref="E50:E51"/>
    <mergeCell ref="H46:H47"/>
    <mergeCell ref="O46:O47"/>
    <mergeCell ref="P46:P47"/>
    <mergeCell ref="Q46:Q47"/>
    <mergeCell ref="R46:R47"/>
    <mergeCell ref="S46:S47"/>
    <mergeCell ref="A46:A47"/>
    <mergeCell ref="C46:C47"/>
    <mergeCell ref="D46:D47"/>
    <mergeCell ref="E46:E47"/>
    <mergeCell ref="F46:F47"/>
    <mergeCell ref="G46:G47"/>
    <mergeCell ref="AB7:AB8"/>
    <mergeCell ref="AC7:AC8"/>
    <mergeCell ref="AD7:AD8"/>
    <mergeCell ref="P7:P8"/>
    <mergeCell ref="Q7:Q8"/>
    <mergeCell ref="R7:R8"/>
    <mergeCell ref="S7:S8"/>
    <mergeCell ref="T7:T8"/>
    <mergeCell ref="U7:U8"/>
    <mergeCell ref="G7:G8"/>
    <mergeCell ref="H7:H8"/>
    <mergeCell ref="I7:J7"/>
    <mergeCell ref="K7:L7"/>
    <mergeCell ref="M7:N7"/>
    <mergeCell ref="AE7:AE8"/>
    <mergeCell ref="AF7:AF8"/>
    <mergeCell ref="AG7:AG8"/>
    <mergeCell ref="V7:V8"/>
    <mergeCell ref="W7:W8"/>
    <mergeCell ref="X7:X8"/>
    <mergeCell ref="Y7:Y8"/>
    <mergeCell ref="Z7:Z8"/>
    <mergeCell ref="AA7:AA8"/>
    <mergeCell ref="O7:O8"/>
    <mergeCell ref="A7:A8"/>
    <mergeCell ref="B7:B8"/>
    <mergeCell ref="C7:C8"/>
    <mergeCell ref="D7:D8"/>
    <mergeCell ref="E7:E8"/>
    <mergeCell ref="F7:F8"/>
  </mergeCells>
  <pageMargins left="0.17" right="0.70866141732283472" top="0.17" bottom="0.16" header="0.17" footer="0.16"/>
  <pageSetup paperSize="9" orientation="landscape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C135"/>
  <sheetViews>
    <sheetView topLeftCell="A4" workbookViewId="0">
      <selection activeCell="AO26" sqref="AO26"/>
    </sheetView>
  </sheetViews>
  <sheetFormatPr defaultRowHeight="15" x14ac:dyDescent="0.25"/>
  <cols>
    <col min="1" max="1" width="3.42578125" customWidth="1"/>
    <col min="2" max="2" width="9.5703125" hidden="1" customWidth="1"/>
    <col min="3" max="3" width="19.42578125" customWidth="1"/>
    <col min="4" max="4" width="8.5703125" hidden="1" customWidth="1"/>
    <col min="5" max="5" width="6.140625" hidden="1" customWidth="1"/>
    <col min="6" max="7" width="8.140625" hidden="1" customWidth="1"/>
    <col min="8" max="8" width="9.5703125" hidden="1" customWidth="1"/>
    <col min="9" max="9" width="11" hidden="1" customWidth="1"/>
    <col min="10" max="10" width="11.5703125" hidden="1" customWidth="1"/>
    <col min="11" max="11" width="11.28515625" hidden="1" customWidth="1"/>
    <col min="12" max="12" width="10.42578125" hidden="1" customWidth="1"/>
    <col min="13" max="13" width="11.5703125" hidden="1" customWidth="1"/>
    <col min="14" max="14" width="10.5703125" hidden="1" customWidth="1"/>
    <col min="15" max="15" width="12" hidden="1" customWidth="1"/>
    <col min="16" max="16" width="11.5703125" hidden="1" customWidth="1"/>
    <col min="17" max="17" width="12" hidden="1" customWidth="1"/>
    <col min="18" max="20" width="12.85546875" hidden="1" customWidth="1"/>
    <col min="21" max="21" width="11.42578125" hidden="1" customWidth="1"/>
    <col min="22" max="22" width="10.28515625" hidden="1" customWidth="1"/>
    <col min="23" max="23" width="12.85546875" hidden="1" customWidth="1"/>
    <col min="24" max="24" width="13.28515625" hidden="1" customWidth="1"/>
    <col min="25" max="25" width="13.140625" hidden="1" customWidth="1"/>
    <col min="26" max="26" width="10.5703125" hidden="1" customWidth="1"/>
    <col min="27" max="27" width="11" hidden="1" customWidth="1"/>
    <col min="28" max="28" width="10.28515625" hidden="1" customWidth="1"/>
    <col min="29" max="29" width="12.5703125" hidden="1" customWidth="1"/>
    <col min="30" max="30" width="10.42578125" hidden="1" customWidth="1"/>
    <col min="31" max="31" width="11.28515625" hidden="1" customWidth="1"/>
    <col min="32" max="32" width="10.42578125" hidden="1" customWidth="1"/>
    <col min="33" max="33" width="11.85546875" hidden="1" customWidth="1"/>
    <col min="34" max="34" width="10.28515625" hidden="1" customWidth="1"/>
    <col min="35" max="35" width="10.7109375" hidden="1" customWidth="1"/>
    <col min="36" max="36" width="12.140625" hidden="1" customWidth="1"/>
    <col min="37" max="37" width="9.7109375" customWidth="1"/>
    <col min="38" max="39" width="9.5703125" customWidth="1"/>
    <col min="40" max="41" width="10.7109375" customWidth="1"/>
    <col min="42" max="42" width="11.7109375" customWidth="1"/>
    <col min="43" max="43" width="10.7109375" customWidth="1"/>
    <col min="44" max="44" width="10.5703125" customWidth="1"/>
    <col min="45" max="48" width="10.7109375" customWidth="1"/>
    <col min="49" max="49" width="11.7109375" customWidth="1"/>
    <col min="50" max="50" width="10.140625" customWidth="1"/>
    <col min="51" max="51" width="10.28515625" customWidth="1"/>
    <col min="52" max="52" width="11.7109375" customWidth="1"/>
    <col min="53" max="53" width="10.140625" customWidth="1"/>
    <col min="54" max="54" width="9" customWidth="1"/>
    <col min="55" max="55" width="11.28515625" customWidth="1"/>
    <col min="56" max="56" width="11.7109375" customWidth="1"/>
    <col min="57" max="57" width="11.28515625" style="34" customWidth="1"/>
    <col min="58" max="58" width="10.42578125" customWidth="1"/>
  </cols>
  <sheetData>
    <row r="1" spans="1:58" ht="16.5" customHeight="1" x14ac:dyDescent="0.25">
      <c r="AJ1" s="353"/>
    </row>
    <row r="2" spans="1:58" ht="15.75" x14ac:dyDescent="0.25">
      <c r="D2" s="222" t="s">
        <v>764</v>
      </c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</row>
    <row r="3" spans="1:58" ht="15.75" x14ac:dyDescent="0.25"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AJ3" s="1455"/>
      <c r="AK3" s="40"/>
      <c r="AL3" s="40"/>
      <c r="AM3" s="40"/>
      <c r="AN3" s="40"/>
      <c r="AO3" s="40"/>
      <c r="AP3" s="40"/>
      <c r="AQ3" s="40"/>
      <c r="AR3" s="40"/>
      <c r="AS3" s="40"/>
      <c r="AT3" s="1455"/>
      <c r="AU3" s="40"/>
      <c r="AV3" s="40"/>
      <c r="AW3" s="40"/>
      <c r="AX3" s="40"/>
    </row>
    <row r="4" spans="1:58" ht="15.75" x14ac:dyDescent="0.25">
      <c r="D4" s="222"/>
      <c r="E4" s="222"/>
      <c r="F4" s="222"/>
      <c r="G4" s="11" t="s">
        <v>612</v>
      </c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</row>
    <row r="5" spans="1:58" ht="15.75" x14ac:dyDescent="0.25">
      <c r="A5" s="10"/>
      <c r="B5" s="10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</row>
    <row r="6" spans="1:58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BC6" s="250"/>
      <c r="BD6" s="250"/>
      <c r="BE6" s="250"/>
    </row>
    <row r="7" spans="1:58" ht="38.25" customHeight="1" x14ac:dyDescent="0.25">
      <c r="A7" s="2017" t="s">
        <v>0</v>
      </c>
      <c r="B7" s="2020"/>
      <c r="C7" s="2017" t="s">
        <v>184</v>
      </c>
      <c r="D7" s="2017" t="s">
        <v>54</v>
      </c>
      <c r="E7" s="2017" t="s">
        <v>55</v>
      </c>
      <c r="F7" s="2017" t="s">
        <v>56</v>
      </c>
      <c r="G7" s="2017" t="s">
        <v>57</v>
      </c>
      <c r="H7" s="2017" t="s">
        <v>6</v>
      </c>
      <c r="I7" s="1991" t="s">
        <v>672</v>
      </c>
      <c r="J7" s="1992"/>
      <c r="K7" s="1991" t="s">
        <v>656</v>
      </c>
      <c r="L7" s="1992"/>
      <c r="M7" s="1991" t="s">
        <v>657</v>
      </c>
      <c r="N7" s="1992"/>
      <c r="O7" s="2214" t="s">
        <v>658</v>
      </c>
      <c r="P7" s="2215"/>
      <c r="Q7" s="1991" t="s">
        <v>310</v>
      </c>
      <c r="R7" s="1992"/>
      <c r="S7" s="2097" t="s">
        <v>593</v>
      </c>
      <c r="T7" s="2060"/>
      <c r="U7" s="1989" t="s">
        <v>284</v>
      </c>
      <c r="V7" s="1990"/>
      <c r="W7" s="2017" t="s">
        <v>726</v>
      </c>
      <c r="X7" s="2017"/>
      <c r="Y7" s="2022" t="s">
        <v>747</v>
      </c>
      <c r="Z7" s="2009" t="s">
        <v>332</v>
      </c>
      <c r="AA7" s="1987" t="s">
        <v>377</v>
      </c>
      <c r="AB7" s="2003" t="s">
        <v>337</v>
      </c>
      <c r="AC7" s="2003" t="s">
        <v>695</v>
      </c>
      <c r="AD7" s="2003" t="s">
        <v>10</v>
      </c>
      <c r="AE7" s="2107" t="s">
        <v>503</v>
      </c>
      <c r="AF7" s="2009" t="s">
        <v>316</v>
      </c>
      <c r="AG7" s="2009" t="s">
        <v>369</v>
      </c>
      <c r="AH7" s="2003" t="s">
        <v>321</v>
      </c>
      <c r="AI7" s="2005" t="s">
        <v>554</v>
      </c>
      <c r="AJ7" s="2022" t="s">
        <v>688</v>
      </c>
      <c r="AK7" s="1987" t="s">
        <v>689</v>
      </c>
      <c r="AL7" s="2003" t="s">
        <v>606</v>
      </c>
      <c r="AM7" s="2003" t="s">
        <v>375</v>
      </c>
      <c r="AN7" s="2003" t="s">
        <v>372</v>
      </c>
      <c r="AO7" s="1987" t="s">
        <v>314</v>
      </c>
      <c r="AP7" s="1987" t="s">
        <v>616</v>
      </c>
      <c r="AQ7" s="2024" t="s">
        <v>691</v>
      </c>
      <c r="AR7" s="2009" t="s">
        <v>727</v>
      </c>
      <c r="AS7" s="2009" t="s">
        <v>690</v>
      </c>
      <c r="AT7" s="1987" t="s">
        <v>313</v>
      </c>
      <c r="AU7" s="1987" t="s">
        <v>554</v>
      </c>
      <c r="AV7" s="2022" t="s">
        <v>692</v>
      </c>
      <c r="AW7" s="1987" t="s">
        <v>693</v>
      </c>
      <c r="AX7" s="1987" t="s">
        <v>656</v>
      </c>
      <c r="AY7" s="1987" t="s">
        <v>694</v>
      </c>
      <c r="AZ7" s="1987" t="s">
        <v>735</v>
      </c>
      <c r="BA7" s="2005" t="s">
        <v>724</v>
      </c>
      <c r="BB7" s="2001" t="s">
        <v>182</v>
      </c>
      <c r="BC7" s="2001" t="s">
        <v>736</v>
      </c>
      <c r="BD7" s="2001" t="s">
        <v>725</v>
      </c>
      <c r="BE7" s="1999" t="s">
        <v>715</v>
      </c>
      <c r="BF7" s="1999" t="s">
        <v>716</v>
      </c>
    </row>
    <row r="8" spans="1:58" ht="44.25" customHeight="1" x14ac:dyDescent="0.25">
      <c r="A8" s="2017"/>
      <c r="B8" s="2021"/>
      <c r="C8" s="2017"/>
      <c r="D8" s="2017"/>
      <c r="E8" s="2017"/>
      <c r="F8" s="2017"/>
      <c r="G8" s="2017"/>
      <c r="H8" s="2017"/>
      <c r="I8" s="150" t="s">
        <v>15</v>
      </c>
      <c r="J8" s="1363" t="s">
        <v>16</v>
      </c>
      <c r="K8" s="150" t="s">
        <v>15</v>
      </c>
      <c r="L8" s="1363" t="s">
        <v>16</v>
      </c>
      <c r="M8" s="150" t="s">
        <v>15</v>
      </c>
      <c r="N8" s="1363" t="s">
        <v>16</v>
      </c>
      <c r="O8" s="150" t="s">
        <v>15</v>
      </c>
      <c r="P8" s="1363" t="s">
        <v>16</v>
      </c>
      <c r="Q8" s="150" t="s">
        <v>15</v>
      </c>
      <c r="R8" s="1363" t="s">
        <v>16</v>
      </c>
      <c r="S8" s="150" t="s">
        <v>15</v>
      </c>
      <c r="T8" s="1363" t="s">
        <v>16</v>
      </c>
      <c r="U8" s="150" t="s">
        <v>15</v>
      </c>
      <c r="V8" s="1397" t="s">
        <v>16</v>
      </c>
      <c r="W8" s="150" t="s">
        <v>15</v>
      </c>
      <c r="X8" s="1363" t="s">
        <v>16</v>
      </c>
      <c r="Y8" s="2023"/>
      <c r="Z8" s="2009"/>
      <c r="AA8" s="1988"/>
      <c r="AB8" s="2004"/>
      <c r="AC8" s="2004"/>
      <c r="AD8" s="2004"/>
      <c r="AE8" s="2107"/>
      <c r="AF8" s="2009"/>
      <c r="AG8" s="2108"/>
      <c r="AH8" s="2004"/>
      <c r="AI8" s="2002"/>
      <c r="AJ8" s="2023"/>
      <c r="AK8" s="1988"/>
      <c r="AL8" s="2004"/>
      <c r="AM8" s="2004"/>
      <c r="AN8" s="2004"/>
      <c r="AO8" s="1988"/>
      <c r="AP8" s="1988"/>
      <c r="AQ8" s="2025"/>
      <c r="AR8" s="2009"/>
      <c r="AS8" s="2009"/>
      <c r="AT8" s="1988"/>
      <c r="AU8" s="1988"/>
      <c r="AV8" s="2023"/>
      <c r="AW8" s="1988"/>
      <c r="AX8" s="1988"/>
      <c r="AY8" s="1988"/>
      <c r="AZ8" s="1988"/>
      <c r="BA8" s="2006"/>
      <c r="BB8" s="2002"/>
      <c r="BC8" s="2002"/>
      <c r="BD8" s="2002"/>
      <c r="BE8" s="2000"/>
      <c r="BF8" s="2000"/>
    </row>
    <row r="9" spans="1:58" ht="15.75" customHeight="1" x14ac:dyDescent="0.25">
      <c r="A9" s="119">
        <v>1</v>
      </c>
      <c r="B9" s="572"/>
      <c r="C9" s="120" t="s">
        <v>326</v>
      </c>
      <c r="D9" s="119">
        <v>1962</v>
      </c>
      <c r="E9" s="299">
        <v>1</v>
      </c>
      <c r="F9" s="299">
        <v>6</v>
      </c>
      <c r="G9" s="299">
        <v>11</v>
      </c>
      <c r="H9" s="461">
        <v>288.2</v>
      </c>
      <c r="I9" s="1364">
        <v>0</v>
      </c>
      <c r="J9" s="1364">
        <v>0</v>
      </c>
      <c r="K9" s="1364">
        <v>276.72000000000003</v>
      </c>
      <c r="L9" s="1364">
        <v>352</v>
      </c>
      <c r="M9" s="1364">
        <v>0</v>
      </c>
      <c r="N9" s="1364">
        <v>0</v>
      </c>
      <c r="O9" s="1364">
        <v>3078</v>
      </c>
      <c r="P9" s="1364">
        <v>3896.82</v>
      </c>
      <c r="Q9" s="1365">
        <v>19479.509999999998</v>
      </c>
      <c r="R9" s="1366">
        <v>17968.259999999998</v>
      </c>
      <c r="S9" s="1367">
        <v>0</v>
      </c>
      <c r="T9" s="1367">
        <v>0</v>
      </c>
      <c r="U9" s="1367">
        <v>5187.6000000000004</v>
      </c>
      <c r="V9" s="1367">
        <v>5160.53</v>
      </c>
      <c r="W9" s="1367">
        <f>I9+K9+M9+O9+Q9+S9+U9</f>
        <v>28021.83</v>
      </c>
      <c r="X9" s="1367">
        <f>J9+L9+N9+P9+R9+T9+V9</f>
        <v>27377.609999999997</v>
      </c>
      <c r="Y9" s="1492">
        <f>AJ9+AQ9+AV9+AW9+AX9+AY9</f>
        <v>14590.648835204083</v>
      </c>
      <c r="Z9" s="1369"/>
      <c r="AA9" s="1370">
        <f>123808.33/26250.75*H9</f>
        <v>1359.2587147414836</v>
      </c>
      <c r="AB9" s="1370"/>
      <c r="AC9" s="1370">
        <f>13381.84/26250.75*H9</f>
        <v>146.91566100016189</v>
      </c>
      <c r="AD9" s="1371"/>
      <c r="AE9" s="1371">
        <f>57729.73/26250.75*H9</f>
        <v>633.79934615201478</v>
      </c>
      <c r="AF9" s="1371">
        <f>603019.46/26250.75*H9</f>
        <v>6620.3902125463073</v>
      </c>
      <c r="AG9" s="1370">
        <f>104416.72/26250.75*H9</f>
        <v>1146.3633878651085</v>
      </c>
      <c r="AH9" s="1372"/>
      <c r="AI9" s="1370"/>
      <c r="AJ9" s="1493">
        <f>AI9+AH9+AG9+AF9+AE9+AD9+AC9+AB9+AA9+Z9</f>
        <v>9906.7273223050743</v>
      </c>
      <c r="AK9" s="1414"/>
      <c r="AL9" s="1414"/>
      <c r="AM9" s="1414"/>
      <c r="AN9" s="1414"/>
      <c r="AO9" s="1414"/>
      <c r="AP9" s="1414"/>
      <c r="AQ9" s="1494">
        <f>AK9+AL9+AM9+AN9+AO9+AP9</f>
        <v>0</v>
      </c>
      <c r="AR9" s="1414"/>
      <c r="AS9" s="1414"/>
      <c r="AT9" s="1414"/>
      <c r="AU9" s="1414"/>
      <c r="AV9" s="1494">
        <f>AR9+AS9+AT9+AU9</f>
        <v>0</v>
      </c>
      <c r="AW9" s="1373"/>
      <c r="AX9" s="1374">
        <f>33181.77/26213.25*H9</f>
        <v>364.81497387771446</v>
      </c>
      <c r="AY9" s="1365">
        <f>392844.62/26213.25*H9</f>
        <v>4319.1065390212962</v>
      </c>
      <c r="AZ9" s="1375">
        <f>W9-Y9</f>
        <v>13431.181164795918</v>
      </c>
      <c r="BA9" s="1368">
        <f>X9/W9*100</f>
        <v>97.701006679435267</v>
      </c>
      <c r="BB9" s="1376">
        <f>Y9/H9/9</f>
        <v>5.6252019566674702</v>
      </c>
      <c r="BC9" s="467">
        <f>W9-X9</f>
        <v>644.2200000000048</v>
      </c>
      <c r="BD9" s="467">
        <f>U9-V9</f>
        <v>27.070000000000618</v>
      </c>
      <c r="BE9" s="736">
        <v>9.4700000000000006</v>
      </c>
      <c r="BF9" s="736">
        <v>2</v>
      </c>
    </row>
    <row r="10" spans="1:58" s="124" customFormat="1" ht="15.75" customHeight="1" x14ac:dyDescent="0.25">
      <c r="A10" s="112">
        <v>2</v>
      </c>
      <c r="B10" s="572"/>
      <c r="C10" s="41" t="s">
        <v>24</v>
      </c>
      <c r="D10" s="112">
        <v>1966</v>
      </c>
      <c r="E10" s="179">
        <v>2</v>
      </c>
      <c r="F10" s="179">
        <v>16</v>
      </c>
      <c r="G10" s="151">
        <v>34</v>
      </c>
      <c r="H10" s="131">
        <v>627.76</v>
      </c>
      <c r="I10" s="704"/>
      <c r="J10" s="704"/>
      <c r="K10" s="704">
        <v>602.64</v>
      </c>
      <c r="L10" s="704">
        <v>629.04999999999995</v>
      </c>
      <c r="M10" s="704"/>
      <c r="N10" s="704"/>
      <c r="O10" s="704">
        <v>6704.34</v>
      </c>
      <c r="P10" s="704">
        <v>6923.05</v>
      </c>
      <c r="Q10" s="1365">
        <v>48360.99</v>
      </c>
      <c r="R10" s="1366">
        <v>40602.019999999997</v>
      </c>
      <c r="S10" s="1367">
        <v>1323.3</v>
      </c>
      <c r="T10" s="1367">
        <v>960.24</v>
      </c>
      <c r="U10" s="1367">
        <v>19208.97</v>
      </c>
      <c r="V10" s="1367">
        <v>16734.82</v>
      </c>
      <c r="W10" s="1367">
        <f t="shared" ref="W10:W40" si="0">I10+K10+M10+O10+Q10+S10+U10</f>
        <v>76200.240000000005</v>
      </c>
      <c r="X10" s="1367">
        <f t="shared" ref="X10:X40" si="1">J10+L10+N10+P10+R10+T10+V10</f>
        <v>65849.179999999993</v>
      </c>
      <c r="Y10" s="1492">
        <f t="shared" ref="Y10:Y40" si="2">AJ10+AQ10+AV10+AW10+AX10+AY10</f>
        <v>56083.40145463714</v>
      </c>
      <c r="Z10" s="1374"/>
      <c r="AA10" s="1370">
        <f t="shared" ref="AA10:AA40" si="3">123808.33/26250.75*H10</f>
        <v>2960.7503496395339</v>
      </c>
      <c r="AB10" s="1370">
        <v>1838.9</v>
      </c>
      <c r="AC10" s="1370">
        <f t="shared" ref="AC10:AC40" si="4">13381.84/26250.75*H10</f>
        <v>320.01309975524504</v>
      </c>
      <c r="AD10" s="1371"/>
      <c r="AE10" s="1371">
        <f t="shared" ref="AE10:AE40" si="5">57729.73/26250.75*H10</f>
        <v>1380.5478054836531</v>
      </c>
      <c r="AF10" s="1371">
        <f t="shared" ref="AF10:AF40" si="6">603019.46/26250.75*H10</f>
        <v>14420.597362345836</v>
      </c>
      <c r="AG10" s="1370">
        <f t="shared" ref="AG10:AG40" si="7">104416.72/26250.75*H10</f>
        <v>2497.0197098063863</v>
      </c>
      <c r="AH10" s="1377">
        <f>600614.23/25091.1*H10</f>
        <v>15026.905517287007</v>
      </c>
      <c r="AI10" s="1370">
        <f>AH10*0.202</f>
        <v>3035.4349144919756</v>
      </c>
      <c r="AJ10" s="1493">
        <f t="shared" ref="AJ10:AJ40" si="8">AI10+AH10+AG10+AF10+AE10+AD10+AC10+AB10+AA10+Z10</f>
        <v>41480.168758809647</v>
      </c>
      <c r="AK10" s="1414">
        <v>4400.67</v>
      </c>
      <c r="AL10" s="1414"/>
      <c r="AM10" s="1414"/>
      <c r="AN10" s="1414"/>
      <c r="AO10" s="1414"/>
      <c r="AP10" s="1414"/>
      <c r="AQ10" s="1494">
        <f t="shared" ref="AQ10:AQ40" si="9">AK10+AL10+AM10+AN10+AO10+AP10</f>
        <v>4400.67</v>
      </c>
      <c r="AR10" s="1414"/>
      <c r="AS10" s="1414"/>
      <c r="AT10" s="1414"/>
      <c r="AU10" s="1414"/>
      <c r="AV10" s="1494">
        <f t="shared" ref="AV10:AV40" si="10">AR10+AS10+AT10+AU10</f>
        <v>0</v>
      </c>
      <c r="AW10" s="1373"/>
      <c r="AX10" s="1374">
        <f t="shared" ref="AX10:AX40" si="11">33181.77/26213.25*H10</f>
        <v>794.64346981774474</v>
      </c>
      <c r="AY10" s="1365">
        <f t="shared" ref="AY10:AY40" si="12">392844.62/26213.25*H10</f>
        <v>9407.9192260097461</v>
      </c>
      <c r="AZ10" s="1375">
        <f t="shared" ref="AZ10:AZ41" si="13">W10-Y10</f>
        <v>20116.838545362865</v>
      </c>
      <c r="BA10" s="1368">
        <f t="shared" ref="BA10:BA41" si="14">X10/W10*100</f>
        <v>86.415974542862315</v>
      </c>
      <c r="BB10" s="1376">
        <f t="shared" ref="BB10:BB41" si="15">Y10/H10/9</f>
        <v>9.9265468499350682</v>
      </c>
      <c r="BC10" s="467">
        <f t="shared" ref="BC10:BD41" si="16">W10-X10</f>
        <v>10351.060000000012</v>
      </c>
      <c r="BD10" s="467">
        <f t="shared" ref="BD10:BD40" si="17">U10-V10</f>
        <v>2474.1500000000015</v>
      </c>
      <c r="BE10" s="736">
        <v>10.199999999999999</v>
      </c>
      <c r="BF10" s="736">
        <v>3.4</v>
      </c>
    </row>
    <row r="11" spans="1:58" s="124" customFormat="1" x14ac:dyDescent="0.25">
      <c r="A11" s="13">
        <v>3</v>
      </c>
      <c r="B11" s="573"/>
      <c r="C11" s="42" t="s">
        <v>25</v>
      </c>
      <c r="D11" s="13">
        <v>1966</v>
      </c>
      <c r="E11" s="36">
        <v>2</v>
      </c>
      <c r="F11" s="36">
        <v>16</v>
      </c>
      <c r="G11" s="225">
        <v>35</v>
      </c>
      <c r="H11" s="121">
        <v>626.47</v>
      </c>
      <c r="I11" s="707"/>
      <c r="J11" s="707"/>
      <c r="K11" s="707">
        <v>601.5</v>
      </c>
      <c r="L11" s="707">
        <v>736.07</v>
      </c>
      <c r="M11" s="707"/>
      <c r="N11" s="707"/>
      <c r="O11" s="707">
        <v>6690.72</v>
      </c>
      <c r="P11" s="707">
        <v>8164.98</v>
      </c>
      <c r="Q11" s="1365">
        <v>49240.53</v>
      </c>
      <c r="R11" s="1366">
        <v>48485.37</v>
      </c>
      <c r="S11" s="1367">
        <v>1434.6</v>
      </c>
      <c r="T11" s="1367">
        <v>1200.98</v>
      </c>
      <c r="U11" s="1367">
        <v>18324.54</v>
      </c>
      <c r="V11" s="1367">
        <v>18738.5</v>
      </c>
      <c r="W11" s="1367">
        <f t="shared" si="0"/>
        <v>76291.89</v>
      </c>
      <c r="X11" s="1367">
        <f t="shared" si="1"/>
        <v>77325.899999999994</v>
      </c>
      <c r="Y11" s="1492">
        <f t="shared" si="2"/>
        <v>52488.456096894544</v>
      </c>
      <c r="Z11" s="1374"/>
      <c r="AA11" s="1370">
        <f t="shared" si="3"/>
        <v>2954.6662283972842</v>
      </c>
      <c r="AB11" s="1370">
        <v>1926.05</v>
      </c>
      <c r="AC11" s="1370">
        <f t="shared" si="4"/>
        <v>319.35549669247541</v>
      </c>
      <c r="AD11" s="1371"/>
      <c r="AE11" s="1371">
        <f t="shared" si="5"/>
        <v>1377.710882664305</v>
      </c>
      <c r="AF11" s="1371">
        <f t="shared" si="6"/>
        <v>14390.96410983305</v>
      </c>
      <c r="AG11" s="1370">
        <f t="shared" si="7"/>
        <v>2491.8885204575108</v>
      </c>
      <c r="AH11" s="1377">
        <f t="shared" ref="AH11:AH26" si="18">600614.23/25091.1*H11</f>
        <v>14996.026346716566</v>
      </c>
      <c r="AI11" s="1370">
        <f t="shared" ref="AI11:AI26" si="19">AH11*0.202</f>
        <v>3029.1973220367463</v>
      </c>
      <c r="AJ11" s="1493">
        <f t="shared" si="8"/>
        <v>41485.858906797934</v>
      </c>
      <c r="AK11" s="1414">
        <v>821</v>
      </c>
      <c r="AL11" s="1414"/>
      <c r="AM11" s="1414"/>
      <c r="AN11" s="1414"/>
      <c r="AO11" s="1414"/>
      <c r="AP11" s="1414"/>
      <c r="AQ11" s="1494">
        <f t="shared" si="9"/>
        <v>821</v>
      </c>
      <c r="AR11" s="1414"/>
      <c r="AS11" s="1414"/>
      <c r="AT11" s="1414"/>
      <c r="AU11" s="1414"/>
      <c r="AV11" s="1494">
        <f t="shared" si="10"/>
        <v>0</v>
      </c>
      <c r="AW11" s="1373"/>
      <c r="AX11" s="1374">
        <f t="shared" si="11"/>
        <v>793.01053672856278</v>
      </c>
      <c r="AY11" s="1365">
        <f t="shared" si="12"/>
        <v>9388.5866533680492</v>
      </c>
      <c r="AZ11" s="1375">
        <f t="shared" si="13"/>
        <v>23803.433903105455</v>
      </c>
      <c r="BA11" s="1368">
        <f t="shared" si="14"/>
        <v>101.35533409907657</v>
      </c>
      <c r="BB11" s="1376">
        <f t="shared" si="15"/>
        <v>9.3093854094094315</v>
      </c>
      <c r="BC11" s="467">
        <f t="shared" si="16"/>
        <v>-1034.0099999999948</v>
      </c>
      <c r="BD11" s="467">
        <f t="shared" si="17"/>
        <v>-413.95999999999913</v>
      </c>
      <c r="BE11" s="736">
        <v>10.38</v>
      </c>
      <c r="BF11" s="736">
        <v>3.25</v>
      </c>
    </row>
    <row r="12" spans="1:58" s="124" customFormat="1" x14ac:dyDescent="0.25">
      <c r="A12" s="13">
        <v>4</v>
      </c>
      <c r="B12" s="573"/>
      <c r="C12" s="42" t="s">
        <v>26</v>
      </c>
      <c r="D12" s="13">
        <v>1961</v>
      </c>
      <c r="E12" s="36">
        <v>2</v>
      </c>
      <c r="F12" s="36">
        <v>12</v>
      </c>
      <c r="G12" s="151">
        <v>39</v>
      </c>
      <c r="H12" s="121">
        <v>456.5</v>
      </c>
      <c r="I12" s="707"/>
      <c r="J12" s="707"/>
      <c r="K12" s="707">
        <v>438.24</v>
      </c>
      <c r="L12" s="707">
        <v>524.82000000000005</v>
      </c>
      <c r="M12" s="707"/>
      <c r="N12" s="707"/>
      <c r="O12" s="707">
        <v>4875.4799999999996</v>
      </c>
      <c r="P12" s="707">
        <v>5809.55</v>
      </c>
      <c r="Q12" s="1365">
        <v>34675.71</v>
      </c>
      <c r="R12" s="1366">
        <v>33026.46</v>
      </c>
      <c r="S12" s="1367">
        <v>1767.24</v>
      </c>
      <c r="T12" s="1367">
        <v>1438.56</v>
      </c>
      <c r="U12" s="1367">
        <v>14420.88</v>
      </c>
      <c r="V12" s="1367">
        <v>14300.71</v>
      </c>
      <c r="W12" s="1367">
        <f t="shared" si="0"/>
        <v>56177.549999999996</v>
      </c>
      <c r="X12" s="1367">
        <f t="shared" si="1"/>
        <v>55100.1</v>
      </c>
      <c r="Y12" s="1492">
        <f t="shared" si="2"/>
        <v>112787.45272053308</v>
      </c>
      <c r="Z12" s="1374">
        <v>5686.18</v>
      </c>
      <c r="AA12" s="1370">
        <f t="shared" si="3"/>
        <v>2153.0243000676169</v>
      </c>
      <c r="AB12" s="1370">
        <v>2172.66</v>
      </c>
      <c r="AC12" s="1370">
        <f t="shared" si="4"/>
        <v>232.70992104987474</v>
      </c>
      <c r="AD12" s="1371"/>
      <c r="AE12" s="1371">
        <f t="shared" si="5"/>
        <v>1003.9188116530005</v>
      </c>
      <c r="AF12" s="1371">
        <f t="shared" si="6"/>
        <v>10486.495947353884</v>
      </c>
      <c r="AG12" s="1370">
        <f t="shared" si="7"/>
        <v>1815.8046029161071</v>
      </c>
      <c r="AH12" s="1377">
        <f t="shared" si="18"/>
        <v>10927.39640729183</v>
      </c>
      <c r="AI12" s="1370">
        <f t="shared" si="19"/>
        <v>2207.3340742729497</v>
      </c>
      <c r="AJ12" s="1493">
        <f t="shared" si="8"/>
        <v>36685.524064605263</v>
      </c>
      <c r="AK12" s="1414">
        <v>16971.740000000002</v>
      </c>
      <c r="AL12" s="1414">
        <v>3000</v>
      </c>
      <c r="AM12" s="1414">
        <v>48711</v>
      </c>
      <c r="AN12" s="1414"/>
      <c r="AO12" s="1414"/>
      <c r="AP12" s="1414"/>
      <c r="AQ12" s="1494">
        <f t="shared" si="9"/>
        <v>68682.740000000005</v>
      </c>
      <c r="AR12" s="1414"/>
      <c r="AS12" s="1414"/>
      <c r="AT12" s="1414"/>
      <c r="AU12" s="1414"/>
      <c r="AV12" s="1494">
        <f t="shared" si="10"/>
        <v>0</v>
      </c>
      <c r="AW12" s="1373"/>
      <c r="AX12" s="1374">
        <f t="shared" si="11"/>
        <v>577.85577923378435</v>
      </c>
      <c r="AY12" s="1365">
        <f t="shared" si="12"/>
        <v>6841.3328766940385</v>
      </c>
      <c r="AZ12" s="1375">
        <f t="shared" si="13"/>
        <v>-56609.902720533086</v>
      </c>
      <c r="BA12" s="1368">
        <f t="shared" si="14"/>
        <v>98.082063030516636</v>
      </c>
      <c r="BB12" s="1376">
        <f t="shared" si="15"/>
        <v>27.452221667404913</v>
      </c>
      <c r="BC12" s="467">
        <f t="shared" si="16"/>
        <v>1077.4499999999971</v>
      </c>
      <c r="BD12" s="467">
        <f t="shared" si="17"/>
        <v>120.17000000000007</v>
      </c>
      <c r="BE12" s="736">
        <v>10.08</v>
      </c>
      <c r="BF12" s="736">
        <v>3.51</v>
      </c>
    </row>
    <row r="13" spans="1:58" s="124" customFormat="1" x14ac:dyDescent="0.25">
      <c r="A13" s="13">
        <v>5</v>
      </c>
      <c r="B13" s="573"/>
      <c r="C13" s="42" t="s">
        <v>27</v>
      </c>
      <c r="D13" s="13">
        <v>1961</v>
      </c>
      <c r="E13" s="36">
        <v>2</v>
      </c>
      <c r="F13" s="36">
        <v>12</v>
      </c>
      <c r="G13" s="225">
        <v>35</v>
      </c>
      <c r="H13" s="121">
        <v>459.7</v>
      </c>
      <c r="I13" s="707"/>
      <c r="J13" s="707"/>
      <c r="K13" s="707">
        <v>441.3</v>
      </c>
      <c r="L13" s="707">
        <v>472.24</v>
      </c>
      <c r="M13" s="707"/>
      <c r="N13" s="707"/>
      <c r="O13" s="707">
        <v>4909.62</v>
      </c>
      <c r="P13" s="707">
        <v>5072.8</v>
      </c>
      <c r="Q13" s="1365">
        <v>35760.06</v>
      </c>
      <c r="R13" s="1366">
        <v>30756.15</v>
      </c>
      <c r="S13" s="1367">
        <v>2047.61</v>
      </c>
      <c r="T13" s="1367">
        <v>1497.91</v>
      </c>
      <c r="U13" s="1367">
        <v>13777.29</v>
      </c>
      <c r="V13" s="1367">
        <v>12244.45</v>
      </c>
      <c r="W13" s="1367">
        <f t="shared" si="0"/>
        <v>56935.88</v>
      </c>
      <c r="X13" s="1367">
        <f t="shared" si="1"/>
        <v>50043.55</v>
      </c>
      <c r="Y13" s="1492">
        <f t="shared" si="2"/>
        <v>109937.12112733637</v>
      </c>
      <c r="Z13" s="1374"/>
      <c r="AA13" s="1370">
        <f t="shared" si="3"/>
        <v>2168.1166938468423</v>
      </c>
      <c r="AB13" s="1370">
        <v>3731.07</v>
      </c>
      <c r="AC13" s="1370">
        <f t="shared" si="4"/>
        <v>234.34118446139632</v>
      </c>
      <c r="AD13" s="1371"/>
      <c r="AE13" s="1371">
        <f t="shared" si="5"/>
        <v>1010.9561395769646</v>
      </c>
      <c r="AF13" s="1371">
        <f t="shared" si="6"/>
        <v>10560.004790796453</v>
      </c>
      <c r="AG13" s="1370">
        <f t="shared" si="7"/>
        <v>1828.5331346342484</v>
      </c>
      <c r="AH13" s="1377">
        <f t="shared" si="18"/>
        <v>11003.995900179745</v>
      </c>
      <c r="AI13" s="1370">
        <f t="shared" si="19"/>
        <v>2222.8071718363085</v>
      </c>
      <c r="AJ13" s="1493">
        <f t="shared" si="8"/>
        <v>32759.825015331953</v>
      </c>
      <c r="AK13" s="1414">
        <v>20995.1</v>
      </c>
      <c r="AL13" s="1414"/>
      <c r="AM13" s="1414">
        <v>48711</v>
      </c>
      <c r="AN13" s="1414"/>
      <c r="AO13" s="1414"/>
      <c r="AP13" s="1414"/>
      <c r="AQ13" s="1494">
        <f t="shared" si="9"/>
        <v>69706.100000000006</v>
      </c>
      <c r="AR13" s="1414"/>
      <c r="AS13" s="1414"/>
      <c r="AT13" s="1414"/>
      <c r="AU13" s="1414"/>
      <c r="AV13" s="1494">
        <f t="shared" si="10"/>
        <v>0</v>
      </c>
      <c r="AW13" s="1373"/>
      <c r="AX13" s="1374">
        <f t="shared" si="11"/>
        <v>581.90646596663896</v>
      </c>
      <c r="AY13" s="1365">
        <f t="shared" si="12"/>
        <v>6889.289646037786</v>
      </c>
      <c r="AZ13" s="1375">
        <f t="shared" si="13"/>
        <v>-53001.241127336376</v>
      </c>
      <c r="BA13" s="1368">
        <f t="shared" si="14"/>
        <v>87.894575441707417</v>
      </c>
      <c r="BB13" s="1376">
        <f t="shared" si="15"/>
        <v>26.572189864727328</v>
      </c>
      <c r="BC13" s="467">
        <f t="shared" si="16"/>
        <v>6892.3299999999945</v>
      </c>
      <c r="BD13" s="467">
        <f t="shared" si="17"/>
        <v>1532.8400000000001</v>
      </c>
      <c r="BE13" s="736">
        <v>10.29</v>
      </c>
      <c r="BF13" s="736">
        <v>3.33</v>
      </c>
    </row>
    <row r="14" spans="1:58" s="124" customFormat="1" x14ac:dyDescent="0.25">
      <c r="A14" s="13">
        <v>6</v>
      </c>
      <c r="B14" s="573"/>
      <c r="C14" s="42" t="s">
        <v>28</v>
      </c>
      <c r="D14" s="13">
        <v>1960</v>
      </c>
      <c r="E14" s="36">
        <v>1</v>
      </c>
      <c r="F14" s="36">
        <v>6</v>
      </c>
      <c r="G14" s="151">
        <v>10</v>
      </c>
      <c r="H14" s="462">
        <v>129.56</v>
      </c>
      <c r="I14" s="1378"/>
      <c r="J14" s="1378"/>
      <c r="K14" s="1378">
        <v>103.2</v>
      </c>
      <c r="L14" s="1378">
        <v>105.6</v>
      </c>
      <c r="M14" s="1378"/>
      <c r="N14" s="1378"/>
      <c r="O14" s="1378">
        <v>1148.7</v>
      </c>
      <c r="P14" s="1378">
        <v>1175.6099999999999</v>
      </c>
      <c r="Q14" s="1365">
        <v>7037.67</v>
      </c>
      <c r="R14" s="1366">
        <v>4935.57</v>
      </c>
      <c r="S14" s="1367"/>
      <c r="T14" s="1367"/>
      <c r="U14" s="1367">
        <v>251.73</v>
      </c>
      <c r="V14" s="1367">
        <v>193.79</v>
      </c>
      <c r="W14" s="1367">
        <f t="shared" si="0"/>
        <v>8541.2999999999993</v>
      </c>
      <c r="X14" s="1367">
        <f t="shared" si="1"/>
        <v>6410.57</v>
      </c>
      <c r="Y14" s="1492">
        <f t="shared" si="2"/>
        <v>6559.210489552539</v>
      </c>
      <c r="Z14" s="1374"/>
      <c r="AA14" s="1370">
        <f t="shared" si="3"/>
        <v>611.05329313638663</v>
      </c>
      <c r="AB14" s="1370"/>
      <c r="AC14" s="1370">
        <f t="shared" si="4"/>
        <v>66.045777373979789</v>
      </c>
      <c r="AD14" s="1371"/>
      <c r="AE14" s="1371">
        <f t="shared" si="5"/>
        <v>284.92381432149563</v>
      </c>
      <c r="AF14" s="1371">
        <f t="shared" si="6"/>
        <v>2976.1892988809841</v>
      </c>
      <c r="AG14" s="1370">
        <f t="shared" si="7"/>
        <v>515.34642793824935</v>
      </c>
      <c r="AH14" s="1377"/>
      <c r="AI14" s="1370"/>
      <c r="AJ14" s="1493">
        <f t="shared" si="8"/>
        <v>4453.5586116510958</v>
      </c>
      <c r="AK14" s="1414"/>
      <c r="AL14" s="1414"/>
      <c r="AM14" s="1414"/>
      <c r="AN14" s="1414"/>
      <c r="AO14" s="1414"/>
      <c r="AP14" s="1414"/>
      <c r="AQ14" s="1494">
        <f t="shared" si="9"/>
        <v>0</v>
      </c>
      <c r="AR14" s="1414"/>
      <c r="AS14" s="1414"/>
      <c r="AT14" s="1414"/>
      <c r="AU14" s="1414"/>
      <c r="AV14" s="1494">
        <f t="shared" si="10"/>
        <v>0</v>
      </c>
      <c r="AW14" s="1373"/>
      <c r="AX14" s="1374">
        <f t="shared" si="11"/>
        <v>164.00217909644931</v>
      </c>
      <c r="AY14" s="1365">
        <f t="shared" si="12"/>
        <v>1941.6496988049937</v>
      </c>
      <c r="AZ14" s="1375">
        <f t="shared" si="13"/>
        <v>1982.0895104474603</v>
      </c>
      <c r="BA14" s="1368">
        <f t="shared" si="14"/>
        <v>75.053797431304375</v>
      </c>
      <c r="BB14" s="1376">
        <f t="shared" si="15"/>
        <v>5.6252019566674711</v>
      </c>
      <c r="BC14" s="467">
        <f t="shared" si="16"/>
        <v>2130.7299999999996</v>
      </c>
      <c r="BD14" s="467">
        <f t="shared" si="17"/>
        <v>57.94</v>
      </c>
      <c r="BE14" s="736">
        <v>9.23</v>
      </c>
      <c r="BF14" s="736">
        <v>0.26</v>
      </c>
    </row>
    <row r="15" spans="1:58" s="124" customFormat="1" x14ac:dyDescent="0.25">
      <c r="A15" s="13">
        <v>7</v>
      </c>
      <c r="B15" s="573"/>
      <c r="C15" s="42" t="s">
        <v>29</v>
      </c>
      <c r="D15" s="13">
        <v>1985</v>
      </c>
      <c r="E15" s="36">
        <v>4</v>
      </c>
      <c r="F15" s="36">
        <v>48</v>
      </c>
      <c r="G15" s="225">
        <v>106</v>
      </c>
      <c r="H15" s="121">
        <v>2625.8</v>
      </c>
      <c r="I15" s="707">
        <v>40017.360000000001</v>
      </c>
      <c r="J15" s="707">
        <v>46985.59</v>
      </c>
      <c r="K15" s="707">
        <v>2520.84</v>
      </c>
      <c r="L15" s="707">
        <v>2974.95</v>
      </c>
      <c r="M15" s="707">
        <v>11973.54</v>
      </c>
      <c r="N15" s="707">
        <v>14304.06</v>
      </c>
      <c r="O15" s="707">
        <v>28043.4</v>
      </c>
      <c r="P15" s="707">
        <v>30832.92</v>
      </c>
      <c r="Q15" s="1365">
        <v>233801.49</v>
      </c>
      <c r="R15" s="1366">
        <v>232870.23</v>
      </c>
      <c r="S15" s="1367">
        <v>7592.98</v>
      </c>
      <c r="T15" s="1367">
        <v>7329.81</v>
      </c>
      <c r="U15" s="1367">
        <v>64752.39</v>
      </c>
      <c r="V15" s="1367">
        <v>66124.240000000005</v>
      </c>
      <c r="W15" s="1367">
        <f t="shared" si="0"/>
        <v>388702</v>
      </c>
      <c r="X15" s="1367">
        <f t="shared" si="1"/>
        <v>401421.8</v>
      </c>
      <c r="Y15" s="1492">
        <f t="shared" si="2"/>
        <v>351669.00310198741</v>
      </c>
      <c r="Z15" s="1374">
        <v>18098.63</v>
      </c>
      <c r="AA15" s="1370">
        <f t="shared" si="3"/>
        <v>12384.252370465607</v>
      </c>
      <c r="AB15" s="1370">
        <v>5714.1</v>
      </c>
      <c r="AC15" s="1370">
        <f t="shared" si="4"/>
        <v>1338.5535831166728</v>
      </c>
      <c r="AD15" s="1371"/>
      <c r="AE15" s="1371">
        <f t="shared" si="5"/>
        <v>5774.5673946077741</v>
      </c>
      <c r="AF15" s="1371">
        <f t="shared" si="6"/>
        <v>60318.60034734245</v>
      </c>
      <c r="AG15" s="1370">
        <f t="shared" si="7"/>
        <v>10444.555807967392</v>
      </c>
      <c r="AH15" s="1377">
        <f t="shared" si="18"/>
        <v>62854.671382840934</v>
      </c>
      <c r="AI15" s="1370">
        <f t="shared" si="19"/>
        <v>12696.643619333869</v>
      </c>
      <c r="AJ15" s="1493">
        <f t="shared" si="8"/>
        <v>189624.57450567471</v>
      </c>
      <c r="AK15" s="1414">
        <v>11008.61</v>
      </c>
      <c r="AL15" s="1414"/>
      <c r="AM15" s="1414"/>
      <c r="AN15" s="1414">
        <v>16998</v>
      </c>
      <c r="AO15" s="1414">
        <v>11643.5</v>
      </c>
      <c r="AP15" s="1414">
        <v>10517.93</v>
      </c>
      <c r="AQ15" s="1494">
        <f t="shared" si="9"/>
        <v>50168.04</v>
      </c>
      <c r="AR15" s="1414">
        <f>1172.62/16716.88*H15</f>
        <v>184.1890111073358</v>
      </c>
      <c r="AS15" s="1414">
        <v>262.22000000000003</v>
      </c>
      <c r="AT15" s="1414">
        <f>297744.22/16716.88*H15</f>
        <v>46768.103430544448</v>
      </c>
      <c r="AU15" s="1414">
        <f>AT15*0.202</f>
        <v>9447.1568929699788</v>
      </c>
      <c r="AV15" s="1494">
        <f t="shared" si="10"/>
        <v>56661.669334621765</v>
      </c>
      <c r="AW15" s="1373">
        <f>65924.38/13804.88*H15</f>
        <v>12539.351084833772</v>
      </c>
      <c r="AX15" s="1374">
        <f t="shared" si="11"/>
        <v>3323.8416322279763</v>
      </c>
      <c r="AY15" s="1365">
        <f t="shared" si="12"/>
        <v>39351.526544629152</v>
      </c>
      <c r="AZ15" s="1375">
        <f t="shared" si="13"/>
        <v>37032.996898012585</v>
      </c>
      <c r="BA15" s="1368">
        <f t="shared" si="14"/>
        <v>103.27237832581258</v>
      </c>
      <c r="BB15" s="1376">
        <f t="shared" si="15"/>
        <v>14.880925309619393</v>
      </c>
      <c r="BC15" s="467">
        <f t="shared" si="16"/>
        <v>-12719.799999999988</v>
      </c>
      <c r="BD15" s="467">
        <f t="shared" si="17"/>
        <v>-1371.8500000000058</v>
      </c>
      <c r="BE15" s="736">
        <v>13.86</v>
      </c>
      <c r="BF15" s="736">
        <v>2.74</v>
      </c>
    </row>
    <row r="16" spans="1:58" s="124" customFormat="1" x14ac:dyDescent="0.25">
      <c r="A16" s="13">
        <v>8</v>
      </c>
      <c r="B16" s="573"/>
      <c r="C16" s="42" t="s">
        <v>30</v>
      </c>
      <c r="D16" s="13">
        <v>1968</v>
      </c>
      <c r="E16" s="36">
        <v>2</v>
      </c>
      <c r="F16" s="36">
        <v>22</v>
      </c>
      <c r="G16" s="151">
        <v>60</v>
      </c>
      <c r="H16" s="121">
        <v>857.42</v>
      </c>
      <c r="I16" s="707"/>
      <c r="J16" s="707"/>
      <c r="K16" s="707">
        <v>823.02</v>
      </c>
      <c r="L16" s="707">
        <v>1018.5</v>
      </c>
      <c r="M16" s="707"/>
      <c r="N16" s="707"/>
      <c r="O16" s="707">
        <v>9157.6200000000008</v>
      </c>
      <c r="P16" s="707">
        <v>11278.81</v>
      </c>
      <c r="Q16" s="1365">
        <v>64719.75</v>
      </c>
      <c r="R16" s="1366">
        <v>63985.13</v>
      </c>
      <c r="S16" s="1367">
        <v>1219.98</v>
      </c>
      <c r="T16" s="1367">
        <v>1049.58</v>
      </c>
      <c r="U16" s="1367">
        <v>27472.41</v>
      </c>
      <c r="V16" s="1367">
        <v>28343.26</v>
      </c>
      <c r="W16" s="1367">
        <f t="shared" si="0"/>
        <v>103392.78</v>
      </c>
      <c r="X16" s="1367">
        <f t="shared" si="1"/>
        <v>105675.28</v>
      </c>
      <c r="Y16" s="1492">
        <f t="shared" si="2"/>
        <v>124058.42111290136</v>
      </c>
      <c r="Z16" s="1374">
        <v>7718.57</v>
      </c>
      <c r="AA16" s="1370">
        <f t="shared" si="3"/>
        <v>4043.9125856823134</v>
      </c>
      <c r="AB16" s="1370">
        <v>1106.6300000000001</v>
      </c>
      <c r="AC16" s="1370">
        <f t="shared" si="4"/>
        <v>437.0868357208841</v>
      </c>
      <c r="AD16" s="1371"/>
      <c r="AE16" s="1371">
        <f t="shared" si="5"/>
        <v>1885.6080339266498</v>
      </c>
      <c r="AF16" s="1371">
        <f t="shared" si="6"/>
        <v>19696.235170164658</v>
      </c>
      <c r="AG16" s="1370">
        <f t="shared" si="7"/>
        <v>3410.5305205527457</v>
      </c>
      <c r="AH16" s="1377">
        <f t="shared" si="18"/>
        <v>20524.355372486658</v>
      </c>
      <c r="AI16" s="1370">
        <f t="shared" si="19"/>
        <v>4145.9197852423049</v>
      </c>
      <c r="AJ16" s="1493">
        <f t="shared" si="8"/>
        <v>62968.848303776213</v>
      </c>
      <c r="AK16" s="1414">
        <v>4068.5</v>
      </c>
      <c r="AL16" s="1414">
        <v>3000</v>
      </c>
      <c r="AM16" s="1414">
        <v>40086</v>
      </c>
      <c r="AN16" s="1414"/>
      <c r="AO16" s="1414"/>
      <c r="AP16" s="1414"/>
      <c r="AQ16" s="1494">
        <f t="shared" si="9"/>
        <v>47154.5</v>
      </c>
      <c r="AR16" s="1414"/>
      <c r="AS16" s="1414"/>
      <c r="AT16" s="1414"/>
      <c r="AU16" s="1414"/>
      <c r="AV16" s="1494">
        <f t="shared" si="10"/>
        <v>0</v>
      </c>
      <c r="AW16" s="1373"/>
      <c r="AX16" s="1374">
        <f t="shared" si="11"/>
        <v>1085.3561932763009</v>
      </c>
      <c r="AY16" s="1365">
        <f t="shared" si="12"/>
        <v>12849.716615848854</v>
      </c>
      <c r="AZ16" s="1375">
        <f t="shared" si="13"/>
        <v>-20665.641112901358</v>
      </c>
      <c r="BA16" s="1368">
        <f t="shared" si="14"/>
        <v>102.20760095627568</v>
      </c>
      <c r="BB16" s="1376">
        <f t="shared" si="15"/>
        <v>16.076449129416851</v>
      </c>
      <c r="BC16" s="467">
        <f t="shared" si="16"/>
        <v>-2282.5</v>
      </c>
      <c r="BD16" s="467">
        <f t="shared" si="17"/>
        <v>-870.84999999999854</v>
      </c>
      <c r="BE16" s="736">
        <v>10.02</v>
      </c>
      <c r="BF16" s="736">
        <v>3.56</v>
      </c>
    </row>
    <row r="17" spans="1:58" s="124" customFormat="1" x14ac:dyDescent="0.25">
      <c r="A17" s="13">
        <v>9</v>
      </c>
      <c r="B17" s="573"/>
      <c r="C17" s="42" t="s">
        <v>31</v>
      </c>
      <c r="D17" s="13">
        <v>1969</v>
      </c>
      <c r="E17" s="36">
        <v>2</v>
      </c>
      <c r="F17" s="36">
        <v>22</v>
      </c>
      <c r="G17" s="225">
        <v>55</v>
      </c>
      <c r="H17" s="121">
        <v>805.1</v>
      </c>
      <c r="I17" s="707"/>
      <c r="J17" s="707"/>
      <c r="K17" s="707">
        <v>793.98</v>
      </c>
      <c r="L17" s="707">
        <v>913.79</v>
      </c>
      <c r="M17" s="707"/>
      <c r="N17" s="707"/>
      <c r="O17" s="707">
        <v>8834.74</v>
      </c>
      <c r="P17" s="707">
        <v>10184.07</v>
      </c>
      <c r="Q17" s="1365">
        <v>62247.54</v>
      </c>
      <c r="R17" s="1366">
        <v>56925.51</v>
      </c>
      <c r="S17" s="1367">
        <v>1020.83</v>
      </c>
      <c r="T17" s="1367">
        <v>964.77</v>
      </c>
      <c r="U17" s="1367">
        <v>27480.42</v>
      </c>
      <c r="V17" s="1367">
        <v>26192.51</v>
      </c>
      <c r="W17" s="1367">
        <f t="shared" si="0"/>
        <v>100377.51</v>
      </c>
      <c r="X17" s="1367">
        <f t="shared" si="1"/>
        <v>95180.65</v>
      </c>
      <c r="Y17" s="1492">
        <f t="shared" si="2"/>
        <v>121017.30916166745</v>
      </c>
      <c r="Z17" s="1374">
        <v>694.8</v>
      </c>
      <c r="AA17" s="1370">
        <f t="shared" si="3"/>
        <v>3797.1519473919793</v>
      </c>
      <c r="AB17" s="1370">
        <v>651.49</v>
      </c>
      <c r="AC17" s="1370">
        <f t="shared" si="4"/>
        <v>410.41567894250636</v>
      </c>
      <c r="AD17" s="1371"/>
      <c r="AE17" s="1371">
        <f t="shared" si="5"/>
        <v>1770.5477223698374</v>
      </c>
      <c r="AF17" s="1371">
        <f t="shared" si="6"/>
        <v>18494.365579878668</v>
      </c>
      <c r="AG17" s="1370">
        <f t="shared" si="7"/>
        <v>3202.4190269611345</v>
      </c>
      <c r="AH17" s="1377">
        <f t="shared" si="18"/>
        <v>19271.953663769225</v>
      </c>
      <c r="AI17" s="1370">
        <f t="shared" si="19"/>
        <v>3892.9346400813838</v>
      </c>
      <c r="AJ17" s="1493">
        <f t="shared" si="8"/>
        <v>52186.07825939473</v>
      </c>
      <c r="AK17" s="1414">
        <v>10991</v>
      </c>
      <c r="AL17" s="1414">
        <v>3000</v>
      </c>
      <c r="AM17" s="1414">
        <v>41755.480000000003</v>
      </c>
      <c r="AN17" s="1414"/>
      <c r="AO17" s="1414"/>
      <c r="AP17" s="1414"/>
      <c r="AQ17" s="1494">
        <f t="shared" si="9"/>
        <v>55746.48</v>
      </c>
      <c r="AR17" s="1414"/>
      <c r="AS17" s="1414"/>
      <c r="AT17" s="1414"/>
      <c r="AU17" s="1414"/>
      <c r="AV17" s="1494">
        <f t="shared" si="10"/>
        <v>0</v>
      </c>
      <c r="AW17" s="1373"/>
      <c r="AX17" s="1374">
        <f t="shared" si="11"/>
        <v>1019.1274651941288</v>
      </c>
      <c r="AY17" s="1365">
        <f t="shared" si="12"/>
        <v>12065.623437078577</v>
      </c>
      <c r="AZ17" s="1375">
        <f t="shared" si="13"/>
        <v>-20639.799161667455</v>
      </c>
      <c r="BA17" s="1368">
        <f t="shared" si="14"/>
        <v>94.82268488230082</v>
      </c>
      <c r="BB17" s="1376">
        <f t="shared" si="15"/>
        <v>16.701487622195646</v>
      </c>
      <c r="BC17" s="467">
        <f t="shared" si="16"/>
        <v>5196.8600000000006</v>
      </c>
      <c r="BD17" s="467">
        <f t="shared" si="17"/>
        <v>1287.9099999999999</v>
      </c>
      <c r="BE17" s="736">
        <v>9.91</v>
      </c>
      <c r="BF17" s="736">
        <v>3.66</v>
      </c>
    </row>
    <row r="18" spans="1:58" s="124" customFormat="1" x14ac:dyDescent="0.25">
      <c r="A18" s="13">
        <v>10</v>
      </c>
      <c r="B18" s="573"/>
      <c r="C18" s="42" t="s">
        <v>32</v>
      </c>
      <c r="D18" s="13">
        <v>1963</v>
      </c>
      <c r="E18" s="36">
        <v>2</v>
      </c>
      <c r="F18" s="36">
        <v>16</v>
      </c>
      <c r="G18" s="151">
        <v>25</v>
      </c>
      <c r="H18" s="121">
        <v>636.21</v>
      </c>
      <c r="I18" s="707"/>
      <c r="J18" s="707"/>
      <c r="K18" s="707">
        <v>610.86</v>
      </c>
      <c r="L18" s="707">
        <v>743.46</v>
      </c>
      <c r="M18" s="707"/>
      <c r="N18" s="707"/>
      <c r="O18" s="707">
        <v>6795.42</v>
      </c>
      <c r="P18" s="707">
        <v>8208.5300000000007</v>
      </c>
      <c r="Q18" s="1365">
        <v>48503.76</v>
      </c>
      <c r="R18" s="1366">
        <v>46332.75</v>
      </c>
      <c r="S18" s="1367">
        <v>816.93</v>
      </c>
      <c r="T18" s="1367">
        <v>715.8</v>
      </c>
      <c r="U18" s="1367">
        <v>19985.759999999998</v>
      </c>
      <c r="V18" s="1367">
        <v>19972.68</v>
      </c>
      <c r="W18" s="1367">
        <f t="shared" si="0"/>
        <v>76712.73</v>
      </c>
      <c r="X18" s="1367">
        <f t="shared" si="1"/>
        <v>75973.22</v>
      </c>
      <c r="Y18" s="1492">
        <f t="shared" si="2"/>
        <v>51716.817247602099</v>
      </c>
      <c r="Z18" s="1374"/>
      <c r="AA18" s="1370">
        <f t="shared" si="3"/>
        <v>3000.6037019628011</v>
      </c>
      <c r="AB18" s="1370">
        <v>573.09</v>
      </c>
      <c r="AC18" s="1370">
        <f t="shared" si="4"/>
        <v>324.32065470129425</v>
      </c>
      <c r="AD18" s="1371"/>
      <c r="AE18" s="1371">
        <f t="shared" si="5"/>
        <v>1399.1307495328708</v>
      </c>
      <c r="AF18" s="1371">
        <f t="shared" si="6"/>
        <v>14614.706652061368</v>
      </c>
      <c r="AG18" s="1370">
        <f t="shared" si="7"/>
        <v>2530.6309888746036</v>
      </c>
      <c r="AH18" s="1377">
        <f t="shared" si="18"/>
        <v>15229.176053194162</v>
      </c>
      <c r="AI18" s="1370">
        <f t="shared" si="19"/>
        <v>3076.2935627452207</v>
      </c>
      <c r="AJ18" s="1493">
        <f t="shared" si="8"/>
        <v>40747.95236307232</v>
      </c>
      <c r="AK18" s="1414">
        <v>628.97</v>
      </c>
      <c r="AL18" s="1414"/>
      <c r="AM18" s="1414"/>
      <c r="AN18" s="1414"/>
      <c r="AO18" s="1414"/>
      <c r="AP18" s="1414"/>
      <c r="AQ18" s="1494">
        <f t="shared" si="9"/>
        <v>628.97</v>
      </c>
      <c r="AR18" s="1414"/>
      <c r="AS18" s="1414"/>
      <c r="AT18" s="1414"/>
      <c r="AU18" s="1414"/>
      <c r="AV18" s="1494">
        <f t="shared" si="10"/>
        <v>0</v>
      </c>
      <c r="AW18" s="1373"/>
      <c r="AX18" s="1374">
        <f t="shared" si="11"/>
        <v>805.3398144716889</v>
      </c>
      <c r="AY18" s="1365">
        <f t="shared" si="12"/>
        <v>9534.5550700580825</v>
      </c>
      <c r="AZ18" s="1375">
        <f t="shared" si="13"/>
        <v>24995.912752397897</v>
      </c>
      <c r="BA18" s="1368">
        <f t="shared" si="14"/>
        <v>99.036000934916544</v>
      </c>
      <c r="BB18" s="1376">
        <f t="shared" si="15"/>
        <v>9.0321010790640575</v>
      </c>
      <c r="BC18" s="467">
        <f t="shared" si="16"/>
        <v>739.50999999999476</v>
      </c>
      <c r="BD18" s="467">
        <f t="shared" si="17"/>
        <v>13.079999999998108</v>
      </c>
      <c r="BE18" s="736">
        <v>10.11</v>
      </c>
      <c r="BF18" s="736">
        <v>3.49</v>
      </c>
    </row>
    <row r="19" spans="1:58" s="124" customFormat="1" x14ac:dyDescent="0.25">
      <c r="A19" s="13">
        <v>11</v>
      </c>
      <c r="B19" s="573"/>
      <c r="C19" s="42" t="s">
        <v>33</v>
      </c>
      <c r="D19" s="13">
        <v>1972</v>
      </c>
      <c r="E19" s="36">
        <v>2</v>
      </c>
      <c r="F19" s="36">
        <v>18</v>
      </c>
      <c r="G19" s="225">
        <v>44</v>
      </c>
      <c r="H19" s="121">
        <v>779.26</v>
      </c>
      <c r="I19" s="707"/>
      <c r="J19" s="707"/>
      <c r="K19" s="707">
        <v>748.08</v>
      </c>
      <c r="L19" s="707">
        <v>762.33</v>
      </c>
      <c r="M19" s="707"/>
      <c r="N19" s="707"/>
      <c r="O19" s="707">
        <v>8323.02</v>
      </c>
      <c r="P19" s="707">
        <v>8197.52</v>
      </c>
      <c r="Q19" s="1365">
        <v>56811.63</v>
      </c>
      <c r="R19" s="1366">
        <v>43406</v>
      </c>
      <c r="S19" s="1367">
        <v>1804.14</v>
      </c>
      <c r="T19" s="1367">
        <v>1090.77</v>
      </c>
      <c r="U19" s="1367">
        <v>15991.53</v>
      </c>
      <c r="V19" s="1367">
        <v>11957.34</v>
      </c>
      <c r="W19" s="1367">
        <f t="shared" si="0"/>
        <v>83678.399999999994</v>
      </c>
      <c r="X19" s="1367">
        <f t="shared" si="1"/>
        <v>65413.959999999992</v>
      </c>
      <c r="Y19" s="1492">
        <f t="shared" si="2"/>
        <v>101625.28602673081</v>
      </c>
      <c r="Z19" s="1374">
        <v>2478.52</v>
      </c>
      <c r="AA19" s="1370">
        <f t="shared" si="3"/>
        <v>3675.2808676247346</v>
      </c>
      <c r="AB19" s="1370">
        <v>3379.11</v>
      </c>
      <c r="AC19" s="1370">
        <f t="shared" si="4"/>
        <v>397.24322689446967</v>
      </c>
      <c r="AD19" s="1371"/>
      <c r="AE19" s="1371">
        <f t="shared" si="5"/>
        <v>1713.7212993838273</v>
      </c>
      <c r="AF19" s="1371">
        <f t="shared" si="6"/>
        <v>17900.78166907993</v>
      </c>
      <c r="AG19" s="1370">
        <f t="shared" si="7"/>
        <v>3099.6361333371424</v>
      </c>
      <c r="AH19" s="1377">
        <f t="shared" si="18"/>
        <v>18653.412758699302</v>
      </c>
      <c r="AI19" s="1370">
        <f t="shared" si="19"/>
        <v>3767.9893772572591</v>
      </c>
      <c r="AJ19" s="1493">
        <f t="shared" si="8"/>
        <v>55065.695332276664</v>
      </c>
      <c r="AK19" s="1414">
        <v>10964</v>
      </c>
      <c r="AL19" s="1414"/>
      <c r="AM19" s="1414"/>
      <c r="AN19" s="1414">
        <v>13616</v>
      </c>
      <c r="AO19" s="1414">
        <v>9314.7999999999993</v>
      </c>
      <c r="AP19" s="1414"/>
      <c r="AQ19" s="1494">
        <f t="shared" si="9"/>
        <v>33894.800000000003</v>
      </c>
      <c r="AR19" s="1414"/>
      <c r="AS19" s="1414"/>
      <c r="AT19" s="1414"/>
      <c r="AU19" s="1414"/>
      <c r="AV19" s="1494">
        <f t="shared" si="10"/>
        <v>0</v>
      </c>
      <c r="AW19" s="1373"/>
      <c r="AX19" s="1374">
        <f t="shared" si="11"/>
        <v>986.41816982632815</v>
      </c>
      <c r="AY19" s="1365">
        <f t="shared" si="12"/>
        <v>11678.372524627812</v>
      </c>
      <c r="AZ19" s="1375">
        <f t="shared" si="13"/>
        <v>-17946.886026730819</v>
      </c>
      <c r="BA19" s="1368">
        <f t="shared" si="14"/>
        <v>78.173053022046304</v>
      </c>
      <c r="BB19" s="1376">
        <f t="shared" si="15"/>
        <v>14.490283663237603</v>
      </c>
      <c r="BC19" s="467">
        <f t="shared" si="16"/>
        <v>18264.440000000002</v>
      </c>
      <c r="BD19" s="467">
        <f t="shared" si="17"/>
        <v>4034.1900000000005</v>
      </c>
      <c r="BE19" s="736">
        <v>9.94</v>
      </c>
      <c r="BF19" s="736">
        <v>3</v>
      </c>
    </row>
    <row r="20" spans="1:58" s="124" customFormat="1" x14ac:dyDescent="0.25">
      <c r="A20" s="13">
        <v>12</v>
      </c>
      <c r="B20" s="573"/>
      <c r="C20" s="42" t="s">
        <v>34</v>
      </c>
      <c r="D20" s="13">
        <v>1972</v>
      </c>
      <c r="E20" s="36">
        <v>2</v>
      </c>
      <c r="F20" s="36">
        <v>18</v>
      </c>
      <c r="G20" s="151">
        <v>44</v>
      </c>
      <c r="H20" s="121">
        <v>771.52</v>
      </c>
      <c r="I20" s="707"/>
      <c r="J20" s="707"/>
      <c r="K20" s="707">
        <v>740.7</v>
      </c>
      <c r="L20" s="707">
        <v>810.65</v>
      </c>
      <c r="M20" s="707"/>
      <c r="N20" s="707"/>
      <c r="O20" s="707">
        <v>8239.7999999999993</v>
      </c>
      <c r="P20" s="707">
        <v>8948.49</v>
      </c>
      <c r="Q20" s="1365">
        <v>55202.19</v>
      </c>
      <c r="R20" s="1366">
        <v>48243.199999999997</v>
      </c>
      <c r="S20" s="1367">
        <v>1391.79</v>
      </c>
      <c r="T20" s="1367">
        <v>1135.42</v>
      </c>
      <c r="U20" s="1367">
        <v>13609.8</v>
      </c>
      <c r="V20" s="1367">
        <v>12382.72</v>
      </c>
      <c r="W20" s="1367">
        <f t="shared" si="0"/>
        <v>79184.28</v>
      </c>
      <c r="X20" s="1367">
        <f t="shared" si="1"/>
        <v>71520.479999999996</v>
      </c>
      <c r="Y20" s="1492">
        <f t="shared" si="2"/>
        <v>70812.863880275327</v>
      </c>
      <c r="Z20" s="1374">
        <v>627.92999999999995</v>
      </c>
      <c r="AA20" s="1370">
        <f t="shared" si="3"/>
        <v>3638.7761401712332</v>
      </c>
      <c r="AB20" s="1370">
        <v>1613.29</v>
      </c>
      <c r="AC20" s="1370">
        <f t="shared" si="4"/>
        <v>393.29760851785181</v>
      </c>
      <c r="AD20" s="1371"/>
      <c r="AE20" s="1371">
        <f t="shared" si="5"/>
        <v>1696.6997624677392</v>
      </c>
      <c r="AF20" s="1371">
        <f t="shared" si="6"/>
        <v>17722.982154003217</v>
      </c>
      <c r="AG20" s="1370">
        <f t="shared" si="7"/>
        <v>3068.8489972438879</v>
      </c>
      <c r="AH20" s="1377">
        <f t="shared" si="18"/>
        <v>18468.137735276654</v>
      </c>
      <c r="AI20" s="1370">
        <f t="shared" si="19"/>
        <v>3730.5638225258845</v>
      </c>
      <c r="AJ20" s="1493">
        <f t="shared" si="8"/>
        <v>50960.52622020647</v>
      </c>
      <c r="AK20" s="1414">
        <v>7313.34</v>
      </c>
      <c r="AL20" s="1414"/>
      <c r="AM20" s="1414"/>
      <c r="AN20" s="1414"/>
      <c r="AO20" s="1414"/>
      <c r="AP20" s="1414"/>
      <c r="AQ20" s="1494">
        <f t="shared" si="9"/>
        <v>7313.34</v>
      </c>
      <c r="AR20" s="1414"/>
      <c r="AS20" s="1414"/>
      <c r="AT20" s="1414"/>
      <c r="AU20" s="1414"/>
      <c r="AV20" s="1494">
        <f t="shared" si="10"/>
        <v>0</v>
      </c>
      <c r="AW20" s="1373"/>
      <c r="AX20" s="1374">
        <f t="shared" si="11"/>
        <v>976.62057129123616</v>
      </c>
      <c r="AY20" s="1365">
        <f t="shared" si="12"/>
        <v>11562.377088777621</v>
      </c>
      <c r="AZ20" s="1375">
        <f t="shared" si="13"/>
        <v>8371.4161197246722</v>
      </c>
      <c r="BA20" s="1368">
        <f t="shared" si="14"/>
        <v>90.321563825547187</v>
      </c>
      <c r="BB20" s="1376">
        <f t="shared" si="15"/>
        <v>10.198175013865175</v>
      </c>
      <c r="BC20" s="467">
        <f t="shared" si="16"/>
        <v>7663.8000000000029</v>
      </c>
      <c r="BD20" s="467">
        <f t="shared" si="17"/>
        <v>1227.08</v>
      </c>
      <c r="BE20" s="736">
        <v>9.57</v>
      </c>
      <c r="BF20" s="736">
        <v>1.96</v>
      </c>
    </row>
    <row r="21" spans="1:58" s="124" customFormat="1" x14ac:dyDescent="0.25">
      <c r="A21" s="13">
        <v>13</v>
      </c>
      <c r="B21" s="573"/>
      <c r="C21" s="42" t="s">
        <v>35</v>
      </c>
      <c r="D21" s="13">
        <v>1978</v>
      </c>
      <c r="E21" s="36">
        <v>3</v>
      </c>
      <c r="F21" s="36">
        <v>24</v>
      </c>
      <c r="G21" s="225">
        <v>68</v>
      </c>
      <c r="H21" s="121">
        <v>1443.9</v>
      </c>
      <c r="I21" s="707">
        <v>22091.94</v>
      </c>
      <c r="J21" s="707">
        <v>25295.65</v>
      </c>
      <c r="K21" s="707">
        <v>1386.12</v>
      </c>
      <c r="L21" s="707">
        <v>1587.14</v>
      </c>
      <c r="M21" s="707"/>
      <c r="N21" s="707"/>
      <c r="O21" s="707">
        <v>15420.84</v>
      </c>
      <c r="P21" s="707">
        <v>17473.060000000001</v>
      </c>
      <c r="Q21" s="1365">
        <v>127785.15</v>
      </c>
      <c r="R21" s="1366">
        <v>116444.94</v>
      </c>
      <c r="S21" s="1367">
        <v>4444.79</v>
      </c>
      <c r="T21" s="1367">
        <v>4158.6099999999997</v>
      </c>
      <c r="U21" s="1367">
        <v>33137.910000000003</v>
      </c>
      <c r="V21" s="1367">
        <v>32104.91</v>
      </c>
      <c r="W21" s="1367">
        <f t="shared" si="0"/>
        <v>204266.75</v>
      </c>
      <c r="X21" s="1367">
        <f t="shared" si="1"/>
        <v>197064.31</v>
      </c>
      <c r="Y21" s="1492">
        <f t="shared" si="2"/>
        <v>155795.90935584129</v>
      </c>
      <c r="Z21" s="1374">
        <v>915.6</v>
      </c>
      <c r="AA21" s="1370">
        <f t="shared" si="3"/>
        <v>6809.9710555698412</v>
      </c>
      <c r="AB21" s="1370">
        <v>2957.92</v>
      </c>
      <c r="AC21" s="1370">
        <f t="shared" si="4"/>
        <v>736.05663746750088</v>
      </c>
      <c r="AD21" s="1371"/>
      <c r="AE21" s="1371">
        <f t="shared" si="5"/>
        <v>3175.3743091911665</v>
      </c>
      <c r="AF21" s="1371">
        <f t="shared" si="6"/>
        <v>33168.568452101368</v>
      </c>
      <c r="AG21" s="1370">
        <f t="shared" si="7"/>
        <v>5743.3521711951089</v>
      </c>
      <c r="AH21" s="1377">
        <f t="shared" si="18"/>
        <v>34563.127431519548</v>
      </c>
      <c r="AI21" s="1370">
        <f t="shared" si="19"/>
        <v>6981.7517411669487</v>
      </c>
      <c r="AJ21" s="1493">
        <f t="shared" si="8"/>
        <v>95051.721798211482</v>
      </c>
      <c r="AK21" s="1414">
        <v>3440.19</v>
      </c>
      <c r="AL21" s="1414"/>
      <c r="AM21" s="1414"/>
      <c r="AN21" s="1414"/>
      <c r="AO21" s="1414">
        <v>2561.5700000000002</v>
      </c>
      <c r="AP21" s="1414"/>
      <c r="AQ21" s="1494">
        <f t="shared" si="9"/>
        <v>6001.76</v>
      </c>
      <c r="AR21" s="1414">
        <f>1172.62/16716.88*H21</f>
        <v>101.28361380831829</v>
      </c>
      <c r="AS21" s="1414">
        <v>262.22000000000003</v>
      </c>
      <c r="AT21" s="1414">
        <f>297744.22/16716.88*H21</f>
        <v>25717.291699049099</v>
      </c>
      <c r="AU21" s="1414">
        <f>AT21*0.202</f>
        <v>5194.8929232079181</v>
      </c>
      <c r="AV21" s="1494">
        <f t="shared" si="10"/>
        <v>31275.688236065336</v>
      </c>
      <c r="AW21" s="1373"/>
      <c r="AX21" s="1374">
        <f t="shared" si="11"/>
        <v>1827.745804240222</v>
      </c>
      <c r="AY21" s="1365">
        <f t="shared" si="12"/>
        <v>21638.993517324256</v>
      </c>
      <c r="AZ21" s="1375">
        <f t="shared" si="13"/>
        <v>48470.840644158714</v>
      </c>
      <c r="BA21" s="1368">
        <f t="shared" si="14"/>
        <v>96.474002743961023</v>
      </c>
      <c r="BB21" s="1376">
        <f t="shared" si="15"/>
        <v>11.988819582445791</v>
      </c>
      <c r="BC21" s="467">
        <f t="shared" si="16"/>
        <v>7202.4400000000023</v>
      </c>
      <c r="BD21" s="467">
        <f t="shared" si="17"/>
        <v>1033.0000000000036</v>
      </c>
      <c r="BE21" s="736">
        <v>13.28</v>
      </c>
      <c r="BF21" s="736">
        <v>2.5499999999999998</v>
      </c>
    </row>
    <row r="22" spans="1:58" s="124" customFormat="1" x14ac:dyDescent="0.25">
      <c r="A22" s="13">
        <v>14</v>
      </c>
      <c r="B22" s="573"/>
      <c r="C22" s="42" t="s">
        <v>36</v>
      </c>
      <c r="D22" s="13">
        <v>1979</v>
      </c>
      <c r="E22" s="36">
        <v>5</v>
      </c>
      <c r="F22" s="36">
        <v>60</v>
      </c>
      <c r="G22" s="151">
        <v>181</v>
      </c>
      <c r="H22" s="121">
        <v>3240.38</v>
      </c>
      <c r="I22" s="707">
        <v>49179.5</v>
      </c>
      <c r="J22" s="707">
        <v>57620.65</v>
      </c>
      <c r="K22" s="707">
        <v>3110.37</v>
      </c>
      <c r="L22" s="707">
        <v>3644.26</v>
      </c>
      <c r="M22" s="707">
        <v>13801.44</v>
      </c>
      <c r="N22" s="707">
        <v>16170.29</v>
      </c>
      <c r="O22" s="707">
        <v>34601.22</v>
      </c>
      <c r="P22" s="707">
        <v>40335.370000000003</v>
      </c>
      <c r="Q22" s="1365">
        <v>284578.98</v>
      </c>
      <c r="R22" s="1366">
        <v>268982.78999999998</v>
      </c>
      <c r="S22" s="1367">
        <v>9115.24</v>
      </c>
      <c r="T22" s="1367">
        <v>8569.59</v>
      </c>
      <c r="U22" s="1367">
        <v>70270.38</v>
      </c>
      <c r="V22" s="1367">
        <v>70870.34</v>
      </c>
      <c r="W22" s="1367">
        <f t="shared" si="0"/>
        <v>464657.13</v>
      </c>
      <c r="X22" s="1367">
        <f t="shared" si="1"/>
        <v>466193.29000000004</v>
      </c>
      <c r="Y22" s="1492">
        <f t="shared" si="2"/>
        <v>470747.6575449073</v>
      </c>
      <c r="Z22" s="1374">
        <v>17760.310000000001</v>
      </c>
      <c r="AA22" s="1370">
        <f t="shared" si="3"/>
        <v>15282.840923226955</v>
      </c>
      <c r="AB22" s="1370">
        <v>3529.75</v>
      </c>
      <c r="AC22" s="1370">
        <f t="shared" si="4"/>
        <v>1651.8479166957134</v>
      </c>
      <c r="AD22" s="1371">
        <v>6692.4</v>
      </c>
      <c r="AE22" s="1371">
        <f t="shared" si="5"/>
        <v>7126.1302057045996</v>
      </c>
      <c r="AF22" s="1371">
        <f t="shared" si="6"/>
        <v>74436.433160759203</v>
      </c>
      <c r="AG22" s="1370">
        <f t="shared" si="7"/>
        <v>12889.149877759683</v>
      </c>
      <c r="AH22" s="1377">
        <f t="shared" si="18"/>
        <v>77566.082738795842</v>
      </c>
      <c r="AI22" s="1370">
        <f t="shared" si="19"/>
        <v>15668.348713236761</v>
      </c>
      <c r="AJ22" s="1493">
        <f t="shared" si="8"/>
        <v>232603.29353617877</v>
      </c>
      <c r="AK22" s="1414">
        <v>19728.89</v>
      </c>
      <c r="AL22" s="1414"/>
      <c r="AM22" s="1414"/>
      <c r="AN22" s="1414">
        <v>69545.27</v>
      </c>
      <c r="AO22" s="1414"/>
      <c r="AP22" s="1414">
        <v>10419.700000000001</v>
      </c>
      <c r="AQ22" s="1494">
        <f t="shared" si="9"/>
        <v>99693.86</v>
      </c>
      <c r="AR22" s="1414">
        <f t="shared" ref="AR22:AR26" si="20">1172.62/16716.88*H22</f>
        <v>227.2992565359086</v>
      </c>
      <c r="AS22" s="1414">
        <v>712.55</v>
      </c>
      <c r="AT22" s="1414">
        <f t="shared" ref="AT22:AT26" si="21">297744.22/16716.88*H22</f>
        <v>57714.383042984082</v>
      </c>
      <c r="AU22" s="1414">
        <f t="shared" ref="AU22:AU26" si="22">AT22*0.202</f>
        <v>11658.305374682785</v>
      </c>
      <c r="AV22" s="1494">
        <f t="shared" si="10"/>
        <v>70312.537674202773</v>
      </c>
      <c r="AW22" s="1373">
        <f>65924.38/13804.88*H22</f>
        <v>15474.241171556727</v>
      </c>
      <c r="AX22" s="1374">
        <f t="shared" si="11"/>
        <v>4101.8013360647765</v>
      </c>
      <c r="AY22" s="1365">
        <f t="shared" si="12"/>
        <v>48561.923826904334</v>
      </c>
      <c r="AZ22" s="1375">
        <f t="shared" si="13"/>
        <v>-6090.5275449072942</v>
      </c>
      <c r="BA22" s="1368">
        <f t="shared" si="14"/>
        <v>100.33060075931688</v>
      </c>
      <c r="BB22" s="1376">
        <f t="shared" si="15"/>
        <v>16.141716490895348</v>
      </c>
      <c r="BC22" s="467">
        <f t="shared" si="16"/>
        <v>-1536.1600000000326</v>
      </c>
      <c r="BD22" s="467">
        <f t="shared" si="17"/>
        <v>-599.95999999999185</v>
      </c>
      <c r="BE22" s="736">
        <v>13.68</v>
      </c>
      <c r="BF22" s="736">
        <v>2.41</v>
      </c>
    </row>
    <row r="23" spans="1:58" s="124" customFormat="1" x14ac:dyDescent="0.25">
      <c r="A23" s="13">
        <v>15</v>
      </c>
      <c r="B23" s="573"/>
      <c r="C23" s="42" t="s">
        <v>37</v>
      </c>
      <c r="D23" s="13">
        <v>1981</v>
      </c>
      <c r="E23" s="36">
        <v>5</v>
      </c>
      <c r="F23" s="36">
        <v>60</v>
      </c>
      <c r="G23" s="225">
        <v>163</v>
      </c>
      <c r="H23" s="121">
        <v>3236.3</v>
      </c>
      <c r="I23" s="707">
        <v>49133.26</v>
      </c>
      <c r="J23" s="707">
        <v>56903.83</v>
      </c>
      <c r="K23" s="707">
        <v>3107.43</v>
      </c>
      <c r="L23" s="707">
        <v>3598.91</v>
      </c>
      <c r="M23" s="707">
        <v>13788.55</v>
      </c>
      <c r="N23" s="707">
        <v>15969.23</v>
      </c>
      <c r="O23" s="707">
        <v>34568.07</v>
      </c>
      <c r="P23" s="707">
        <v>39712.300000000003</v>
      </c>
      <c r="Q23" s="1365">
        <v>287031.95</v>
      </c>
      <c r="R23" s="1366">
        <v>267764.03000000003</v>
      </c>
      <c r="S23" s="1367">
        <v>10197.549999999999</v>
      </c>
      <c r="T23" s="1367">
        <v>9482.7900000000009</v>
      </c>
      <c r="U23" s="1367">
        <v>67873.78</v>
      </c>
      <c r="V23" s="1367">
        <v>67502.75</v>
      </c>
      <c r="W23" s="1367">
        <f t="shared" si="0"/>
        <v>465700.58999999997</v>
      </c>
      <c r="X23" s="1367">
        <f t="shared" si="1"/>
        <v>460933.84</v>
      </c>
      <c r="Y23" s="1492">
        <f t="shared" si="2"/>
        <v>414183.27962905081</v>
      </c>
      <c r="Z23" s="1374">
        <v>4723.38</v>
      </c>
      <c r="AA23" s="1370">
        <f t="shared" si="3"/>
        <v>15263.598121158444</v>
      </c>
      <c r="AB23" s="1370">
        <v>5419.4</v>
      </c>
      <c r="AC23" s="1370">
        <f t="shared" si="4"/>
        <v>1649.7680558460233</v>
      </c>
      <c r="AD23" s="1371">
        <v>3432</v>
      </c>
      <c r="AE23" s="1371">
        <f t="shared" si="5"/>
        <v>7117.1576126015461</v>
      </c>
      <c r="AF23" s="1371">
        <f t="shared" si="6"/>
        <v>74342.709385369933</v>
      </c>
      <c r="AG23" s="1370">
        <f t="shared" si="7"/>
        <v>12872.920999819053</v>
      </c>
      <c r="AH23" s="1377">
        <f t="shared" si="18"/>
        <v>77468.418385363737</v>
      </c>
      <c r="AI23" s="1370">
        <f t="shared" si="19"/>
        <v>15648.620513843476</v>
      </c>
      <c r="AJ23" s="1493">
        <f t="shared" si="8"/>
        <v>217937.97307400219</v>
      </c>
      <c r="AK23" s="1414">
        <v>198.36</v>
      </c>
      <c r="AL23" s="1414"/>
      <c r="AM23" s="1414"/>
      <c r="AN23" s="1414"/>
      <c r="AO23" s="1414"/>
      <c r="AP23" s="1414">
        <v>58018.33</v>
      </c>
      <c r="AQ23" s="1494">
        <f t="shared" si="9"/>
        <v>58216.69</v>
      </c>
      <c r="AR23" s="1414">
        <f t="shared" si="20"/>
        <v>227.01306140858819</v>
      </c>
      <c r="AS23" s="1414">
        <v>464.09</v>
      </c>
      <c r="AT23" s="1414">
        <f t="shared" si="21"/>
        <v>57641.714194634391</v>
      </c>
      <c r="AU23" s="1414">
        <f t="shared" si="22"/>
        <v>11643.626267316147</v>
      </c>
      <c r="AV23" s="1494">
        <f t="shared" si="10"/>
        <v>69976.443523359136</v>
      </c>
      <c r="AW23" s="1373">
        <f t="shared" ref="AW23:AW25" si="23">65924.38/13804.88*H23</f>
        <v>15454.757375218041</v>
      </c>
      <c r="AX23" s="1374">
        <f t="shared" si="11"/>
        <v>4096.6367104803867</v>
      </c>
      <c r="AY23" s="1365">
        <f t="shared" si="12"/>
        <v>48500.778945991056</v>
      </c>
      <c r="AZ23" s="1375">
        <f t="shared" si="13"/>
        <v>51517.310370949155</v>
      </c>
      <c r="BA23" s="1368">
        <f t="shared" si="14"/>
        <v>98.9764346229409</v>
      </c>
      <c r="BB23" s="1376">
        <f t="shared" si="15"/>
        <v>14.220055125676812</v>
      </c>
      <c r="BC23" s="467">
        <f t="shared" si="16"/>
        <v>4766.7499999999418</v>
      </c>
      <c r="BD23" s="467">
        <f t="shared" si="17"/>
        <v>371.02999999999884</v>
      </c>
      <c r="BE23" s="736">
        <v>13.78</v>
      </c>
      <c r="BF23" s="736">
        <v>2.33</v>
      </c>
    </row>
    <row r="24" spans="1:58" s="124" customFormat="1" x14ac:dyDescent="0.25">
      <c r="A24" s="13">
        <v>16</v>
      </c>
      <c r="B24" s="573"/>
      <c r="C24" s="42" t="s">
        <v>38</v>
      </c>
      <c r="D24" s="13">
        <v>1981</v>
      </c>
      <c r="E24" s="36">
        <v>5</v>
      </c>
      <c r="F24" s="36">
        <v>60</v>
      </c>
      <c r="G24" s="151">
        <v>184</v>
      </c>
      <c r="H24" s="121">
        <v>3236.3</v>
      </c>
      <c r="I24" s="707">
        <v>49154.94</v>
      </c>
      <c r="J24" s="707">
        <v>54456.05</v>
      </c>
      <c r="K24" s="707">
        <v>3108.66</v>
      </c>
      <c r="L24" s="707">
        <v>3437.66</v>
      </c>
      <c r="M24" s="707">
        <v>13794.48</v>
      </c>
      <c r="N24" s="707">
        <v>15254.08</v>
      </c>
      <c r="O24" s="707">
        <v>34583.58</v>
      </c>
      <c r="P24" s="707">
        <v>37870.89</v>
      </c>
      <c r="Q24" s="1365">
        <v>279969.90000000002</v>
      </c>
      <c r="R24" s="1366">
        <v>251933.38</v>
      </c>
      <c r="S24" s="1367">
        <v>8931.3700000000008</v>
      </c>
      <c r="T24" s="1367">
        <v>8029.37</v>
      </c>
      <c r="U24" s="1367">
        <v>92287.29</v>
      </c>
      <c r="V24" s="1367">
        <v>86506.69</v>
      </c>
      <c r="W24" s="1367">
        <f t="shared" si="0"/>
        <v>481830.22000000003</v>
      </c>
      <c r="X24" s="1367">
        <f t="shared" si="1"/>
        <v>457488.12</v>
      </c>
      <c r="Y24" s="1492">
        <f t="shared" si="2"/>
        <v>357947.29962905077</v>
      </c>
      <c r="Z24" s="1374">
        <v>3427.05</v>
      </c>
      <c r="AA24" s="1370">
        <f t="shared" si="3"/>
        <v>15263.598121158444</v>
      </c>
      <c r="AB24" s="1370">
        <v>2960.3</v>
      </c>
      <c r="AC24" s="1370">
        <f t="shared" si="4"/>
        <v>1649.7680558460233</v>
      </c>
      <c r="AD24" s="1371"/>
      <c r="AE24" s="1371">
        <f t="shared" si="5"/>
        <v>7117.1576126015461</v>
      </c>
      <c r="AF24" s="1371">
        <f t="shared" si="6"/>
        <v>74342.709385369933</v>
      </c>
      <c r="AG24" s="1370">
        <f t="shared" si="7"/>
        <v>12872.920999819053</v>
      </c>
      <c r="AH24" s="1377">
        <f t="shared" si="18"/>
        <v>77468.418385363737</v>
      </c>
      <c r="AI24" s="1370">
        <f t="shared" si="19"/>
        <v>15648.620513843476</v>
      </c>
      <c r="AJ24" s="1493">
        <f t="shared" si="8"/>
        <v>210750.5430740022</v>
      </c>
      <c r="AK24" s="1414">
        <v>406.22</v>
      </c>
      <c r="AL24" s="1414"/>
      <c r="AM24" s="1414"/>
      <c r="AN24" s="1414"/>
      <c r="AO24" s="1414"/>
      <c r="AP24" s="1414">
        <v>8723.11</v>
      </c>
      <c r="AQ24" s="1494">
        <f t="shared" si="9"/>
        <v>9129.33</v>
      </c>
      <c r="AR24" s="1414">
        <f t="shared" si="20"/>
        <v>227.01306140858819</v>
      </c>
      <c r="AS24" s="1414">
        <v>502.9</v>
      </c>
      <c r="AT24" s="1414">
        <f t="shared" si="21"/>
        <v>57641.714194634391</v>
      </c>
      <c r="AU24" s="1414">
        <f t="shared" si="22"/>
        <v>11643.626267316147</v>
      </c>
      <c r="AV24" s="1494">
        <f t="shared" si="10"/>
        <v>70015.253523359133</v>
      </c>
      <c r="AW24" s="1373">
        <f t="shared" si="23"/>
        <v>15454.757375218041</v>
      </c>
      <c r="AX24" s="1374">
        <f t="shared" si="11"/>
        <v>4096.6367104803867</v>
      </c>
      <c r="AY24" s="1365">
        <f t="shared" si="12"/>
        <v>48500.778945991056</v>
      </c>
      <c r="AZ24" s="1375">
        <f t="shared" si="13"/>
        <v>123882.92037094926</v>
      </c>
      <c r="BA24" s="1368">
        <f t="shared" si="14"/>
        <v>94.947992261672582</v>
      </c>
      <c r="BB24" s="1376">
        <f t="shared" si="15"/>
        <v>12.28931872230808</v>
      </c>
      <c r="BC24" s="467">
        <f t="shared" si="16"/>
        <v>24342.100000000035</v>
      </c>
      <c r="BD24" s="467">
        <f t="shared" si="17"/>
        <v>5780.5999999999913</v>
      </c>
      <c r="BE24" s="736">
        <v>13.26</v>
      </c>
      <c r="BF24" s="736">
        <v>3.5</v>
      </c>
    </row>
    <row r="25" spans="1:58" s="124" customFormat="1" x14ac:dyDescent="0.25">
      <c r="A25" s="13">
        <v>17</v>
      </c>
      <c r="B25" s="573"/>
      <c r="C25" s="42" t="s">
        <v>39</v>
      </c>
      <c r="D25" s="13">
        <v>1987</v>
      </c>
      <c r="E25" s="36">
        <v>3</v>
      </c>
      <c r="F25" s="36">
        <v>27</v>
      </c>
      <c r="G25" s="225">
        <v>72</v>
      </c>
      <c r="H25" s="121">
        <v>1466.1</v>
      </c>
      <c r="I25" s="707">
        <v>22422.6</v>
      </c>
      <c r="J25" s="707">
        <v>26650.91</v>
      </c>
      <c r="K25" s="707">
        <v>1406.76</v>
      </c>
      <c r="L25" s="707">
        <v>1672.02</v>
      </c>
      <c r="M25" s="707">
        <v>8353.7999999999993</v>
      </c>
      <c r="N25" s="707">
        <v>9929.1200000000008</v>
      </c>
      <c r="O25" s="707">
        <v>15651.54</v>
      </c>
      <c r="P25" s="707">
        <v>18547.11</v>
      </c>
      <c r="Q25" s="1365">
        <v>135324.26999999999</v>
      </c>
      <c r="R25" s="1366">
        <v>130252.03</v>
      </c>
      <c r="S25" s="1367">
        <v>6353.78</v>
      </c>
      <c r="T25" s="1367">
        <v>6116.05</v>
      </c>
      <c r="U25" s="1367">
        <v>32577.93</v>
      </c>
      <c r="V25" s="1367">
        <v>33433.56</v>
      </c>
      <c r="W25" s="1367">
        <f t="shared" si="0"/>
        <v>222090.67999999996</v>
      </c>
      <c r="X25" s="1367">
        <f t="shared" si="1"/>
        <v>226600.8</v>
      </c>
      <c r="Y25" s="1492">
        <f t="shared" si="2"/>
        <v>262247.28417580301</v>
      </c>
      <c r="Z25" s="1374">
        <v>1726.34</v>
      </c>
      <c r="AA25" s="1370">
        <f t="shared" si="3"/>
        <v>6914.6745374132161</v>
      </c>
      <c r="AB25" s="1370">
        <v>6388.06</v>
      </c>
      <c r="AC25" s="1370">
        <f t="shared" si="4"/>
        <v>747.37352738493178</v>
      </c>
      <c r="AD25" s="1371">
        <v>2552</v>
      </c>
      <c r="AE25" s="1371">
        <f t="shared" si="5"/>
        <v>3224.1957716636671</v>
      </c>
      <c r="AF25" s="1371">
        <f t="shared" si="6"/>
        <v>33678.536053484182</v>
      </c>
      <c r="AG25" s="1370">
        <f t="shared" si="7"/>
        <v>5831.6563599897136</v>
      </c>
      <c r="AH25" s="1377">
        <f t="shared" si="18"/>
        <v>35094.536413429465</v>
      </c>
      <c r="AI25" s="1370">
        <f t="shared" si="19"/>
        <v>7089.0963555127528</v>
      </c>
      <c r="AJ25" s="1493">
        <f t="shared" si="8"/>
        <v>103246.46901887792</v>
      </c>
      <c r="AK25" s="1414">
        <v>22380.57</v>
      </c>
      <c r="AL25" s="1414"/>
      <c r="AM25" s="1414"/>
      <c r="AN25" s="1414">
        <v>48579</v>
      </c>
      <c r="AO25" s="1414">
        <v>25615.7</v>
      </c>
      <c r="AP25" s="1414"/>
      <c r="AQ25" s="1494">
        <f t="shared" si="9"/>
        <v>96575.27</v>
      </c>
      <c r="AR25" s="1414">
        <f t="shared" si="20"/>
        <v>102.84085200109109</v>
      </c>
      <c r="AS25" s="1414">
        <v>106.43</v>
      </c>
      <c r="AT25" s="1414">
        <f t="shared" si="21"/>
        <v>26112.695726834187</v>
      </c>
      <c r="AU25" s="1414">
        <f t="shared" si="22"/>
        <v>5274.7645368205058</v>
      </c>
      <c r="AV25" s="1494">
        <f t="shared" si="10"/>
        <v>31596.731115655784</v>
      </c>
      <c r="AW25" s="1373">
        <f t="shared" si="23"/>
        <v>7001.2729931734284</v>
      </c>
      <c r="AX25" s="1374">
        <f t="shared" si="11"/>
        <v>1855.8474434494003</v>
      </c>
      <c r="AY25" s="1365">
        <f t="shared" si="12"/>
        <v>21971.693604646505</v>
      </c>
      <c r="AZ25" s="1375">
        <f t="shared" si="13"/>
        <v>-40156.604175803048</v>
      </c>
      <c r="BA25" s="1368">
        <f t="shared" si="14"/>
        <v>102.03075608575742</v>
      </c>
      <c r="BB25" s="1376">
        <f t="shared" si="15"/>
        <v>19.874897435812549</v>
      </c>
      <c r="BC25" s="467">
        <f t="shared" si="16"/>
        <v>-4510.1200000000244</v>
      </c>
      <c r="BD25" s="467">
        <f t="shared" si="17"/>
        <v>-855.62999999999738</v>
      </c>
      <c r="BE25" s="736">
        <v>14.38</v>
      </c>
      <c r="BF25" s="736">
        <v>2.4700000000000002</v>
      </c>
    </row>
    <row r="26" spans="1:58" s="124" customFormat="1" x14ac:dyDescent="0.25">
      <c r="A26" s="13">
        <v>18</v>
      </c>
      <c r="B26" s="573"/>
      <c r="C26" s="42" t="s">
        <v>40</v>
      </c>
      <c r="D26" s="13">
        <v>1989</v>
      </c>
      <c r="E26" s="36">
        <v>3</v>
      </c>
      <c r="F26" s="36">
        <v>27</v>
      </c>
      <c r="G26" s="151">
        <v>78</v>
      </c>
      <c r="H26" s="121">
        <v>1468.1</v>
      </c>
      <c r="I26" s="707">
        <v>22473.15</v>
      </c>
      <c r="J26" s="707">
        <v>27581.56</v>
      </c>
      <c r="K26" s="707">
        <v>1409.97</v>
      </c>
      <c r="L26" s="707">
        <v>1730.49</v>
      </c>
      <c r="M26" s="707"/>
      <c r="N26" s="707"/>
      <c r="O26" s="707">
        <v>15686.89</v>
      </c>
      <c r="P26" s="707">
        <v>19144.36</v>
      </c>
      <c r="Q26" s="1365">
        <v>130257.43</v>
      </c>
      <c r="R26" s="1366">
        <v>126016.32000000001</v>
      </c>
      <c r="S26" s="1367">
        <v>4988.91</v>
      </c>
      <c r="T26" s="1367">
        <v>4736.1099999999997</v>
      </c>
      <c r="U26" s="1367">
        <v>33445.72</v>
      </c>
      <c r="V26" s="1367">
        <v>34605.449999999997</v>
      </c>
      <c r="W26" s="1367">
        <f t="shared" si="0"/>
        <v>208262.07</v>
      </c>
      <c r="X26" s="1367">
        <f t="shared" si="1"/>
        <v>213814.28999999998</v>
      </c>
      <c r="Y26" s="1492">
        <f t="shared" si="2"/>
        <v>155747.45810396189</v>
      </c>
      <c r="Z26" s="1374">
        <v>793.86</v>
      </c>
      <c r="AA26" s="1370">
        <f t="shared" si="3"/>
        <v>6924.1072835252326</v>
      </c>
      <c r="AB26" s="1370">
        <v>1981.35</v>
      </c>
      <c r="AC26" s="1370">
        <f t="shared" si="4"/>
        <v>748.39306701713269</v>
      </c>
      <c r="AD26" s="1371"/>
      <c r="AE26" s="1371">
        <f t="shared" si="5"/>
        <v>3228.5941016161446</v>
      </c>
      <c r="AF26" s="1371">
        <f t="shared" si="6"/>
        <v>33724.479080635785</v>
      </c>
      <c r="AG26" s="1370">
        <f t="shared" si="7"/>
        <v>5839.6116923135523</v>
      </c>
      <c r="AH26" s="1377">
        <f t="shared" si="18"/>
        <v>35142.411096484408</v>
      </c>
      <c r="AI26" s="1370">
        <f t="shared" si="19"/>
        <v>7098.7670414898512</v>
      </c>
      <c r="AJ26" s="1493">
        <f t="shared" si="8"/>
        <v>95481.573363082105</v>
      </c>
      <c r="AK26" s="1414">
        <v>99.18</v>
      </c>
      <c r="AL26" s="1414"/>
      <c r="AM26" s="1414"/>
      <c r="AN26" s="1414"/>
      <c r="AO26" s="1414">
        <v>4657.3999999999996</v>
      </c>
      <c r="AP26" s="1414"/>
      <c r="AQ26" s="1494">
        <f t="shared" si="9"/>
        <v>4756.58</v>
      </c>
      <c r="AR26" s="1414">
        <f t="shared" si="20"/>
        <v>102.98114373016973</v>
      </c>
      <c r="AS26" s="1414">
        <v>116</v>
      </c>
      <c r="AT26" s="1414">
        <f t="shared" si="21"/>
        <v>26148.317711319331</v>
      </c>
      <c r="AU26" s="1414">
        <f t="shared" si="22"/>
        <v>5281.9601776865047</v>
      </c>
      <c r="AV26" s="1494">
        <f t="shared" si="10"/>
        <v>31649.259032736005</v>
      </c>
      <c r="AW26" s="1373"/>
      <c r="AX26" s="1374">
        <f t="shared" si="11"/>
        <v>1858.3791226574344</v>
      </c>
      <c r="AY26" s="1365">
        <f t="shared" si="12"/>
        <v>22001.666585486346</v>
      </c>
      <c r="AZ26" s="1375">
        <f t="shared" si="13"/>
        <v>52514.611896038114</v>
      </c>
      <c r="BA26" s="1368">
        <f t="shared" si="14"/>
        <v>102.66597753493949</v>
      </c>
      <c r="BB26" s="1376">
        <f t="shared" si="15"/>
        <v>11.787530224550395</v>
      </c>
      <c r="BC26" s="467">
        <f t="shared" si="16"/>
        <v>-5552.2199999999721</v>
      </c>
      <c r="BD26" s="467">
        <f t="shared" si="17"/>
        <v>-1159.7299999999959</v>
      </c>
      <c r="BE26" s="736">
        <v>13.3</v>
      </c>
      <c r="BF26" s="736">
        <v>2.5299999999999998</v>
      </c>
    </row>
    <row r="27" spans="1:58" s="124" customFormat="1" x14ac:dyDescent="0.25">
      <c r="A27" s="13">
        <v>19</v>
      </c>
      <c r="B27" s="573"/>
      <c r="C27" s="42" t="s">
        <v>240</v>
      </c>
      <c r="D27" s="13">
        <v>1961</v>
      </c>
      <c r="E27" s="36">
        <v>1</v>
      </c>
      <c r="F27" s="36">
        <v>5</v>
      </c>
      <c r="G27" s="36">
        <v>11</v>
      </c>
      <c r="H27" s="462">
        <v>180.6</v>
      </c>
      <c r="I27" s="1378"/>
      <c r="J27" s="1378"/>
      <c r="K27" s="1378">
        <v>173.4</v>
      </c>
      <c r="L27" s="1378">
        <v>251.76</v>
      </c>
      <c r="M27" s="1378"/>
      <c r="N27" s="1378"/>
      <c r="O27" s="1378">
        <v>617.70000000000005</v>
      </c>
      <c r="P27" s="1378">
        <v>843.49</v>
      </c>
      <c r="Q27" s="1365">
        <v>7996.98</v>
      </c>
      <c r="R27" s="1366">
        <v>8645.93</v>
      </c>
      <c r="S27" s="1367"/>
      <c r="T27" s="1367"/>
      <c r="U27" s="1367"/>
      <c r="V27" s="1367"/>
      <c r="W27" s="1367">
        <f t="shared" si="0"/>
        <v>8788.08</v>
      </c>
      <c r="X27" s="1367">
        <f t="shared" si="1"/>
        <v>9741.18</v>
      </c>
      <c r="Y27" s="1492">
        <f t="shared" si="2"/>
        <v>13698.173260367306</v>
      </c>
      <c r="Z27" s="1374"/>
      <c r="AA27" s="1370">
        <f t="shared" si="3"/>
        <v>851.77697391503102</v>
      </c>
      <c r="AB27" s="1370"/>
      <c r="AC27" s="1370">
        <f t="shared" si="4"/>
        <v>92.064428787748909</v>
      </c>
      <c r="AD27" s="1371"/>
      <c r="AE27" s="1371">
        <f t="shared" si="5"/>
        <v>397.16919470872261</v>
      </c>
      <c r="AF27" s="1371">
        <f t="shared" si="6"/>
        <v>4148.6553517899483</v>
      </c>
      <c r="AG27" s="1370">
        <f t="shared" si="7"/>
        <v>718.36650884260439</v>
      </c>
      <c r="AH27" s="1377"/>
      <c r="AI27" s="1370"/>
      <c r="AJ27" s="1493">
        <f t="shared" si="8"/>
        <v>6208.0324580440547</v>
      </c>
      <c r="AK27" s="1414">
        <v>4554.97</v>
      </c>
      <c r="AL27" s="1414"/>
      <c r="AM27" s="1414"/>
      <c r="AN27" s="1414"/>
      <c r="AO27" s="1414"/>
      <c r="AP27" s="1414"/>
      <c r="AQ27" s="1494">
        <f t="shared" si="9"/>
        <v>4554.97</v>
      </c>
      <c r="AR27" s="1414"/>
      <c r="AS27" s="1414"/>
      <c r="AT27" s="1414"/>
      <c r="AU27" s="1414"/>
      <c r="AV27" s="1494">
        <f t="shared" si="10"/>
        <v>0</v>
      </c>
      <c r="AW27" s="1373"/>
      <c r="AX27" s="1374">
        <f t="shared" si="11"/>
        <v>228.61063248547964</v>
      </c>
      <c r="AY27" s="1365">
        <f t="shared" si="12"/>
        <v>2706.5601698377727</v>
      </c>
      <c r="AZ27" s="1375">
        <f t="shared" si="13"/>
        <v>-4910.0932603673064</v>
      </c>
      <c r="BA27" s="1368">
        <f t="shared" si="14"/>
        <v>110.84537236802578</v>
      </c>
      <c r="BB27" s="1376">
        <f t="shared" si="15"/>
        <v>8.4275706043849556</v>
      </c>
      <c r="BC27" s="467">
        <f t="shared" si="16"/>
        <v>-953.10000000000036</v>
      </c>
      <c r="BD27" s="467">
        <f t="shared" si="17"/>
        <v>0</v>
      </c>
      <c r="BE27" s="736">
        <v>5.6</v>
      </c>
      <c r="BF27" s="736">
        <v>0</v>
      </c>
    </row>
    <row r="28" spans="1:58" s="124" customFormat="1" x14ac:dyDescent="0.25">
      <c r="A28" s="13">
        <v>21</v>
      </c>
      <c r="B28" s="573"/>
      <c r="C28" s="42" t="s">
        <v>41</v>
      </c>
      <c r="D28" s="13">
        <v>1958</v>
      </c>
      <c r="E28" s="36">
        <v>1</v>
      </c>
      <c r="F28" s="36">
        <v>2</v>
      </c>
      <c r="G28" s="36">
        <v>1</v>
      </c>
      <c r="H28" s="462">
        <v>82.9</v>
      </c>
      <c r="I28" s="1378"/>
      <c r="J28" s="1378"/>
      <c r="K28" s="1378">
        <v>45.72</v>
      </c>
      <c r="L28" s="1378">
        <v>0</v>
      </c>
      <c r="M28" s="1378"/>
      <c r="N28" s="1378"/>
      <c r="O28" s="1378">
        <v>162.78</v>
      </c>
      <c r="P28" s="1378">
        <v>0</v>
      </c>
      <c r="Q28" s="1365">
        <v>2107.7399999999998</v>
      </c>
      <c r="R28" s="1366">
        <v>0</v>
      </c>
      <c r="S28" s="1367"/>
      <c r="T28" s="1367"/>
      <c r="U28" s="1367"/>
      <c r="V28" s="1367"/>
      <c r="W28" s="1367">
        <f t="shared" si="0"/>
        <v>2316.2399999999998</v>
      </c>
      <c r="X28" s="1367">
        <f t="shared" si="1"/>
        <v>0</v>
      </c>
      <c r="Y28" s="1492">
        <f t="shared" si="2"/>
        <v>4196.9631798696009</v>
      </c>
      <c r="Z28" s="1374"/>
      <c r="AA28" s="1370">
        <f t="shared" si="3"/>
        <v>390.98732634305691</v>
      </c>
      <c r="AB28" s="1370"/>
      <c r="AC28" s="1370">
        <f t="shared" si="4"/>
        <v>42.259917754730814</v>
      </c>
      <c r="AD28" s="1371"/>
      <c r="AE28" s="1371">
        <f t="shared" si="5"/>
        <v>182.3107765301944</v>
      </c>
      <c r="AF28" s="1371">
        <f t="shared" si="6"/>
        <v>1904.338475434035</v>
      </c>
      <c r="AG28" s="1370">
        <f t="shared" si="7"/>
        <v>329.7485248231003</v>
      </c>
      <c r="AH28" s="1377"/>
      <c r="AI28" s="1370"/>
      <c r="AJ28" s="1493">
        <f t="shared" si="8"/>
        <v>2849.6450208851174</v>
      </c>
      <c r="AK28" s="1414"/>
      <c r="AL28" s="1414"/>
      <c r="AM28" s="1414"/>
      <c r="AN28" s="1414"/>
      <c r="AO28" s="1414"/>
      <c r="AP28" s="1414"/>
      <c r="AQ28" s="1494">
        <f t="shared" si="9"/>
        <v>0</v>
      </c>
      <c r="AR28" s="1414"/>
      <c r="AS28" s="1414"/>
      <c r="AT28" s="1414"/>
      <c r="AU28" s="1414"/>
      <c r="AV28" s="1494">
        <f t="shared" si="10"/>
        <v>0</v>
      </c>
      <c r="AW28" s="1373"/>
      <c r="AX28" s="1374">
        <f t="shared" si="11"/>
        <v>104.93810317301364</v>
      </c>
      <c r="AY28" s="1365">
        <f t="shared" si="12"/>
        <v>1242.3800558114694</v>
      </c>
      <c r="AZ28" s="1375">
        <f t="shared" si="13"/>
        <v>-1880.7231798696012</v>
      </c>
      <c r="BA28" s="1368">
        <f t="shared" si="14"/>
        <v>0</v>
      </c>
      <c r="BB28" s="1376">
        <f t="shared" si="15"/>
        <v>5.6252019566674711</v>
      </c>
      <c r="BC28" s="467">
        <f t="shared" si="16"/>
        <v>2316.2399999999998</v>
      </c>
      <c r="BD28" s="467">
        <f t="shared" si="17"/>
        <v>0</v>
      </c>
      <c r="BE28" s="736">
        <v>5.6</v>
      </c>
      <c r="BF28" s="736">
        <v>0</v>
      </c>
    </row>
    <row r="29" spans="1:58" s="124" customFormat="1" x14ac:dyDescent="0.25">
      <c r="A29" s="13">
        <v>22</v>
      </c>
      <c r="B29" s="574">
        <v>42461</v>
      </c>
      <c r="C29" s="42" t="s">
        <v>42</v>
      </c>
      <c r="D29" s="13">
        <v>1962</v>
      </c>
      <c r="E29" s="36">
        <v>1</v>
      </c>
      <c r="F29" s="36">
        <v>2</v>
      </c>
      <c r="G29" s="36">
        <v>8</v>
      </c>
      <c r="H29" s="462">
        <v>79.400000000000006</v>
      </c>
      <c r="I29" s="1378"/>
      <c r="J29" s="1378"/>
      <c r="K29" s="1378">
        <v>76.2</v>
      </c>
      <c r="L29" s="1378">
        <v>95.26</v>
      </c>
      <c r="M29" s="1378"/>
      <c r="N29" s="1378"/>
      <c r="O29" s="1378">
        <v>543.12</v>
      </c>
      <c r="P29" s="1378">
        <v>678.94</v>
      </c>
      <c r="Q29" s="1365">
        <v>3658.8</v>
      </c>
      <c r="R29" s="1366">
        <v>3476.33</v>
      </c>
      <c r="S29" s="1367"/>
      <c r="T29" s="1367"/>
      <c r="U29" s="1367"/>
      <c r="V29" s="1367"/>
      <c r="W29" s="1367">
        <f t="shared" si="0"/>
        <v>4278.12</v>
      </c>
      <c r="X29" s="1367">
        <f t="shared" si="1"/>
        <v>4250.53</v>
      </c>
      <c r="Y29" s="1492">
        <f t="shared" si="2"/>
        <v>4019.7693182345752</v>
      </c>
      <c r="Z29" s="1374"/>
      <c r="AA29" s="1370">
        <f t="shared" si="3"/>
        <v>374.48002064702916</v>
      </c>
      <c r="AB29" s="1370"/>
      <c r="AC29" s="1370">
        <f t="shared" si="4"/>
        <v>40.475723398379095</v>
      </c>
      <c r="AD29" s="1371"/>
      <c r="AE29" s="1371">
        <f t="shared" si="5"/>
        <v>174.61369911335871</v>
      </c>
      <c r="AF29" s="1371">
        <f t="shared" si="6"/>
        <v>1823.9381779187261</v>
      </c>
      <c r="AG29" s="1370">
        <f t="shared" si="7"/>
        <v>315.82669325638318</v>
      </c>
      <c r="AH29" s="1377"/>
      <c r="AI29" s="1370"/>
      <c r="AJ29" s="1493">
        <f t="shared" si="8"/>
        <v>2729.3343143338761</v>
      </c>
      <c r="AK29" s="1414"/>
      <c r="AL29" s="1414"/>
      <c r="AM29" s="1414"/>
      <c r="AN29" s="1414"/>
      <c r="AO29" s="1414"/>
      <c r="AP29" s="1414"/>
      <c r="AQ29" s="1494">
        <f t="shared" si="9"/>
        <v>0</v>
      </c>
      <c r="AR29" s="1414"/>
      <c r="AS29" s="1414"/>
      <c r="AT29" s="1414"/>
      <c r="AU29" s="1414"/>
      <c r="AV29" s="1494">
        <f t="shared" si="10"/>
        <v>0</v>
      </c>
      <c r="AW29" s="1373"/>
      <c r="AX29" s="1374">
        <f t="shared" si="11"/>
        <v>100.50766455895396</v>
      </c>
      <c r="AY29" s="1365">
        <f t="shared" si="12"/>
        <v>1189.9273393417452</v>
      </c>
      <c r="AZ29" s="1375">
        <f t="shared" si="13"/>
        <v>258.35068176542472</v>
      </c>
      <c r="BA29" s="1368">
        <f t="shared" si="14"/>
        <v>99.355090553794653</v>
      </c>
      <c r="BB29" s="1376">
        <f t="shared" si="15"/>
        <v>5.6252019566674711</v>
      </c>
      <c r="BC29" s="467">
        <f t="shared" si="16"/>
        <v>27.590000000000146</v>
      </c>
      <c r="BD29" s="467">
        <f t="shared" si="17"/>
        <v>0</v>
      </c>
      <c r="BE29" s="736">
        <v>6.2</v>
      </c>
      <c r="BF29" s="736">
        <v>0</v>
      </c>
    </row>
    <row r="30" spans="1:58" s="124" customFormat="1" x14ac:dyDescent="0.25">
      <c r="A30" s="13">
        <v>23</v>
      </c>
      <c r="B30" s="574">
        <v>42461</v>
      </c>
      <c r="C30" s="42" t="s">
        <v>43</v>
      </c>
      <c r="D30" s="13">
        <v>1955</v>
      </c>
      <c r="E30" s="36">
        <v>1</v>
      </c>
      <c r="F30" s="36">
        <v>4</v>
      </c>
      <c r="G30" s="36">
        <v>6</v>
      </c>
      <c r="H30" s="462">
        <v>121.87</v>
      </c>
      <c r="I30" s="1378"/>
      <c r="J30" s="1378"/>
      <c r="K30" s="1378">
        <v>117</v>
      </c>
      <c r="L30" s="1378">
        <v>136.5</v>
      </c>
      <c r="M30" s="1378"/>
      <c r="N30" s="1378"/>
      <c r="O30" s="1378">
        <v>833.58</v>
      </c>
      <c r="P30" s="1378">
        <v>972.51</v>
      </c>
      <c r="Q30" s="1365">
        <v>5615.79</v>
      </c>
      <c r="R30" s="1366">
        <v>5431.53</v>
      </c>
      <c r="S30" s="1367"/>
      <c r="T30" s="1367"/>
      <c r="U30" s="1367"/>
      <c r="V30" s="1367"/>
      <c r="W30" s="1367">
        <f t="shared" si="0"/>
        <v>6566.37</v>
      </c>
      <c r="X30" s="1367">
        <f t="shared" si="1"/>
        <v>6540.54</v>
      </c>
      <c r="Y30" s="1492">
        <f t="shared" si="2"/>
        <v>6169.8902621315829</v>
      </c>
      <c r="Z30" s="1374"/>
      <c r="AA30" s="1370">
        <f t="shared" si="3"/>
        <v>574.78438433568567</v>
      </c>
      <c r="AB30" s="1370"/>
      <c r="AC30" s="1370">
        <f t="shared" si="4"/>
        <v>62.125647488167004</v>
      </c>
      <c r="AD30" s="1371"/>
      <c r="AE30" s="1371">
        <f t="shared" si="5"/>
        <v>268.01223565421947</v>
      </c>
      <c r="AF30" s="1371">
        <f t="shared" si="6"/>
        <v>2799.5383594830623</v>
      </c>
      <c r="AG30" s="1370">
        <f t="shared" si="7"/>
        <v>484.75817515309086</v>
      </c>
      <c r="AH30" s="1377"/>
      <c r="AI30" s="1370"/>
      <c r="AJ30" s="1493">
        <f t="shared" si="8"/>
        <v>4189.2188021142256</v>
      </c>
      <c r="AK30" s="1414"/>
      <c r="AL30" s="1414"/>
      <c r="AM30" s="1414"/>
      <c r="AN30" s="1414"/>
      <c r="AO30" s="1414"/>
      <c r="AP30" s="1414"/>
      <c r="AQ30" s="1494">
        <f t="shared" si="9"/>
        <v>0</v>
      </c>
      <c r="AR30" s="1414"/>
      <c r="AS30" s="1414"/>
      <c r="AT30" s="1414"/>
      <c r="AU30" s="1414"/>
      <c r="AV30" s="1494">
        <f t="shared" si="10"/>
        <v>0</v>
      </c>
      <c r="AW30" s="1373"/>
      <c r="AX30" s="1374">
        <f t="shared" si="11"/>
        <v>154.26787254155818</v>
      </c>
      <c r="AY30" s="1365">
        <f t="shared" si="12"/>
        <v>1826.4035874757994</v>
      </c>
      <c r="AZ30" s="1375">
        <f t="shared" si="13"/>
        <v>396.47973786841703</v>
      </c>
      <c r="BA30" s="1368">
        <f t="shared" si="14"/>
        <v>99.606631974744047</v>
      </c>
      <c r="BB30" s="1376">
        <f t="shared" si="15"/>
        <v>5.6252019566674711</v>
      </c>
      <c r="BC30" s="467">
        <f t="shared" si="16"/>
        <v>25.829999999999927</v>
      </c>
      <c r="BD30" s="467">
        <f t="shared" si="17"/>
        <v>0</v>
      </c>
      <c r="BE30" s="736">
        <v>6.2</v>
      </c>
      <c r="BF30" s="736">
        <v>0</v>
      </c>
    </row>
    <row r="31" spans="1:58" s="124" customFormat="1" x14ac:dyDescent="0.25">
      <c r="A31" s="13">
        <v>24</v>
      </c>
      <c r="B31" s="573"/>
      <c r="C31" s="42" t="s">
        <v>44</v>
      </c>
      <c r="D31" s="13">
        <v>1976</v>
      </c>
      <c r="E31" s="36">
        <v>2</v>
      </c>
      <c r="F31" s="36">
        <v>4</v>
      </c>
      <c r="G31" s="36">
        <v>22</v>
      </c>
      <c r="H31" s="121">
        <v>266.82</v>
      </c>
      <c r="I31" s="707"/>
      <c r="J31" s="707"/>
      <c r="K31" s="707">
        <v>256.14</v>
      </c>
      <c r="L31" s="707">
        <v>295.36</v>
      </c>
      <c r="M31" s="707"/>
      <c r="N31" s="707"/>
      <c r="O31" s="707">
        <v>1825.08</v>
      </c>
      <c r="P31" s="707">
        <v>2104.5100000000002</v>
      </c>
      <c r="Q31" s="1365">
        <v>17706.240000000002</v>
      </c>
      <c r="R31" s="1366">
        <v>17239.86</v>
      </c>
      <c r="S31" s="1367"/>
      <c r="T31" s="1367"/>
      <c r="U31" s="1367">
        <v>2161.2600000000002</v>
      </c>
      <c r="V31" s="1367">
        <v>2145.11</v>
      </c>
      <c r="W31" s="1367">
        <f t="shared" si="0"/>
        <v>21948.720000000001</v>
      </c>
      <c r="X31" s="1367">
        <f t="shared" si="1"/>
        <v>21784.84</v>
      </c>
      <c r="Y31" s="1492">
        <f t="shared" si="2"/>
        <v>23333.095157267551</v>
      </c>
      <c r="Z31" s="1374">
        <v>60.28</v>
      </c>
      <c r="AA31" s="1370">
        <f t="shared" si="3"/>
        <v>1258.4226588040342</v>
      </c>
      <c r="AB31" s="1370"/>
      <c r="AC31" s="1370">
        <f t="shared" si="4"/>
        <v>136.01678233193337</v>
      </c>
      <c r="AD31" s="1371"/>
      <c r="AE31" s="1371">
        <f t="shared" si="5"/>
        <v>586.78119896002977</v>
      </c>
      <c r="AF31" s="1371">
        <f t="shared" si="6"/>
        <v>6129.2592522956475</v>
      </c>
      <c r="AG31" s="1370">
        <f t="shared" si="7"/>
        <v>1061.3208853232763</v>
      </c>
      <c r="AH31" s="1377">
        <f t="shared" ref="AH31:AH32" si="24">600614.23/25091.1*H31</f>
        <v>6386.9614663605826</v>
      </c>
      <c r="AI31" s="1370">
        <f t="shared" ref="AI31:AI32" si="25">AH31*0.202</f>
        <v>1290.1662162048378</v>
      </c>
      <c r="AJ31" s="1493">
        <f t="shared" si="8"/>
        <v>16909.208460280341</v>
      </c>
      <c r="AK31" s="1414">
        <v>2087.44</v>
      </c>
      <c r="AL31" s="1414"/>
      <c r="AM31" s="1414"/>
      <c r="AN31" s="1414"/>
      <c r="AO31" s="1414"/>
      <c r="AP31" s="1414"/>
      <c r="AQ31" s="1494">
        <f t="shared" si="9"/>
        <v>2087.44</v>
      </c>
      <c r="AR31" s="1414"/>
      <c r="AS31" s="1414"/>
      <c r="AT31" s="1414"/>
      <c r="AU31" s="1414"/>
      <c r="AV31" s="1494">
        <f t="shared" si="10"/>
        <v>0</v>
      </c>
      <c r="AW31" s="1373"/>
      <c r="AX31" s="1374">
        <f t="shared" si="11"/>
        <v>337.75132314382989</v>
      </c>
      <c r="AY31" s="1365">
        <f t="shared" si="12"/>
        <v>3998.6953738433808</v>
      </c>
      <c r="AZ31" s="1375">
        <f t="shared" si="13"/>
        <v>-1384.3751572675501</v>
      </c>
      <c r="BA31" s="1368">
        <f t="shared" si="14"/>
        <v>99.253350537070034</v>
      </c>
      <c r="BB31" s="1376">
        <f t="shared" si="15"/>
        <v>9.7165359740097568</v>
      </c>
      <c r="BC31" s="467">
        <f t="shared" si="16"/>
        <v>163.88000000000102</v>
      </c>
      <c r="BD31" s="467">
        <f t="shared" si="17"/>
        <v>16.150000000000091</v>
      </c>
      <c r="BE31" s="736">
        <v>8.24</v>
      </c>
      <c r="BF31" s="736">
        <v>0.9</v>
      </c>
    </row>
    <row r="32" spans="1:58" s="124" customFormat="1" x14ac:dyDescent="0.25">
      <c r="A32" s="13">
        <v>25</v>
      </c>
      <c r="B32" s="573"/>
      <c r="C32" s="42" t="s">
        <v>45</v>
      </c>
      <c r="D32" s="13">
        <v>1976</v>
      </c>
      <c r="E32" s="36">
        <v>2</v>
      </c>
      <c r="F32" s="36">
        <v>4</v>
      </c>
      <c r="G32" s="36">
        <v>12</v>
      </c>
      <c r="H32" s="121">
        <v>266.56</v>
      </c>
      <c r="I32" s="707"/>
      <c r="J32" s="707"/>
      <c r="K32" s="707">
        <v>255.9</v>
      </c>
      <c r="L32" s="707">
        <v>277.93</v>
      </c>
      <c r="M32" s="707"/>
      <c r="N32" s="707"/>
      <c r="O32" s="707">
        <v>1823.22</v>
      </c>
      <c r="P32" s="707">
        <v>1919.11</v>
      </c>
      <c r="Q32" s="1365">
        <v>18040.77</v>
      </c>
      <c r="R32" s="1366">
        <v>15656.31</v>
      </c>
      <c r="S32" s="1367"/>
      <c r="T32" s="1367"/>
      <c r="U32" s="1367">
        <v>2159.19</v>
      </c>
      <c r="V32" s="1367">
        <v>1927.09</v>
      </c>
      <c r="W32" s="1367">
        <f t="shared" si="0"/>
        <v>22279.079999999998</v>
      </c>
      <c r="X32" s="1367">
        <f t="shared" si="1"/>
        <v>19780.439999999999</v>
      </c>
      <c r="Y32" s="1492">
        <f t="shared" si="2"/>
        <v>23252.181286714782</v>
      </c>
      <c r="Z32" s="1374"/>
      <c r="AA32" s="1370">
        <f t="shared" si="3"/>
        <v>1257.196401809472</v>
      </c>
      <c r="AB32" s="1370"/>
      <c r="AC32" s="1370">
        <f t="shared" si="4"/>
        <v>135.88424217974725</v>
      </c>
      <c r="AD32" s="1371"/>
      <c r="AE32" s="1371">
        <f t="shared" si="5"/>
        <v>586.20941606620772</v>
      </c>
      <c r="AF32" s="1371">
        <f t="shared" si="6"/>
        <v>6123.2866587659391</v>
      </c>
      <c r="AG32" s="1370">
        <f t="shared" si="7"/>
        <v>1060.2866921211776</v>
      </c>
      <c r="AH32" s="1377">
        <f t="shared" si="24"/>
        <v>6380.7377575634391</v>
      </c>
      <c r="AI32" s="1370">
        <f t="shared" si="25"/>
        <v>1288.9090270278148</v>
      </c>
      <c r="AJ32" s="1493">
        <f t="shared" si="8"/>
        <v>16832.510195533796</v>
      </c>
      <c r="AK32" s="1414">
        <v>2087.4499999999998</v>
      </c>
      <c r="AL32" s="1414"/>
      <c r="AM32" s="1414"/>
      <c r="AN32" s="1414"/>
      <c r="AO32" s="1414"/>
      <c r="AP32" s="1414"/>
      <c r="AQ32" s="1494">
        <f t="shared" si="9"/>
        <v>2087.4499999999998</v>
      </c>
      <c r="AR32" s="1414"/>
      <c r="AS32" s="1414"/>
      <c r="AT32" s="1414"/>
      <c r="AU32" s="1414"/>
      <c r="AV32" s="1494">
        <f t="shared" si="10"/>
        <v>0</v>
      </c>
      <c r="AW32" s="1373"/>
      <c r="AX32" s="1374">
        <f t="shared" si="11"/>
        <v>337.42220484678546</v>
      </c>
      <c r="AY32" s="1365">
        <f t="shared" si="12"/>
        <v>3994.7988863342011</v>
      </c>
      <c r="AZ32" s="1375">
        <f t="shared" si="13"/>
        <v>-973.10128671478378</v>
      </c>
      <c r="BA32" s="1368">
        <f t="shared" si="14"/>
        <v>88.784815171901172</v>
      </c>
      <c r="BB32" s="1376">
        <f t="shared" si="15"/>
        <v>9.6922857837780043</v>
      </c>
      <c r="BC32" s="467">
        <f t="shared" si="16"/>
        <v>2498.6399999999994</v>
      </c>
      <c r="BD32" s="467">
        <f t="shared" si="17"/>
        <v>232.10000000000014</v>
      </c>
      <c r="BE32" s="736">
        <v>8.68</v>
      </c>
      <c r="BF32" s="736">
        <v>0.9</v>
      </c>
    </row>
    <row r="33" spans="1:58" s="124" customFormat="1" x14ac:dyDescent="0.25">
      <c r="A33" s="13">
        <v>26</v>
      </c>
      <c r="B33" s="573"/>
      <c r="C33" s="42" t="s">
        <v>46</v>
      </c>
      <c r="D33" s="13">
        <v>1958</v>
      </c>
      <c r="E33" s="36">
        <v>1</v>
      </c>
      <c r="F33" s="36">
        <v>2</v>
      </c>
      <c r="G33" s="36">
        <v>2</v>
      </c>
      <c r="H33" s="462">
        <v>68.42</v>
      </c>
      <c r="I33" s="1378"/>
      <c r="J33" s="1378"/>
      <c r="K33" s="1378">
        <v>65.64</v>
      </c>
      <c r="L33" s="1378">
        <v>76.58</v>
      </c>
      <c r="M33" s="1378"/>
      <c r="N33" s="1378"/>
      <c r="O33" s="1378">
        <v>234</v>
      </c>
      <c r="P33" s="1378">
        <v>273</v>
      </c>
      <c r="Q33" s="1365">
        <v>3029.61</v>
      </c>
      <c r="R33" s="1366">
        <v>2967.97</v>
      </c>
      <c r="S33" s="1367"/>
      <c r="T33" s="1367"/>
      <c r="U33" s="1367"/>
      <c r="V33" s="1367"/>
      <c r="W33" s="1367">
        <f t="shared" si="0"/>
        <v>3329.25</v>
      </c>
      <c r="X33" s="1367">
        <f t="shared" si="1"/>
        <v>3317.5499999999997</v>
      </c>
      <c r="Y33" s="1492">
        <f t="shared" si="2"/>
        <v>3463.8868608766957</v>
      </c>
      <c r="Z33" s="1374"/>
      <c r="AA33" s="1370">
        <f t="shared" si="3"/>
        <v>322.69424449206213</v>
      </c>
      <c r="AB33" s="1370"/>
      <c r="AC33" s="1370">
        <f t="shared" si="4"/>
        <v>34.878450817595684</v>
      </c>
      <c r="AD33" s="1371"/>
      <c r="AE33" s="1371">
        <f t="shared" si="5"/>
        <v>150.46686767425695</v>
      </c>
      <c r="AF33" s="1371">
        <f t="shared" si="6"/>
        <v>1571.7109588564135</v>
      </c>
      <c r="AG33" s="1370">
        <f t="shared" si="7"/>
        <v>272.15191879851051</v>
      </c>
      <c r="AH33" s="1377"/>
      <c r="AI33" s="1370"/>
      <c r="AJ33" s="1493">
        <f t="shared" si="8"/>
        <v>2351.9024406388389</v>
      </c>
      <c r="AK33" s="1414"/>
      <c r="AL33" s="1414"/>
      <c r="AM33" s="1414"/>
      <c r="AN33" s="1414"/>
      <c r="AO33" s="1414"/>
      <c r="AP33" s="1414"/>
      <c r="AQ33" s="1494">
        <f t="shared" si="9"/>
        <v>0</v>
      </c>
      <c r="AR33" s="1414"/>
      <c r="AS33" s="1414"/>
      <c r="AT33" s="1414"/>
      <c r="AU33" s="1414"/>
      <c r="AV33" s="1494">
        <f t="shared" si="10"/>
        <v>0</v>
      </c>
      <c r="AW33" s="1373"/>
      <c r="AX33" s="1374">
        <f t="shared" si="11"/>
        <v>86.608745706846719</v>
      </c>
      <c r="AY33" s="1365">
        <f t="shared" si="12"/>
        <v>1025.3756745310102</v>
      </c>
      <c r="AZ33" s="1375">
        <f t="shared" si="13"/>
        <v>-134.63686087669566</v>
      </c>
      <c r="BA33" s="1368">
        <f t="shared" si="14"/>
        <v>99.648569497634597</v>
      </c>
      <c r="BB33" s="1376">
        <f t="shared" si="15"/>
        <v>5.6252019566674711</v>
      </c>
      <c r="BC33" s="467">
        <f t="shared" si="16"/>
        <v>11.700000000000273</v>
      </c>
      <c r="BD33" s="467">
        <f t="shared" si="17"/>
        <v>0</v>
      </c>
      <c r="BE33" s="736">
        <v>5.6</v>
      </c>
      <c r="BF33" s="736">
        <v>0</v>
      </c>
    </row>
    <row r="34" spans="1:58" s="124" customFormat="1" x14ac:dyDescent="0.25">
      <c r="A34" s="13">
        <v>27</v>
      </c>
      <c r="B34" s="573"/>
      <c r="C34" s="42" t="s">
        <v>47</v>
      </c>
      <c r="D34" s="13">
        <v>1970</v>
      </c>
      <c r="E34" s="36">
        <v>2</v>
      </c>
      <c r="F34" s="36">
        <v>9</v>
      </c>
      <c r="G34" s="36">
        <v>2</v>
      </c>
      <c r="H34" s="121">
        <v>393.8</v>
      </c>
      <c r="I34" s="707"/>
      <c r="J34" s="707"/>
      <c r="K34" s="707">
        <v>295.38</v>
      </c>
      <c r="L34" s="707">
        <v>263.55</v>
      </c>
      <c r="M34" s="707"/>
      <c r="N34" s="707"/>
      <c r="O34" s="707">
        <v>1285.8</v>
      </c>
      <c r="P34" s="707">
        <v>898.01</v>
      </c>
      <c r="Q34" s="1365">
        <v>15304.98</v>
      </c>
      <c r="R34" s="1366">
        <v>9665.57</v>
      </c>
      <c r="S34" s="1367">
        <v>1059.05</v>
      </c>
      <c r="T34" s="1367">
        <v>666.96</v>
      </c>
      <c r="U34" s="1367">
        <v>19385.099999999999</v>
      </c>
      <c r="V34" s="1367">
        <v>13339.8</v>
      </c>
      <c r="W34" s="1367">
        <f t="shared" si="0"/>
        <v>37330.31</v>
      </c>
      <c r="X34" s="1367">
        <f t="shared" si="1"/>
        <v>24833.89</v>
      </c>
      <c r="Y34" s="1492">
        <f t="shared" si="2"/>
        <v>43632.01393723095</v>
      </c>
      <c r="Z34" s="1374"/>
      <c r="AA34" s="1370">
        <f t="shared" si="3"/>
        <v>1857.3077094559203</v>
      </c>
      <c r="AB34" s="1370">
        <v>1837.92</v>
      </c>
      <c r="AC34" s="1370">
        <f t="shared" si="4"/>
        <v>200.7473535803739</v>
      </c>
      <c r="AD34" s="1371"/>
      <c r="AE34" s="1371">
        <f t="shared" si="5"/>
        <v>866.03116764282936</v>
      </c>
      <c r="AF34" s="1371">
        <f t="shared" si="6"/>
        <v>9046.1820461510615</v>
      </c>
      <c r="AG34" s="1370">
        <f t="shared" si="7"/>
        <v>1566.4049345637743</v>
      </c>
      <c r="AH34" s="1377">
        <f t="shared" ref="AH34:AH35" si="26">600614.23/25091.1*H34</f>
        <v>9426.5250935192162</v>
      </c>
      <c r="AI34" s="1370">
        <f t="shared" ref="AI34:AI35" si="27">AH34*0.202</f>
        <v>1904.1580688908819</v>
      </c>
      <c r="AJ34" s="1493">
        <f t="shared" si="8"/>
        <v>26705.276373804052</v>
      </c>
      <c r="AK34" s="1414">
        <v>10526.57</v>
      </c>
      <c r="AL34" s="1414"/>
      <c r="AM34" s="1414"/>
      <c r="AN34" s="1414"/>
      <c r="AO34" s="1414"/>
      <c r="AP34" s="1414"/>
      <c r="AQ34" s="1494">
        <f t="shared" si="9"/>
        <v>10526.57</v>
      </c>
      <c r="AR34" s="1414"/>
      <c r="AS34" s="1414"/>
      <c r="AT34" s="1414"/>
      <c r="AU34" s="1414"/>
      <c r="AV34" s="1494">
        <f t="shared" si="10"/>
        <v>0</v>
      </c>
      <c r="AW34" s="1373"/>
      <c r="AX34" s="1374">
        <f t="shared" si="11"/>
        <v>498.48763606191523</v>
      </c>
      <c r="AY34" s="1365">
        <f t="shared" si="12"/>
        <v>5901.6799273649776</v>
      </c>
      <c r="AZ34" s="1375">
        <f t="shared" si="13"/>
        <v>-6301.7039372309519</v>
      </c>
      <c r="BA34" s="1368">
        <f t="shared" si="14"/>
        <v>66.524735529921927</v>
      </c>
      <c r="BB34" s="1376">
        <f t="shared" si="15"/>
        <v>12.310821606351489</v>
      </c>
      <c r="BC34" s="467">
        <f t="shared" si="16"/>
        <v>12496.419999999998</v>
      </c>
      <c r="BD34" s="467">
        <f t="shared" si="17"/>
        <v>6045.2999999999993</v>
      </c>
      <c r="BE34" s="736">
        <v>7.06</v>
      </c>
      <c r="BF34" s="736">
        <v>7</v>
      </c>
    </row>
    <row r="35" spans="1:58" s="124" customFormat="1" x14ac:dyDescent="0.25">
      <c r="A35" s="13">
        <v>28</v>
      </c>
      <c r="B35" s="573"/>
      <c r="C35" s="42" t="s">
        <v>48</v>
      </c>
      <c r="D35" s="13">
        <v>1970</v>
      </c>
      <c r="E35" s="36">
        <v>2</v>
      </c>
      <c r="F35" s="36">
        <v>12</v>
      </c>
      <c r="G35" s="36">
        <v>25</v>
      </c>
      <c r="H35" s="121">
        <v>462.1</v>
      </c>
      <c r="I35" s="707"/>
      <c r="J35" s="707"/>
      <c r="K35" s="707">
        <v>443.58</v>
      </c>
      <c r="L35" s="707">
        <v>238.15</v>
      </c>
      <c r="M35" s="707"/>
      <c r="N35" s="707"/>
      <c r="O35" s="707">
        <v>3160.8</v>
      </c>
      <c r="P35" s="707">
        <v>3072.28</v>
      </c>
      <c r="Q35" s="1365">
        <v>22984.799999999999</v>
      </c>
      <c r="R35" s="1366">
        <v>16861.04</v>
      </c>
      <c r="S35" s="1367">
        <v>1460.12</v>
      </c>
      <c r="T35" s="1367">
        <v>931.23</v>
      </c>
      <c r="U35" s="1367">
        <v>29112.3</v>
      </c>
      <c r="V35" s="1367">
        <v>22767.71</v>
      </c>
      <c r="W35" s="1367">
        <f t="shared" si="0"/>
        <v>57161.599999999999</v>
      </c>
      <c r="X35" s="1367">
        <f t="shared" si="1"/>
        <v>43870.41</v>
      </c>
      <c r="Y35" s="1492">
        <f t="shared" si="2"/>
        <v>38732.109932438856</v>
      </c>
      <c r="Z35" s="1374"/>
      <c r="AA35" s="1370">
        <f t="shared" si="3"/>
        <v>2179.4359891812614</v>
      </c>
      <c r="AB35" s="1370">
        <v>2041.6</v>
      </c>
      <c r="AC35" s="1370">
        <f t="shared" si="4"/>
        <v>235.56463202003752</v>
      </c>
      <c r="AD35" s="1371"/>
      <c r="AE35" s="1371">
        <f t="shared" si="5"/>
        <v>1016.2341355199377</v>
      </c>
      <c r="AF35" s="1371">
        <f t="shared" si="6"/>
        <v>10615.136423378379</v>
      </c>
      <c r="AG35" s="1370">
        <f t="shared" si="7"/>
        <v>1838.0795334228546</v>
      </c>
      <c r="AH35" s="1377">
        <f t="shared" si="26"/>
        <v>11061.445519845684</v>
      </c>
      <c r="AI35" s="1370">
        <f t="shared" si="27"/>
        <v>2234.4119950088284</v>
      </c>
      <c r="AJ35" s="1493">
        <f t="shared" si="8"/>
        <v>31221.908228376979</v>
      </c>
      <c r="AK35" s="1414"/>
      <c r="AL35" s="1414"/>
      <c r="AM35" s="1414"/>
      <c r="AN35" s="1414"/>
      <c r="AO35" s="1414"/>
      <c r="AP35" s="1414"/>
      <c r="AQ35" s="1494">
        <f t="shared" si="9"/>
        <v>0</v>
      </c>
      <c r="AR35" s="1414"/>
      <c r="AS35" s="1414"/>
      <c r="AT35" s="1414"/>
      <c r="AU35" s="1414"/>
      <c r="AV35" s="1494">
        <f t="shared" si="10"/>
        <v>0</v>
      </c>
      <c r="AW35" s="1373"/>
      <c r="AX35" s="1374">
        <f t="shared" si="11"/>
        <v>584.94448101627995</v>
      </c>
      <c r="AY35" s="1365">
        <f t="shared" si="12"/>
        <v>6925.2572230455971</v>
      </c>
      <c r="AZ35" s="1375">
        <f t="shared" si="13"/>
        <v>18429.490067561142</v>
      </c>
      <c r="BA35" s="1368">
        <f t="shared" si="14"/>
        <v>76.748044141521589</v>
      </c>
      <c r="BB35" s="1376">
        <f t="shared" si="15"/>
        <v>9.3130659386950541</v>
      </c>
      <c r="BC35" s="467">
        <f t="shared" si="16"/>
        <v>13291.189999999995</v>
      </c>
      <c r="BD35" s="467">
        <f t="shared" si="17"/>
        <v>6344.59</v>
      </c>
      <c r="BE35" s="736">
        <v>7.06</v>
      </c>
      <c r="BF35" s="736">
        <v>7</v>
      </c>
    </row>
    <row r="36" spans="1:58" s="124" customFormat="1" x14ac:dyDescent="0.25">
      <c r="A36" s="13">
        <v>29</v>
      </c>
      <c r="B36" s="573"/>
      <c r="C36" s="42" t="s">
        <v>49</v>
      </c>
      <c r="D36" s="13">
        <v>1951</v>
      </c>
      <c r="E36" s="36">
        <v>1</v>
      </c>
      <c r="F36" s="36">
        <v>2</v>
      </c>
      <c r="G36" s="36">
        <v>5</v>
      </c>
      <c r="H36" s="462">
        <v>46.6</v>
      </c>
      <c r="I36" s="1378"/>
      <c r="J36" s="1378"/>
      <c r="K36" s="1378">
        <v>44.76</v>
      </c>
      <c r="L36" s="1378">
        <v>0</v>
      </c>
      <c r="M36" s="1378"/>
      <c r="N36" s="1378"/>
      <c r="O36" s="1378">
        <v>318.72000000000003</v>
      </c>
      <c r="P36" s="1378">
        <v>0</v>
      </c>
      <c r="Q36" s="1365">
        <v>2147.2800000000002</v>
      </c>
      <c r="R36" s="1366">
        <v>0</v>
      </c>
      <c r="S36" s="1367"/>
      <c r="T36" s="1367"/>
      <c r="U36" s="1367"/>
      <c r="V36" s="1367"/>
      <c r="W36" s="1367">
        <f t="shared" si="0"/>
        <v>2510.7600000000002</v>
      </c>
      <c r="X36" s="1367">
        <f t="shared" si="1"/>
        <v>0</v>
      </c>
      <c r="Y36" s="1492">
        <f t="shared" si="2"/>
        <v>2359.2097006263375</v>
      </c>
      <c r="Z36" s="1374"/>
      <c r="AA36" s="1370">
        <f t="shared" si="3"/>
        <v>219.78298440996923</v>
      </c>
      <c r="AB36" s="1370"/>
      <c r="AC36" s="1370">
        <f t="shared" si="4"/>
        <v>23.755273430282944</v>
      </c>
      <c r="AD36" s="1371"/>
      <c r="AE36" s="1371">
        <f t="shared" si="5"/>
        <v>102.48108789272689</v>
      </c>
      <c r="AF36" s="1371">
        <f t="shared" si="6"/>
        <v>1070.4725326324008</v>
      </c>
      <c r="AG36" s="1370">
        <f t="shared" si="7"/>
        <v>185.35924314543394</v>
      </c>
      <c r="AH36" s="1377"/>
      <c r="AI36" s="1370"/>
      <c r="AJ36" s="1493">
        <f t="shared" si="8"/>
        <v>1601.8511215108138</v>
      </c>
      <c r="AK36" s="1414"/>
      <c r="AL36" s="1414"/>
      <c r="AM36" s="1414"/>
      <c r="AN36" s="1414"/>
      <c r="AO36" s="1414"/>
      <c r="AP36" s="1414"/>
      <c r="AQ36" s="1494">
        <f t="shared" si="9"/>
        <v>0</v>
      </c>
      <c r="AR36" s="1414"/>
      <c r="AS36" s="1414"/>
      <c r="AT36" s="1414"/>
      <c r="AU36" s="1414"/>
      <c r="AV36" s="1494">
        <f t="shared" si="10"/>
        <v>0</v>
      </c>
      <c r="AW36" s="1373"/>
      <c r="AX36" s="1374">
        <f t="shared" si="11"/>
        <v>58.988125547194642</v>
      </c>
      <c r="AY36" s="1365">
        <f t="shared" si="12"/>
        <v>698.37045356832903</v>
      </c>
      <c r="AZ36" s="1375">
        <f t="shared" si="13"/>
        <v>151.55029937366271</v>
      </c>
      <c r="BA36" s="1368">
        <f t="shared" si="14"/>
        <v>0</v>
      </c>
      <c r="BB36" s="1376">
        <f t="shared" si="15"/>
        <v>5.6252019566674711</v>
      </c>
      <c r="BC36" s="467">
        <f t="shared" si="16"/>
        <v>2510.7600000000002</v>
      </c>
      <c r="BD36" s="467">
        <f t="shared" si="17"/>
        <v>0</v>
      </c>
      <c r="BE36" s="736">
        <v>6.2</v>
      </c>
      <c r="BF36" s="736">
        <v>0</v>
      </c>
    </row>
    <row r="37" spans="1:58" s="124" customFormat="1" x14ac:dyDescent="0.25">
      <c r="A37" s="13">
        <v>30</v>
      </c>
      <c r="B37" s="573"/>
      <c r="C37" s="42" t="s">
        <v>241</v>
      </c>
      <c r="D37" s="13">
        <v>1955</v>
      </c>
      <c r="E37" s="36">
        <v>1</v>
      </c>
      <c r="F37" s="36">
        <v>2</v>
      </c>
      <c r="G37" s="36">
        <v>3</v>
      </c>
      <c r="H37" s="462">
        <v>76</v>
      </c>
      <c r="I37" s="1378"/>
      <c r="J37" s="1378"/>
      <c r="K37" s="1378">
        <v>72.959999999999994</v>
      </c>
      <c r="L37" s="1378">
        <v>54.9</v>
      </c>
      <c r="M37" s="1378"/>
      <c r="N37" s="1378"/>
      <c r="O37" s="1378">
        <v>519.84</v>
      </c>
      <c r="P37" s="1378">
        <v>392.23</v>
      </c>
      <c r="Q37" s="1365">
        <v>3502.08</v>
      </c>
      <c r="R37" s="1366">
        <v>2286.66</v>
      </c>
      <c r="S37" s="1367"/>
      <c r="T37" s="1367"/>
      <c r="U37" s="1367"/>
      <c r="V37" s="1367"/>
      <c r="W37" s="1367">
        <f t="shared" si="0"/>
        <v>4094.88</v>
      </c>
      <c r="X37" s="1367">
        <f t="shared" si="1"/>
        <v>2733.79</v>
      </c>
      <c r="Y37" s="1492">
        <f t="shared" si="2"/>
        <v>3847.6381383605503</v>
      </c>
      <c r="Z37" s="1374"/>
      <c r="AA37" s="1370">
        <f t="shared" si="3"/>
        <v>358.4443522566022</v>
      </c>
      <c r="AB37" s="1370"/>
      <c r="AC37" s="1370">
        <f t="shared" si="4"/>
        <v>38.742506023637418</v>
      </c>
      <c r="AD37" s="1371"/>
      <c r="AE37" s="1371">
        <f t="shared" si="5"/>
        <v>167.13653819414685</v>
      </c>
      <c r="AF37" s="1371">
        <f t="shared" si="6"/>
        <v>1745.835031760997</v>
      </c>
      <c r="AG37" s="1370">
        <f t="shared" si="7"/>
        <v>302.30262830585792</v>
      </c>
      <c r="AH37" s="1377"/>
      <c r="AI37" s="1370"/>
      <c r="AJ37" s="1493">
        <f t="shared" si="8"/>
        <v>2612.4610565412413</v>
      </c>
      <c r="AK37" s="1414"/>
      <c r="AL37" s="1414"/>
      <c r="AM37" s="1414"/>
      <c r="AN37" s="1414"/>
      <c r="AO37" s="1414"/>
      <c r="AP37" s="1414"/>
      <c r="AQ37" s="1494">
        <f t="shared" si="9"/>
        <v>0</v>
      </c>
      <c r="AR37" s="1414"/>
      <c r="AS37" s="1414"/>
      <c r="AT37" s="1414"/>
      <c r="AU37" s="1414"/>
      <c r="AV37" s="1494">
        <f t="shared" si="10"/>
        <v>0</v>
      </c>
      <c r="AW37" s="1373"/>
      <c r="AX37" s="1374">
        <f t="shared" si="11"/>
        <v>96.203809905295969</v>
      </c>
      <c r="AY37" s="1365">
        <f t="shared" si="12"/>
        <v>1138.9732719140129</v>
      </c>
      <c r="AZ37" s="1375">
        <f t="shared" si="13"/>
        <v>247.24186163944978</v>
      </c>
      <c r="BA37" s="1368">
        <f t="shared" si="14"/>
        <v>66.761174930645097</v>
      </c>
      <c r="BB37" s="1376">
        <f t="shared" si="15"/>
        <v>5.6252019566674711</v>
      </c>
      <c r="BC37" s="467">
        <f t="shared" si="16"/>
        <v>1361.0900000000001</v>
      </c>
      <c r="BD37" s="467">
        <f t="shared" si="17"/>
        <v>0</v>
      </c>
      <c r="BE37" s="736">
        <v>6.2</v>
      </c>
      <c r="BF37" s="736">
        <v>0</v>
      </c>
    </row>
    <row r="38" spans="1:58" s="124" customFormat="1" x14ac:dyDescent="0.25">
      <c r="A38" s="13">
        <v>31</v>
      </c>
      <c r="B38" s="573"/>
      <c r="C38" s="42" t="s">
        <v>242</v>
      </c>
      <c r="D38" s="13">
        <v>1955</v>
      </c>
      <c r="E38" s="36">
        <v>1</v>
      </c>
      <c r="F38" s="36">
        <v>2</v>
      </c>
      <c r="G38" s="36">
        <v>2</v>
      </c>
      <c r="H38" s="462">
        <v>86.1</v>
      </c>
      <c r="I38" s="1378"/>
      <c r="J38" s="1378"/>
      <c r="K38" s="1378">
        <v>82.62</v>
      </c>
      <c r="L38" s="1378">
        <v>96.39</v>
      </c>
      <c r="M38" s="1378"/>
      <c r="N38" s="1378"/>
      <c r="O38" s="1378">
        <v>294.48</v>
      </c>
      <c r="P38" s="1378">
        <v>343.56</v>
      </c>
      <c r="Q38" s="1365">
        <v>3737.61</v>
      </c>
      <c r="R38" s="1366">
        <v>3686.69</v>
      </c>
      <c r="S38" s="1367"/>
      <c r="T38" s="1367"/>
      <c r="U38" s="1367"/>
      <c r="V38" s="1367"/>
      <c r="W38" s="1367">
        <f t="shared" si="0"/>
        <v>4114.71</v>
      </c>
      <c r="X38" s="1367">
        <f t="shared" si="1"/>
        <v>4126.6400000000003</v>
      </c>
      <c r="Y38" s="1492">
        <f t="shared" si="2"/>
        <v>4358.9689962216235</v>
      </c>
      <c r="Z38" s="1374"/>
      <c r="AA38" s="1370">
        <f t="shared" si="3"/>
        <v>406.0797201222822</v>
      </c>
      <c r="AB38" s="1370"/>
      <c r="AC38" s="1370">
        <f t="shared" si="4"/>
        <v>43.891181166252387</v>
      </c>
      <c r="AD38" s="1371"/>
      <c r="AE38" s="1371">
        <f t="shared" si="5"/>
        <v>189.34810445415846</v>
      </c>
      <c r="AF38" s="1371">
        <f t="shared" si="6"/>
        <v>1977.8473188766031</v>
      </c>
      <c r="AG38" s="1370">
        <f t="shared" si="7"/>
        <v>342.47705654124167</v>
      </c>
      <c r="AH38" s="1377"/>
      <c r="AI38" s="1370"/>
      <c r="AJ38" s="1493">
        <f t="shared" si="8"/>
        <v>2959.643381160538</v>
      </c>
      <c r="AK38" s="1414"/>
      <c r="AL38" s="1414"/>
      <c r="AM38" s="1414"/>
      <c r="AN38" s="1414"/>
      <c r="AO38" s="1414"/>
      <c r="AP38" s="1414"/>
      <c r="AQ38" s="1494">
        <f t="shared" si="9"/>
        <v>0</v>
      </c>
      <c r="AR38" s="1414"/>
      <c r="AS38" s="1414"/>
      <c r="AT38" s="1414"/>
      <c r="AU38" s="1414"/>
      <c r="AV38" s="1494">
        <f t="shared" si="10"/>
        <v>0</v>
      </c>
      <c r="AW38" s="1373"/>
      <c r="AX38" s="1374">
        <f t="shared" si="11"/>
        <v>108.9887899058682</v>
      </c>
      <c r="AY38" s="1365">
        <f t="shared" si="12"/>
        <v>1290.3368251552172</v>
      </c>
      <c r="AZ38" s="1375">
        <f t="shared" si="13"/>
        <v>-244.25899622162342</v>
      </c>
      <c r="BA38" s="1368">
        <f t="shared" si="14"/>
        <v>100.28993537819191</v>
      </c>
      <c r="BB38" s="1376">
        <f t="shared" si="15"/>
        <v>5.6252019566674711</v>
      </c>
      <c r="BC38" s="467">
        <f t="shared" si="16"/>
        <v>-11.930000000000291</v>
      </c>
      <c r="BD38" s="467">
        <f t="shared" si="17"/>
        <v>0</v>
      </c>
      <c r="BE38" s="736">
        <v>5.31</v>
      </c>
      <c r="BF38" s="736">
        <v>0</v>
      </c>
    </row>
    <row r="39" spans="1:58" s="124" customFormat="1" x14ac:dyDescent="0.25">
      <c r="A39" s="13">
        <v>32</v>
      </c>
      <c r="B39" s="573"/>
      <c r="C39" s="42" t="s">
        <v>50</v>
      </c>
      <c r="D39" s="13">
        <v>1970</v>
      </c>
      <c r="E39" s="36">
        <v>2</v>
      </c>
      <c r="F39" s="36">
        <v>12</v>
      </c>
      <c r="G39" s="36">
        <v>30</v>
      </c>
      <c r="H39" s="121">
        <v>462.9</v>
      </c>
      <c r="I39" s="707"/>
      <c r="J39" s="707"/>
      <c r="K39" s="707">
        <v>413.76</v>
      </c>
      <c r="L39" s="707">
        <v>417.73</v>
      </c>
      <c r="M39" s="707"/>
      <c r="N39" s="707"/>
      <c r="O39" s="707">
        <v>1474.08</v>
      </c>
      <c r="P39" s="707">
        <v>1488.23</v>
      </c>
      <c r="Q39" s="1365">
        <v>20700.96</v>
      </c>
      <c r="R39" s="1366">
        <v>16600.490000000002</v>
      </c>
      <c r="S39" s="1367">
        <v>1362.64</v>
      </c>
      <c r="T39" s="1367">
        <v>1103.1500000000001</v>
      </c>
      <c r="U39" s="1367">
        <v>27153</v>
      </c>
      <c r="V39" s="1367">
        <v>22776.45</v>
      </c>
      <c r="W39" s="1367">
        <f t="shared" si="0"/>
        <v>51104.44</v>
      </c>
      <c r="X39" s="1367">
        <f t="shared" si="1"/>
        <v>42386.05</v>
      </c>
      <c r="Y39" s="1492">
        <f t="shared" si="2"/>
        <v>38779.689534139681</v>
      </c>
      <c r="Z39" s="1374"/>
      <c r="AA39" s="1370">
        <f t="shared" si="3"/>
        <v>2183.2090876260677</v>
      </c>
      <c r="AB39" s="1370">
        <v>2025.66</v>
      </c>
      <c r="AC39" s="1370">
        <f t="shared" si="4"/>
        <v>235.97244787291788</v>
      </c>
      <c r="AD39" s="1371"/>
      <c r="AE39" s="1371">
        <f t="shared" si="5"/>
        <v>1017.9934675009287</v>
      </c>
      <c r="AF39" s="1371">
        <f t="shared" si="6"/>
        <v>10633.51363423902</v>
      </c>
      <c r="AG39" s="1370">
        <f t="shared" si="7"/>
        <v>1841.2616663523897</v>
      </c>
      <c r="AH39" s="1377">
        <f t="shared" ref="AH39:AH40" si="28">600614.23/25091.1*H39</f>
        <v>11080.595393067662</v>
      </c>
      <c r="AI39" s="1370">
        <f t="shared" ref="AI39:AI40" si="29">AH39*0.202</f>
        <v>2238.2802693996678</v>
      </c>
      <c r="AJ39" s="1493">
        <f t="shared" si="8"/>
        <v>31256.485966058652</v>
      </c>
      <c r="AK39" s="1414"/>
      <c r="AL39" s="1414"/>
      <c r="AM39" s="1414"/>
      <c r="AN39" s="1414"/>
      <c r="AO39" s="1414"/>
      <c r="AP39" s="1414"/>
      <c r="AQ39" s="1494">
        <f t="shared" si="9"/>
        <v>0</v>
      </c>
      <c r="AR39" s="1414"/>
      <c r="AS39" s="1414"/>
      <c r="AT39" s="1414"/>
      <c r="AU39" s="1414"/>
      <c r="AV39" s="1494">
        <f t="shared" si="10"/>
        <v>0</v>
      </c>
      <c r="AW39" s="1373"/>
      <c r="AX39" s="1374">
        <f t="shared" si="11"/>
        <v>585.95715269949346</v>
      </c>
      <c r="AY39" s="1365">
        <f t="shared" si="12"/>
        <v>6937.2464153815336</v>
      </c>
      <c r="AZ39" s="1375">
        <f t="shared" si="13"/>
        <v>12324.750465860321</v>
      </c>
      <c r="BA39" s="1368">
        <f t="shared" si="14"/>
        <v>82.940053740927397</v>
      </c>
      <c r="BB39" s="1376">
        <f t="shared" si="15"/>
        <v>9.3083914294279264</v>
      </c>
      <c r="BC39" s="467">
        <f t="shared" si="16"/>
        <v>8718.39</v>
      </c>
      <c r="BD39" s="467">
        <f t="shared" si="17"/>
        <v>4376.5499999999993</v>
      </c>
      <c r="BE39" s="736">
        <v>6.49</v>
      </c>
      <c r="BF39" s="736">
        <v>7</v>
      </c>
    </row>
    <row r="40" spans="1:58" s="124" customFormat="1" x14ac:dyDescent="0.25">
      <c r="A40" s="187">
        <v>33</v>
      </c>
      <c r="B40" s="576"/>
      <c r="C40" s="202" t="s">
        <v>51</v>
      </c>
      <c r="D40" s="187">
        <v>1971</v>
      </c>
      <c r="E40" s="187">
        <v>2</v>
      </c>
      <c r="F40" s="187">
        <v>11</v>
      </c>
      <c r="G40" s="187">
        <v>34</v>
      </c>
      <c r="H40" s="233">
        <v>464.6</v>
      </c>
      <c r="I40" s="1379"/>
      <c r="J40" s="1379"/>
      <c r="K40" s="1379">
        <v>437.54</v>
      </c>
      <c r="L40" s="1379">
        <v>456.2</v>
      </c>
      <c r="M40" s="1379"/>
      <c r="N40" s="1379"/>
      <c r="O40" s="1379">
        <v>1558.46</v>
      </c>
      <c r="P40" s="1379">
        <v>1464</v>
      </c>
      <c r="Q40" s="1380">
        <v>22283.97</v>
      </c>
      <c r="R40" s="1381">
        <v>17453.93</v>
      </c>
      <c r="S40" s="1367">
        <v>1362.04</v>
      </c>
      <c r="T40" s="1367">
        <v>994.34</v>
      </c>
      <c r="U40" s="1367">
        <v>29136.69</v>
      </c>
      <c r="V40" s="1367">
        <v>23637.59</v>
      </c>
      <c r="W40" s="1367">
        <f t="shared" si="0"/>
        <v>54778.7</v>
      </c>
      <c r="X40" s="1367">
        <f t="shared" si="1"/>
        <v>44006.06</v>
      </c>
      <c r="Y40" s="1492">
        <f t="shared" si="2"/>
        <v>41737.308687753932</v>
      </c>
      <c r="Z40" s="1078">
        <v>2822.64</v>
      </c>
      <c r="AA40" s="1370">
        <f t="shared" si="3"/>
        <v>2191.2269218212814</v>
      </c>
      <c r="AB40" s="1382">
        <v>2025.66</v>
      </c>
      <c r="AC40" s="1370">
        <f t="shared" si="4"/>
        <v>236.83905656028875</v>
      </c>
      <c r="AD40" s="1371"/>
      <c r="AE40" s="1371">
        <f t="shared" si="5"/>
        <v>1021.7320479605346</v>
      </c>
      <c r="AF40" s="1371">
        <f t="shared" si="6"/>
        <v>10672.565207317884</v>
      </c>
      <c r="AG40" s="1370">
        <f t="shared" si="7"/>
        <v>1848.0236988276527</v>
      </c>
      <c r="AH40" s="1377">
        <f t="shared" si="28"/>
        <v>11121.288873664369</v>
      </c>
      <c r="AI40" s="1370">
        <f t="shared" si="29"/>
        <v>2246.5003524802028</v>
      </c>
      <c r="AJ40" s="1493">
        <f t="shared" si="8"/>
        <v>34186.476158632213</v>
      </c>
      <c r="AK40" s="1414"/>
      <c r="AL40" s="1414"/>
      <c r="AM40" s="1414"/>
      <c r="AN40" s="1414"/>
      <c r="AO40" s="1414"/>
      <c r="AP40" s="1414"/>
      <c r="AQ40" s="1494">
        <f t="shared" si="9"/>
        <v>0</v>
      </c>
      <c r="AR40" s="1414"/>
      <c r="AS40" s="1414"/>
      <c r="AT40" s="1414"/>
      <c r="AU40" s="1414"/>
      <c r="AV40" s="1494">
        <f t="shared" si="10"/>
        <v>0</v>
      </c>
      <c r="AW40" s="1373"/>
      <c r="AX40" s="1374">
        <f t="shared" si="11"/>
        <v>588.10908002632254</v>
      </c>
      <c r="AY40" s="1365">
        <f t="shared" si="12"/>
        <v>6962.7234490954006</v>
      </c>
      <c r="AZ40" s="1375">
        <f t="shared" si="13"/>
        <v>13041.391312246065</v>
      </c>
      <c r="BA40" s="1368">
        <f t="shared" si="14"/>
        <v>80.334254007488312</v>
      </c>
      <c r="BB40" s="1376">
        <f t="shared" si="15"/>
        <v>9.9816589390524548</v>
      </c>
      <c r="BC40" s="467">
        <f t="shared" si="16"/>
        <v>10772.64</v>
      </c>
      <c r="BD40" s="467">
        <f t="shared" si="17"/>
        <v>5499.0999999999985</v>
      </c>
      <c r="BE40" s="736">
        <v>6.49</v>
      </c>
      <c r="BF40" s="736">
        <v>7</v>
      </c>
    </row>
    <row r="41" spans="1:58" s="124" customFormat="1" x14ac:dyDescent="0.25">
      <c r="A41" s="7"/>
      <c r="B41" s="578"/>
      <c r="C41" s="457" t="s">
        <v>52</v>
      </c>
      <c r="D41" s="7"/>
      <c r="E41" s="7"/>
      <c r="F41" s="458">
        <f>SUM(F9:F40)</f>
        <v>543</v>
      </c>
      <c r="G41" s="458">
        <f>SUM(G9:G40)</f>
        <v>1407</v>
      </c>
      <c r="H41" s="288">
        <f>SUM(H8:H40)</f>
        <v>26213.249999999989</v>
      </c>
      <c r="I41" s="288">
        <f t="shared" ref="I41:AR41" si="30">SUM(I8:I40)</f>
        <v>254472.75</v>
      </c>
      <c r="J41" s="288">
        <f t="shared" si="30"/>
        <v>295494.23999999993</v>
      </c>
      <c r="K41" s="288">
        <f t="shared" si="30"/>
        <v>25010.99</v>
      </c>
      <c r="L41" s="288">
        <f t="shared" si="30"/>
        <v>28374.25</v>
      </c>
      <c r="M41" s="288">
        <f t="shared" si="30"/>
        <v>61711.81</v>
      </c>
      <c r="N41" s="288">
        <f t="shared" si="30"/>
        <v>71626.78</v>
      </c>
      <c r="O41" s="288">
        <f t="shared" si="30"/>
        <v>261964.65999999995</v>
      </c>
      <c r="P41" s="288">
        <f t="shared" si="30"/>
        <v>296226.11</v>
      </c>
      <c r="Q41" s="288">
        <f t="shared" si="30"/>
        <v>2109606.1200000006</v>
      </c>
      <c r="R41" s="288">
        <f t="shared" si="30"/>
        <v>1948902.4500000002</v>
      </c>
      <c r="S41" s="288">
        <f t="shared" si="30"/>
        <v>69694.889999999985</v>
      </c>
      <c r="T41" s="288">
        <f t="shared" si="30"/>
        <v>62172.040000000008</v>
      </c>
      <c r="U41" s="288">
        <f t="shared" si="30"/>
        <v>679163.86999999988</v>
      </c>
      <c r="V41" s="288">
        <f t="shared" si="30"/>
        <v>643962.99999999977</v>
      </c>
      <c r="W41" s="288">
        <f t="shared" si="30"/>
        <v>3461625.0900000008</v>
      </c>
      <c r="X41" s="288">
        <f t="shared" si="30"/>
        <v>3346758.87</v>
      </c>
      <c r="Y41" s="1044">
        <f t="shared" si="30"/>
        <v>3241595.7779461718</v>
      </c>
      <c r="Z41" s="288">
        <f t="shared" si="30"/>
        <v>67534.09</v>
      </c>
      <c r="AA41" s="288">
        <f t="shared" si="30"/>
        <v>123631.4660103997</v>
      </c>
      <c r="AB41" s="288">
        <f t="shared" si="30"/>
        <v>53874.010000000009</v>
      </c>
      <c r="AC41" s="288">
        <f t="shared" si="30"/>
        <v>13362.723631896233</v>
      </c>
      <c r="AD41" s="288">
        <f t="shared" si="30"/>
        <v>12676.4</v>
      </c>
      <c r="AE41" s="288">
        <f t="shared" si="30"/>
        <v>57647.261313391056</v>
      </c>
      <c r="AF41" s="288">
        <f t="shared" si="30"/>
        <v>602158.02824090724</v>
      </c>
      <c r="AG41" s="288">
        <f t="shared" si="30"/>
        <v>104267.55751892808</v>
      </c>
      <c r="AH41" s="288">
        <f t="shared" si="30"/>
        <v>599716.57969271997</v>
      </c>
      <c r="AI41" s="288">
        <f t="shared" si="30"/>
        <v>121142.74909792939</v>
      </c>
      <c r="AJ41" s="1044">
        <f t="shared" si="30"/>
        <v>1756010.8655061715</v>
      </c>
      <c r="AK41" s="288">
        <f t="shared" si="30"/>
        <v>153672.77000000002</v>
      </c>
      <c r="AL41" s="288">
        <f t="shared" si="30"/>
        <v>9000</v>
      </c>
      <c r="AM41" s="288">
        <f t="shared" si="30"/>
        <v>179263.48</v>
      </c>
      <c r="AN41" s="288">
        <f t="shared" si="30"/>
        <v>148738.27000000002</v>
      </c>
      <c r="AO41" s="288">
        <f t="shared" si="30"/>
        <v>53792.97</v>
      </c>
      <c r="AP41" s="288">
        <f t="shared" si="30"/>
        <v>87679.07</v>
      </c>
      <c r="AQ41" s="1044">
        <f t="shared" si="30"/>
        <v>632146.55999999982</v>
      </c>
      <c r="AR41" s="288">
        <f t="shared" si="30"/>
        <v>1172.6200000000001</v>
      </c>
      <c r="AS41" s="639">
        <f t="shared" ref="AS41:AY41" si="31">SUM(AS9:AS40)</f>
        <v>2426.41</v>
      </c>
      <c r="AT41" s="639">
        <f t="shared" si="31"/>
        <v>297744.21999999991</v>
      </c>
      <c r="AU41" s="639">
        <f t="shared" si="31"/>
        <v>60144.332439999984</v>
      </c>
      <c r="AV41" s="638">
        <f t="shared" si="31"/>
        <v>361487.58243999997</v>
      </c>
      <c r="AW41" s="639">
        <f t="shared" si="31"/>
        <v>65924.38</v>
      </c>
      <c r="AX41" s="639">
        <f t="shared" si="31"/>
        <v>33181.769999999997</v>
      </c>
      <c r="AY41" s="639">
        <f t="shared" si="31"/>
        <v>392844.62000000005</v>
      </c>
      <c r="AZ41" s="1456">
        <f t="shared" si="13"/>
        <v>220029.31205382897</v>
      </c>
      <c r="BA41" s="1383">
        <f t="shared" si="14"/>
        <v>96.681725576469034</v>
      </c>
      <c r="BB41" s="1384">
        <f t="shared" si="15"/>
        <v>13.74027671733516</v>
      </c>
      <c r="BC41" s="1027">
        <f t="shared" si="16"/>
        <v>114866.22000000067</v>
      </c>
      <c r="BD41" s="1027">
        <f t="shared" si="16"/>
        <v>105163.0920538283</v>
      </c>
      <c r="BE41" s="736"/>
      <c r="BF41" s="736"/>
    </row>
    <row r="42" spans="1:58" x14ac:dyDescent="0.25">
      <c r="Z42" s="1067"/>
      <c r="AH42" s="1068"/>
      <c r="AK42" t="s">
        <v>180</v>
      </c>
      <c r="AL42" t="s">
        <v>180</v>
      </c>
      <c r="AM42" t="s">
        <v>180</v>
      </c>
      <c r="AN42" t="s">
        <v>180</v>
      </c>
      <c r="AO42" t="s">
        <v>180</v>
      </c>
      <c r="AP42" t="s">
        <v>180</v>
      </c>
      <c r="BC42" s="250"/>
      <c r="BD42" s="250"/>
      <c r="BE42" s="250"/>
    </row>
    <row r="43" spans="1:58" x14ac:dyDescent="0.25">
      <c r="A43" s="9"/>
      <c r="B43" s="9"/>
      <c r="C43" s="295" t="s">
        <v>327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108"/>
      <c r="T43" s="9"/>
      <c r="U43" s="9"/>
      <c r="V43" s="9"/>
      <c r="W43" s="9"/>
      <c r="X43" s="9"/>
      <c r="Y43" s="9"/>
      <c r="Z43" s="1412">
        <f>Z41+AA41</f>
        <v>191165.55601039971</v>
      </c>
      <c r="AA43" s="9"/>
      <c r="AB43" s="9"/>
      <c r="AC43" s="9"/>
      <c r="AD43" s="9"/>
      <c r="AE43" s="9"/>
      <c r="AF43" s="9"/>
      <c r="AG43" s="9"/>
      <c r="AH43" s="1448">
        <f>AH41+AI41</f>
        <v>720859.32879064931</v>
      </c>
      <c r="AI43" s="9"/>
      <c r="AJ43" s="9"/>
      <c r="AK43" s="9"/>
      <c r="AL43" s="9"/>
      <c r="AM43" s="9"/>
      <c r="AN43" s="9"/>
      <c r="AO43" s="9"/>
      <c r="AP43" s="9"/>
      <c r="AQ43" s="9"/>
      <c r="AR43" s="351">
        <f>AR41+AS41</f>
        <v>3599.0299999999997</v>
      </c>
      <c r="AS43" s="9"/>
      <c r="AT43" s="1449">
        <f>AT41+AU41</f>
        <v>357888.55243999988</v>
      </c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86"/>
    </row>
    <row r="44" spans="1:58" ht="15.75" x14ac:dyDescent="0.25">
      <c r="A44" s="87"/>
      <c r="B44" s="87"/>
      <c r="C44" s="14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1411">
        <f>I41+K41+M41+O41+Q41+S41+U41</f>
        <v>3461625.0900000008</v>
      </c>
      <c r="X44" s="1411">
        <f>J41+L41+N41+P41+R41+T41+V41</f>
        <v>3346758.87</v>
      </c>
      <c r="Y44" s="9"/>
      <c r="Z44" s="9" t="s">
        <v>180</v>
      </c>
      <c r="AA44" s="9"/>
      <c r="AB44" s="9" t="s">
        <v>180</v>
      </c>
      <c r="AC44" s="9" t="s">
        <v>180</v>
      </c>
      <c r="AD44" s="9" t="s">
        <v>180</v>
      </c>
      <c r="AE44" s="1413" t="s">
        <v>180</v>
      </c>
      <c r="AF44" s="1413" t="s">
        <v>180</v>
      </c>
      <c r="AG44" s="9"/>
      <c r="AH44" s="1413" t="s">
        <v>180</v>
      </c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86"/>
    </row>
    <row r="45" spans="1:58" ht="18" x14ac:dyDescent="0.25">
      <c r="A45" s="87"/>
      <c r="B45" s="87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86"/>
    </row>
    <row r="46" spans="1:58" x14ac:dyDescent="0.25">
      <c r="A46" s="2208"/>
      <c r="B46" s="1362"/>
      <c r="C46" s="2208"/>
      <c r="D46" s="2208"/>
      <c r="E46" s="2208"/>
      <c r="F46" s="2208"/>
      <c r="G46" s="2208"/>
      <c r="H46" s="2208"/>
      <c r="I46" s="1362"/>
      <c r="J46" s="1362"/>
      <c r="K46" s="1362"/>
      <c r="L46" s="1362"/>
      <c r="M46" s="1362"/>
      <c r="N46" s="1362"/>
      <c r="O46" s="1362"/>
      <c r="P46" s="1362"/>
      <c r="Q46" s="1362"/>
      <c r="R46" s="1362"/>
      <c r="S46" s="1362"/>
      <c r="T46" s="1362"/>
      <c r="U46" s="1396"/>
      <c r="V46" s="1396"/>
      <c r="W46" s="1362"/>
      <c r="X46" s="1362"/>
      <c r="Y46" s="2208"/>
      <c r="Z46" s="2209"/>
      <c r="AA46" s="2209"/>
      <c r="AB46" s="2209"/>
      <c r="AC46" s="2209"/>
      <c r="AD46" s="2209"/>
      <c r="AE46" s="1410"/>
      <c r="AF46" s="1410"/>
      <c r="AG46" s="2209"/>
      <c r="AH46" s="2209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83"/>
    </row>
    <row r="47" spans="1:58" x14ac:dyDescent="0.25">
      <c r="A47" s="2208"/>
      <c r="B47" s="1362"/>
      <c r="C47" s="2208"/>
      <c r="D47" s="2208"/>
      <c r="E47" s="2208"/>
      <c r="F47" s="2208"/>
      <c r="G47" s="2208"/>
      <c r="H47" s="2208"/>
      <c r="I47" s="1362"/>
      <c r="J47" s="1362"/>
      <c r="K47" s="1362"/>
      <c r="L47" s="1362"/>
      <c r="M47" s="1362"/>
      <c r="N47" s="1362"/>
      <c r="O47" s="1362"/>
      <c r="P47" s="1362"/>
      <c r="Q47" s="1362"/>
      <c r="R47" s="1362"/>
      <c r="S47" s="1362"/>
      <c r="T47" s="1362"/>
      <c r="U47" s="1396"/>
      <c r="V47" s="1396"/>
      <c r="W47" s="1362"/>
      <c r="X47" s="1362"/>
      <c r="Y47" s="2208"/>
      <c r="Z47" s="2209"/>
      <c r="AA47" s="2209"/>
      <c r="AB47" s="2209"/>
      <c r="AC47" s="2209"/>
      <c r="AD47" s="2209"/>
      <c r="AE47" s="1410"/>
      <c r="AF47" s="1410"/>
      <c r="AG47" s="2209"/>
      <c r="AH47" s="2209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83"/>
    </row>
    <row r="48" spans="1:58" s="124" customFormat="1" ht="15.75" customHeight="1" x14ac:dyDescent="0.25">
      <c r="A48" s="296"/>
      <c r="B48" s="296"/>
      <c r="C48" s="1450" t="s">
        <v>728</v>
      </c>
      <c r="D48" s="296"/>
      <c r="E48" s="296"/>
      <c r="F48" s="296"/>
      <c r="G48" s="296"/>
      <c r="H48" s="1450" t="s">
        <v>730</v>
      </c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6"/>
      <c r="AZ48" s="296"/>
      <c r="BA48" s="296"/>
      <c r="BB48" s="223"/>
      <c r="BC48" s="223"/>
      <c r="BD48" s="223"/>
      <c r="BE48" s="35"/>
    </row>
    <row r="49" spans="1:57" s="124" customFormat="1" ht="18" customHeight="1" x14ac:dyDescent="0.25">
      <c r="A49" s="296"/>
      <c r="B49" s="296"/>
      <c r="C49" s="1450"/>
      <c r="D49" s="296"/>
      <c r="E49" s="296"/>
      <c r="F49" s="296"/>
      <c r="G49" s="296"/>
      <c r="H49" s="1450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  <c r="AV49" s="296"/>
      <c r="AW49" s="296"/>
      <c r="AX49" s="296"/>
      <c r="AY49" s="296"/>
      <c r="AZ49" s="296"/>
      <c r="BA49" s="296"/>
      <c r="BB49" s="223"/>
      <c r="BC49" s="223"/>
      <c r="BD49" s="223"/>
      <c r="BE49" s="35"/>
    </row>
    <row r="50" spans="1:57" s="124" customFormat="1" ht="14.25" customHeight="1" x14ac:dyDescent="0.25">
      <c r="A50" s="1452"/>
      <c r="B50" s="1452"/>
      <c r="C50" s="1453" t="s">
        <v>729</v>
      </c>
      <c r="D50" s="1452"/>
      <c r="E50" s="1452"/>
      <c r="F50" s="1452"/>
      <c r="G50" s="1452"/>
      <c r="H50" s="862">
        <v>2625.8</v>
      </c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6"/>
      <c r="AZ50" s="296"/>
      <c r="BA50" s="296"/>
      <c r="BB50" s="223"/>
      <c r="BC50" s="223"/>
      <c r="BD50" s="223"/>
      <c r="BE50" s="35"/>
    </row>
    <row r="51" spans="1:57" s="124" customFormat="1" ht="13.5" customHeight="1" x14ac:dyDescent="0.25">
      <c r="A51" s="1452"/>
      <c r="B51" s="1452"/>
      <c r="C51" s="1453" t="s">
        <v>731</v>
      </c>
      <c r="D51" s="1452"/>
      <c r="E51" s="1452"/>
      <c r="F51" s="1452"/>
      <c r="G51" s="1452"/>
      <c r="H51" s="1454">
        <v>3240.38</v>
      </c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  <c r="AU51" s="296"/>
      <c r="AV51" s="296"/>
      <c r="AW51" s="296"/>
      <c r="AX51" s="296"/>
      <c r="AY51" s="296"/>
      <c r="AZ51" s="296"/>
      <c r="BA51" s="296"/>
      <c r="BB51" s="223"/>
      <c r="BC51" s="223"/>
      <c r="BD51" s="223"/>
      <c r="BE51" s="35"/>
    </row>
    <row r="52" spans="1:57" s="124" customFormat="1" ht="15.75" customHeight="1" x14ac:dyDescent="0.25">
      <c r="A52" s="1452"/>
      <c r="B52" s="1452"/>
      <c r="C52" s="1453" t="s">
        <v>732</v>
      </c>
      <c r="D52" s="1452"/>
      <c r="E52" s="1452"/>
      <c r="F52" s="1452"/>
      <c r="G52" s="1452"/>
      <c r="H52" s="1454">
        <v>3236.3</v>
      </c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6"/>
      <c r="AZ52" s="296"/>
      <c r="BA52" s="296"/>
      <c r="BB52" s="223"/>
      <c r="BC52" s="223"/>
      <c r="BD52" s="223"/>
      <c r="BE52" s="35"/>
    </row>
    <row r="53" spans="1:57" s="124" customFormat="1" ht="15" customHeight="1" x14ac:dyDescent="0.25">
      <c r="A53" s="1452"/>
      <c r="B53" s="1452"/>
      <c r="C53" s="1453" t="s">
        <v>733</v>
      </c>
      <c r="D53" s="1452"/>
      <c r="E53" s="1452"/>
      <c r="F53" s="1452"/>
      <c r="G53" s="1452"/>
      <c r="H53" s="1454">
        <v>3236.3</v>
      </c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  <c r="AU53" s="296"/>
      <c r="AV53" s="296"/>
      <c r="AW53" s="296"/>
      <c r="AX53" s="296"/>
      <c r="AY53" s="296"/>
      <c r="AZ53" s="296"/>
      <c r="BA53" s="296"/>
      <c r="BB53" s="223"/>
      <c r="BC53" s="223"/>
      <c r="BD53" s="223"/>
      <c r="BE53" s="35"/>
    </row>
    <row r="54" spans="1:57" s="124" customFormat="1" ht="15" customHeight="1" x14ac:dyDescent="0.25">
      <c r="A54" s="1452"/>
      <c r="B54" s="1452"/>
      <c r="C54" s="1453" t="s">
        <v>734</v>
      </c>
      <c r="D54" s="1452"/>
      <c r="E54" s="1452"/>
      <c r="F54" s="1452"/>
      <c r="G54" s="1452"/>
      <c r="H54" s="1454">
        <v>1466.1</v>
      </c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6"/>
      <c r="AZ54" s="296"/>
      <c r="BA54" s="296"/>
      <c r="BB54" s="223"/>
      <c r="BC54" s="223"/>
      <c r="BD54" s="223"/>
      <c r="BE54" s="35"/>
    </row>
    <row r="55" spans="1:57" s="124" customFormat="1" ht="15" customHeight="1" x14ac:dyDescent="0.25">
      <c r="A55" s="1452"/>
      <c r="B55" s="1452"/>
      <c r="C55" s="1453"/>
      <c r="D55" s="1452"/>
      <c r="E55" s="1452"/>
      <c r="F55" s="1452"/>
      <c r="G55" s="1452"/>
      <c r="H55" s="862">
        <f>SUM(H50:H54)</f>
        <v>13804.88</v>
      </c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  <c r="AU55" s="296"/>
      <c r="AV55" s="296"/>
      <c r="AW55" s="296"/>
      <c r="AX55" s="296"/>
      <c r="AY55" s="296"/>
      <c r="AZ55" s="296"/>
      <c r="BA55" s="296"/>
      <c r="BB55" s="223"/>
      <c r="BC55" s="223"/>
      <c r="BD55" s="223"/>
      <c r="BE55" s="35"/>
    </row>
    <row r="56" spans="1:57" s="124" customFormat="1" ht="15" customHeight="1" x14ac:dyDescent="0.25">
      <c r="A56" s="296"/>
      <c r="B56" s="296"/>
      <c r="C56" s="1450"/>
      <c r="D56" s="296"/>
      <c r="E56" s="296"/>
      <c r="F56" s="296"/>
      <c r="G56" s="296"/>
      <c r="H56" s="1451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6"/>
      <c r="AZ56" s="296"/>
      <c r="BA56" s="296"/>
      <c r="BB56" s="223"/>
      <c r="BC56" s="223"/>
      <c r="BD56" s="223"/>
      <c r="BE56" s="35"/>
    </row>
    <row r="57" spans="1:57" s="124" customFormat="1" ht="15" customHeight="1" x14ac:dyDescent="0.25">
      <c r="A57" s="296"/>
      <c r="B57" s="296"/>
      <c r="C57" s="1450"/>
      <c r="D57" s="296"/>
      <c r="E57" s="296"/>
      <c r="F57" s="296"/>
      <c r="G57" s="296"/>
      <c r="H57" s="1451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  <c r="AW57" s="296"/>
      <c r="AX57" s="296"/>
      <c r="AY57" s="296"/>
      <c r="AZ57" s="296"/>
      <c r="BA57" s="296"/>
      <c r="BB57" s="223"/>
      <c r="BC57" s="223"/>
      <c r="BD57" s="223"/>
      <c r="BE57" s="35"/>
    </row>
    <row r="58" spans="1:57" s="124" customFormat="1" ht="15" customHeight="1" x14ac:dyDescent="0.25">
      <c r="A58" s="296"/>
      <c r="B58" s="296"/>
      <c r="C58" s="1450"/>
      <c r="D58" s="296"/>
      <c r="E58" s="296"/>
      <c r="F58" s="296"/>
      <c r="G58" s="296"/>
      <c r="H58" s="1451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  <c r="AU58" s="296"/>
      <c r="AV58" s="296"/>
      <c r="AW58" s="296"/>
      <c r="AX58" s="296"/>
      <c r="AY58" s="296"/>
      <c r="AZ58" s="296"/>
      <c r="BA58" s="296"/>
      <c r="BB58" s="223"/>
      <c r="BC58" s="223"/>
      <c r="BD58" s="223"/>
      <c r="BE58" s="35"/>
    </row>
    <row r="59" spans="1:57" s="124" customFormat="1" ht="15" customHeight="1" x14ac:dyDescent="0.25">
      <c r="A59" s="296"/>
      <c r="B59" s="296"/>
      <c r="C59" s="1450"/>
      <c r="D59" s="296"/>
      <c r="E59" s="296"/>
      <c r="F59" s="296"/>
      <c r="G59" s="296"/>
      <c r="H59" s="1451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  <c r="AU59" s="296"/>
      <c r="AV59" s="296"/>
      <c r="AW59" s="296"/>
      <c r="AX59" s="296"/>
      <c r="AY59" s="296"/>
      <c r="AZ59" s="296"/>
      <c r="BA59" s="296"/>
      <c r="BB59" s="223"/>
      <c r="BC59" s="223"/>
      <c r="BD59" s="223"/>
      <c r="BE59" s="35"/>
    </row>
    <row r="60" spans="1:57" s="124" customFormat="1" ht="15" customHeight="1" x14ac:dyDescent="0.25">
      <c r="A60" s="296"/>
      <c r="B60" s="296"/>
      <c r="C60" s="1450"/>
      <c r="D60" s="296"/>
      <c r="E60" s="296"/>
      <c r="F60" s="296"/>
      <c r="G60" s="296"/>
      <c r="H60" s="1451"/>
      <c r="I60" s="296"/>
      <c r="J60" s="296"/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96"/>
      <c r="AU60" s="296"/>
      <c r="AV60" s="296"/>
      <c r="AW60" s="296"/>
      <c r="AX60" s="296"/>
      <c r="AY60" s="296"/>
      <c r="AZ60" s="296"/>
      <c r="BA60" s="296"/>
      <c r="BB60" s="223"/>
      <c r="BC60" s="223"/>
      <c r="BD60" s="223"/>
      <c r="BE60" s="35"/>
    </row>
    <row r="61" spans="1:57" s="124" customFormat="1" ht="15" customHeight="1" x14ac:dyDescent="0.25">
      <c r="A61" s="296"/>
      <c r="B61" s="296"/>
      <c r="C61" s="1450"/>
      <c r="D61" s="296"/>
      <c r="E61" s="296"/>
      <c r="F61" s="296"/>
      <c r="G61" s="296"/>
      <c r="H61" s="1451"/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96"/>
      <c r="AU61" s="296"/>
      <c r="AV61" s="296"/>
      <c r="AW61" s="296"/>
      <c r="AX61" s="296"/>
      <c r="AY61" s="296"/>
      <c r="AZ61" s="296"/>
      <c r="BA61" s="296"/>
      <c r="BB61" s="223"/>
      <c r="BC61" s="223"/>
      <c r="BD61" s="223"/>
      <c r="BE61" s="35"/>
    </row>
    <row r="62" spans="1:57" s="124" customFormat="1" ht="15" customHeight="1" x14ac:dyDescent="0.25">
      <c r="A62" s="296"/>
      <c r="B62" s="296"/>
      <c r="C62" s="1450"/>
      <c r="D62" s="296"/>
      <c r="E62" s="296"/>
      <c r="F62" s="296"/>
      <c r="G62" s="296"/>
      <c r="H62" s="1451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96"/>
      <c r="AU62" s="296"/>
      <c r="AV62" s="296"/>
      <c r="AW62" s="296"/>
      <c r="AX62" s="296"/>
      <c r="AY62" s="296"/>
      <c r="AZ62" s="296"/>
      <c r="BA62" s="296"/>
      <c r="BB62" s="223"/>
      <c r="BC62" s="223"/>
      <c r="BD62" s="223"/>
      <c r="BE62" s="35"/>
    </row>
    <row r="63" spans="1:57" s="124" customFormat="1" ht="15" customHeight="1" x14ac:dyDescent="0.25">
      <c r="A63" s="296"/>
      <c r="B63" s="296"/>
      <c r="C63" s="1450"/>
      <c r="D63" s="296"/>
      <c r="E63" s="296"/>
      <c r="F63" s="296"/>
      <c r="G63" s="296"/>
      <c r="H63" s="1451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23"/>
      <c r="BC63" s="223"/>
      <c r="BD63" s="223"/>
      <c r="BE63" s="35"/>
    </row>
    <row r="64" spans="1:57" s="124" customFormat="1" ht="15" customHeight="1" x14ac:dyDescent="0.25">
      <c r="A64" s="296"/>
      <c r="B64" s="296"/>
      <c r="C64" s="1450"/>
      <c r="D64" s="296"/>
      <c r="E64" s="296"/>
      <c r="F64" s="296"/>
      <c r="G64" s="296"/>
      <c r="H64" s="1451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23"/>
      <c r="BC64" s="223"/>
      <c r="BD64" s="223"/>
      <c r="BE64" s="35"/>
    </row>
    <row r="65" spans="1:57" s="124" customFormat="1" ht="15" customHeight="1" x14ac:dyDescent="0.25">
      <c r="A65" s="296"/>
      <c r="B65" s="296"/>
      <c r="C65" s="1450"/>
      <c r="D65" s="296"/>
      <c r="E65" s="296"/>
      <c r="F65" s="296"/>
      <c r="G65" s="296"/>
      <c r="H65" s="1450"/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96"/>
      <c r="AU65" s="296"/>
      <c r="AV65" s="296"/>
      <c r="AW65" s="296"/>
      <c r="AX65" s="296"/>
      <c r="AY65" s="296"/>
      <c r="AZ65" s="296"/>
      <c r="BA65" s="296"/>
      <c r="BB65" s="223"/>
      <c r="BC65" s="223"/>
      <c r="BD65" s="223"/>
      <c r="BE65" s="35"/>
    </row>
    <row r="66" spans="1:57" s="124" customFormat="1" ht="15" customHeight="1" x14ac:dyDescent="0.25">
      <c r="A66" s="296"/>
      <c r="B66" s="296"/>
      <c r="C66" s="1450"/>
      <c r="D66" s="296"/>
      <c r="E66" s="296"/>
      <c r="F66" s="296"/>
      <c r="G66" s="296"/>
      <c r="H66" s="1450"/>
      <c r="I66" s="296"/>
      <c r="J66" s="296"/>
      <c r="K66" s="296"/>
      <c r="L66" s="296"/>
      <c r="M66" s="296"/>
      <c r="N66" s="296"/>
      <c r="O66" s="296"/>
      <c r="P66" s="296"/>
      <c r="Q66" s="296"/>
      <c r="R66" s="296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296"/>
      <c r="AN66" s="296"/>
      <c r="AO66" s="296"/>
      <c r="AP66" s="296"/>
      <c r="AQ66" s="296"/>
      <c r="AR66" s="296"/>
      <c r="AS66" s="296"/>
      <c r="AT66" s="296"/>
      <c r="AU66" s="296"/>
      <c r="AV66" s="296"/>
      <c r="AW66" s="296"/>
      <c r="AX66" s="296"/>
      <c r="AY66" s="296"/>
      <c r="AZ66" s="296"/>
      <c r="BA66" s="296"/>
      <c r="BB66" s="223"/>
      <c r="BC66" s="223"/>
      <c r="BD66" s="223"/>
      <c r="BE66" s="35"/>
    </row>
    <row r="67" spans="1:57" s="124" customFormat="1" ht="15" customHeight="1" x14ac:dyDescent="0.25">
      <c r="A67" s="296"/>
      <c r="B67" s="296"/>
      <c r="C67" s="1450"/>
      <c r="D67" s="296"/>
      <c r="E67" s="296"/>
      <c r="F67" s="296"/>
      <c r="G67" s="296"/>
      <c r="H67" s="296"/>
      <c r="I67" s="296"/>
      <c r="J67" s="296"/>
      <c r="K67" s="296"/>
      <c r="L67" s="296"/>
      <c r="M67" s="296"/>
      <c r="N67" s="296"/>
      <c r="O67" s="296"/>
      <c r="P67" s="296"/>
      <c r="Q67" s="296"/>
      <c r="R67" s="296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296"/>
      <c r="AN67" s="296"/>
      <c r="AO67" s="296"/>
      <c r="AP67" s="296"/>
      <c r="AQ67" s="296"/>
      <c r="AR67" s="296"/>
      <c r="AS67" s="296"/>
      <c r="AT67" s="296"/>
      <c r="AU67" s="296"/>
      <c r="AV67" s="296"/>
      <c r="AW67" s="296"/>
      <c r="AX67" s="296"/>
      <c r="AY67" s="296"/>
      <c r="AZ67" s="296"/>
      <c r="BA67" s="296"/>
      <c r="BB67" s="223"/>
      <c r="BC67" s="223"/>
      <c r="BD67" s="223"/>
      <c r="BE67" s="35"/>
    </row>
    <row r="68" spans="1:57" s="124" customFormat="1" ht="15" customHeight="1" x14ac:dyDescent="0.25">
      <c r="A68" s="296"/>
      <c r="B68" s="296"/>
      <c r="C68" s="1450"/>
      <c r="D68" s="296"/>
      <c r="E68" s="296"/>
      <c r="F68" s="296"/>
      <c r="G68" s="296"/>
      <c r="H68" s="296"/>
      <c r="I68" s="296"/>
      <c r="J68" s="296"/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296"/>
      <c r="AN68" s="296"/>
      <c r="AO68" s="296"/>
      <c r="AP68" s="296"/>
      <c r="AQ68" s="296"/>
      <c r="AR68" s="296"/>
      <c r="AS68" s="296"/>
      <c r="AT68" s="296"/>
      <c r="AU68" s="296"/>
      <c r="AV68" s="296"/>
      <c r="AW68" s="296"/>
      <c r="AX68" s="296"/>
      <c r="AY68" s="296"/>
      <c r="AZ68" s="296"/>
      <c r="BA68" s="296"/>
      <c r="BB68" s="223"/>
      <c r="BC68" s="223"/>
      <c r="BD68" s="223"/>
      <c r="BE68" s="35"/>
    </row>
    <row r="69" spans="1:57" s="124" customFormat="1" ht="15" customHeight="1" x14ac:dyDescent="0.25">
      <c r="A69" s="296"/>
      <c r="B69" s="296"/>
      <c r="C69" s="1450"/>
      <c r="D69" s="296"/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  <c r="AU69" s="296"/>
      <c r="AV69" s="296"/>
      <c r="AW69" s="296"/>
      <c r="AX69" s="296"/>
      <c r="AY69" s="296"/>
      <c r="AZ69" s="296"/>
      <c r="BA69" s="296"/>
      <c r="BB69" s="223"/>
      <c r="BC69" s="223"/>
      <c r="BD69" s="223"/>
      <c r="BE69" s="35"/>
    </row>
    <row r="70" spans="1:57" s="124" customFormat="1" ht="15" customHeight="1" x14ac:dyDescent="0.25">
      <c r="A70" s="296"/>
      <c r="B70" s="296"/>
      <c r="C70" s="1450"/>
      <c r="D70" s="296"/>
      <c r="E70" s="296"/>
      <c r="F70" s="296"/>
      <c r="G70" s="296"/>
      <c r="H70" s="296"/>
      <c r="I70" s="296"/>
      <c r="J70" s="296"/>
      <c r="K70" s="296"/>
      <c r="L70" s="296"/>
      <c r="M70" s="296"/>
      <c r="N70" s="296"/>
      <c r="O70" s="296"/>
      <c r="P70" s="296"/>
      <c r="Q70" s="296"/>
      <c r="R70" s="296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296"/>
      <c r="AN70" s="296"/>
      <c r="AO70" s="296"/>
      <c r="AP70" s="296"/>
      <c r="AQ70" s="296"/>
      <c r="AR70" s="296"/>
      <c r="AS70" s="296"/>
      <c r="AT70" s="296"/>
      <c r="AU70" s="296"/>
      <c r="AV70" s="296"/>
      <c r="AW70" s="296"/>
      <c r="AX70" s="296"/>
      <c r="AY70" s="296"/>
      <c r="AZ70" s="296"/>
      <c r="BA70" s="296"/>
      <c r="BB70" s="223"/>
      <c r="BC70" s="223"/>
      <c r="BD70" s="223"/>
      <c r="BE70" s="35"/>
    </row>
    <row r="71" spans="1:57" s="124" customFormat="1" ht="15" customHeight="1" x14ac:dyDescent="0.25">
      <c r="A71" s="296"/>
      <c r="B71" s="296"/>
      <c r="C71" s="1450"/>
      <c r="D71" s="296"/>
      <c r="E71" s="296"/>
      <c r="F71" s="296"/>
      <c r="G71" s="296"/>
      <c r="H71" s="296"/>
      <c r="I71" s="296"/>
      <c r="J71" s="296"/>
      <c r="K71" s="296"/>
      <c r="L71" s="296"/>
      <c r="M71" s="296"/>
      <c r="N71" s="296"/>
      <c r="O71" s="296"/>
      <c r="P71" s="296"/>
      <c r="Q71" s="296"/>
      <c r="R71" s="296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296"/>
      <c r="AN71" s="296"/>
      <c r="AO71" s="296"/>
      <c r="AP71" s="296"/>
      <c r="AQ71" s="296"/>
      <c r="AR71" s="296"/>
      <c r="AS71" s="296"/>
      <c r="AT71" s="296"/>
      <c r="AU71" s="296"/>
      <c r="AV71" s="296"/>
      <c r="AW71" s="296"/>
      <c r="AX71" s="296"/>
      <c r="AY71" s="296"/>
      <c r="AZ71" s="296"/>
      <c r="BA71" s="296"/>
      <c r="BB71" s="223"/>
      <c r="BC71" s="223"/>
      <c r="BD71" s="223"/>
      <c r="BE71" s="35"/>
    </row>
    <row r="72" spans="1:57" s="124" customFormat="1" ht="15" customHeight="1" x14ac:dyDescent="0.25">
      <c r="A72" s="296"/>
      <c r="B72" s="296"/>
      <c r="C72" s="1450"/>
      <c r="D72" s="296"/>
      <c r="E72" s="296"/>
      <c r="F72" s="296"/>
      <c r="G72" s="296"/>
      <c r="H72" s="296"/>
      <c r="I72" s="296"/>
      <c r="J72" s="296"/>
      <c r="K72" s="296"/>
      <c r="L72" s="296"/>
      <c r="M72" s="296"/>
      <c r="N72" s="296"/>
      <c r="O72" s="296"/>
      <c r="P72" s="296"/>
      <c r="Q72" s="296"/>
      <c r="R72" s="296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  <c r="AU72" s="296"/>
      <c r="AV72" s="296"/>
      <c r="AW72" s="296"/>
      <c r="AX72" s="296"/>
      <c r="AY72" s="296"/>
      <c r="AZ72" s="296"/>
      <c r="BA72" s="296"/>
      <c r="BB72" s="223"/>
      <c r="BC72" s="223"/>
      <c r="BD72" s="223"/>
      <c r="BE72" s="35"/>
    </row>
    <row r="73" spans="1:57" s="124" customFormat="1" ht="15" customHeight="1" x14ac:dyDescent="0.25">
      <c r="A73" s="296"/>
      <c r="B73" s="296"/>
      <c r="C73" s="1450"/>
      <c r="D73" s="296"/>
      <c r="E73" s="296"/>
      <c r="F73" s="296"/>
      <c r="G73" s="296"/>
      <c r="H73" s="296"/>
      <c r="I73" s="296"/>
      <c r="J73" s="296"/>
      <c r="K73" s="296"/>
      <c r="L73" s="296"/>
      <c r="M73" s="296"/>
      <c r="N73" s="296"/>
      <c r="O73" s="296"/>
      <c r="P73" s="296"/>
      <c r="Q73" s="296"/>
      <c r="R73" s="296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296"/>
      <c r="AN73" s="296"/>
      <c r="AO73" s="296"/>
      <c r="AP73" s="296"/>
      <c r="AQ73" s="296"/>
      <c r="AR73" s="296"/>
      <c r="AS73" s="296"/>
      <c r="AT73" s="296"/>
      <c r="AU73" s="296"/>
      <c r="AV73" s="296"/>
      <c r="AW73" s="296"/>
      <c r="AX73" s="296"/>
      <c r="AY73" s="296"/>
      <c r="AZ73" s="296"/>
      <c r="BA73" s="296"/>
      <c r="BB73" s="223"/>
      <c r="BC73" s="223"/>
      <c r="BD73" s="223"/>
      <c r="BE73" s="35"/>
    </row>
    <row r="74" spans="1:57" s="124" customFormat="1" ht="15" customHeight="1" x14ac:dyDescent="0.25">
      <c r="A74" s="296"/>
      <c r="B74" s="296"/>
      <c r="C74" s="1450"/>
      <c r="D74" s="296"/>
      <c r="E74" s="296"/>
      <c r="F74" s="296"/>
      <c r="G74" s="296"/>
      <c r="H74" s="296"/>
      <c r="I74" s="296"/>
      <c r="J74" s="296"/>
      <c r="K74" s="296"/>
      <c r="L74" s="296"/>
      <c r="M74" s="296"/>
      <c r="N74" s="296"/>
      <c r="O74" s="296"/>
      <c r="P74" s="296"/>
      <c r="Q74" s="296"/>
      <c r="R74" s="296"/>
      <c r="S74" s="296"/>
      <c r="T74" s="296"/>
      <c r="U74" s="296"/>
      <c r="V74" s="296"/>
      <c r="W74" s="296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  <c r="AU74" s="296"/>
      <c r="AV74" s="296"/>
      <c r="AW74" s="296"/>
      <c r="AX74" s="296"/>
      <c r="AY74" s="296"/>
      <c r="AZ74" s="296"/>
      <c r="BA74" s="296"/>
      <c r="BB74" s="223"/>
      <c r="BC74" s="223"/>
      <c r="BD74" s="223"/>
      <c r="BE74" s="35"/>
    </row>
    <row r="75" spans="1:57" s="124" customFormat="1" ht="15" customHeight="1" x14ac:dyDescent="0.25">
      <c r="A75" s="296"/>
      <c r="B75" s="296"/>
      <c r="C75" s="1450"/>
      <c r="D75" s="296"/>
      <c r="E75" s="296"/>
      <c r="F75" s="296"/>
      <c r="G75" s="296"/>
      <c r="H75" s="296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  <c r="AU75" s="296"/>
      <c r="AV75" s="296"/>
      <c r="AW75" s="296"/>
      <c r="AX75" s="296"/>
      <c r="AY75" s="296"/>
      <c r="AZ75" s="296"/>
      <c r="BA75" s="296"/>
      <c r="BB75" s="223"/>
      <c r="BC75" s="223"/>
      <c r="BD75" s="223"/>
      <c r="BE75" s="35"/>
    </row>
    <row r="76" spans="1:57" s="124" customFormat="1" ht="15" customHeight="1" x14ac:dyDescent="0.25">
      <c r="A76" s="296"/>
      <c r="B76" s="296"/>
      <c r="C76" s="1450"/>
      <c r="D76" s="296"/>
      <c r="E76" s="296"/>
      <c r="F76" s="296"/>
      <c r="G76" s="296"/>
      <c r="H76" s="296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296"/>
      <c r="AU76" s="296"/>
      <c r="AV76" s="296"/>
      <c r="AW76" s="296"/>
      <c r="AX76" s="296"/>
      <c r="AY76" s="296"/>
      <c r="AZ76" s="296"/>
      <c r="BA76" s="296"/>
      <c r="BB76" s="223"/>
      <c r="BC76" s="223"/>
      <c r="BD76" s="223"/>
      <c r="BE76" s="35"/>
    </row>
    <row r="77" spans="1:57" s="124" customFormat="1" ht="15" customHeight="1" x14ac:dyDescent="0.25">
      <c r="A77" s="296"/>
      <c r="B77" s="296"/>
      <c r="C77" s="1450"/>
      <c r="D77" s="296"/>
      <c r="E77" s="296"/>
      <c r="F77" s="296"/>
      <c r="G77" s="296"/>
      <c r="H77" s="296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6"/>
      <c r="AU77" s="296"/>
      <c r="AV77" s="296"/>
      <c r="AW77" s="296"/>
      <c r="AX77" s="296"/>
      <c r="AY77" s="296"/>
      <c r="AZ77" s="296"/>
      <c r="BA77" s="296"/>
      <c r="BB77" s="466"/>
      <c r="BC77" s="466"/>
      <c r="BD77" s="466"/>
      <c r="BE77" s="35"/>
    </row>
    <row r="78" spans="1:57" s="124" customFormat="1" ht="15" customHeight="1" x14ac:dyDescent="0.25">
      <c r="A78" s="296"/>
      <c r="B78" s="296"/>
      <c r="C78" s="1450"/>
      <c r="D78" s="296"/>
      <c r="E78" s="296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296"/>
      <c r="AU78" s="296"/>
      <c r="AV78" s="296"/>
      <c r="AW78" s="296"/>
      <c r="AX78" s="296"/>
      <c r="AY78" s="296"/>
      <c r="AZ78" s="296"/>
      <c r="BA78" s="296"/>
      <c r="BB78" s="466"/>
      <c r="BC78" s="466"/>
      <c r="BD78" s="466"/>
      <c r="BE78" s="35"/>
    </row>
    <row r="79" spans="1:57" s="124" customFormat="1" ht="15" customHeight="1" x14ac:dyDescent="0.25">
      <c r="A79" s="296"/>
      <c r="B79" s="296"/>
      <c r="C79" s="1450"/>
      <c r="D79" s="296"/>
      <c r="E79" s="296"/>
      <c r="F79" s="296"/>
      <c r="G79" s="296"/>
      <c r="H79" s="296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6"/>
      <c r="AU79" s="296"/>
      <c r="AV79" s="296"/>
      <c r="AW79" s="296"/>
      <c r="AX79" s="296"/>
      <c r="AY79" s="296"/>
      <c r="AZ79" s="296"/>
      <c r="BA79" s="296"/>
      <c r="BB79" s="466"/>
      <c r="BC79" s="466"/>
      <c r="BD79" s="466"/>
      <c r="BE79" s="35"/>
    </row>
    <row r="80" spans="1:57" s="124" customFormat="1" ht="15.75" customHeight="1" x14ac:dyDescent="0.25">
      <c r="A80" s="296"/>
      <c r="B80" s="296"/>
      <c r="C80" s="296"/>
      <c r="D80" s="296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  <c r="AU80" s="296"/>
      <c r="AV80" s="296"/>
      <c r="AW80" s="296"/>
      <c r="AX80" s="296"/>
      <c r="AY80" s="296"/>
      <c r="AZ80" s="296"/>
      <c r="BA80" s="296"/>
      <c r="BB80" s="466"/>
      <c r="BC80" s="466"/>
      <c r="BD80" s="466"/>
      <c r="BE80" s="35"/>
    </row>
    <row r="81" spans="1:575" s="124" customFormat="1" ht="15" customHeight="1" x14ac:dyDescent="0.25">
      <c r="A81" s="296"/>
      <c r="B81" s="296"/>
      <c r="C81" s="296"/>
      <c r="D81" s="296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  <c r="AV81" s="296"/>
      <c r="AW81" s="296"/>
      <c r="AX81" s="296"/>
      <c r="AY81" s="296"/>
      <c r="AZ81" s="296"/>
      <c r="BA81" s="296"/>
      <c r="BB81" s="466"/>
      <c r="BC81" s="466"/>
      <c r="BD81" s="466"/>
      <c r="BE81" s="35"/>
    </row>
    <row r="82" spans="1:575" s="124" customFormat="1" ht="15.75" customHeight="1" x14ac:dyDescent="0.25">
      <c r="A82" s="296"/>
      <c r="B82" s="296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  <c r="AV82" s="296"/>
      <c r="AW82" s="296"/>
      <c r="AX82" s="296"/>
      <c r="AY82" s="296"/>
      <c r="AZ82" s="296"/>
      <c r="BA82" s="296"/>
      <c r="BB82" s="466"/>
      <c r="BC82" s="466"/>
      <c r="BD82" s="466"/>
      <c r="BE82" s="35"/>
    </row>
    <row r="83" spans="1:575" s="124" customFormat="1" ht="18.75" customHeight="1" x14ac:dyDescent="0.25">
      <c r="A83" s="296"/>
      <c r="B83" s="296"/>
      <c r="C83" s="296"/>
      <c r="D83" s="296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6"/>
      <c r="AU83" s="296"/>
      <c r="AV83" s="296"/>
      <c r="AW83" s="296"/>
      <c r="AX83" s="296"/>
      <c r="AY83" s="296"/>
      <c r="AZ83" s="296"/>
      <c r="BA83" s="296"/>
      <c r="BB83" s="466"/>
      <c r="BC83" s="466"/>
      <c r="BD83" s="466"/>
      <c r="BE83" s="466"/>
      <c r="BF83" s="466"/>
      <c r="BG83" s="466"/>
      <c r="BH83" s="466"/>
      <c r="BI83" s="466"/>
      <c r="BJ83" s="466"/>
      <c r="BK83" s="466"/>
      <c r="BL83" s="466"/>
      <c r="BM83" s="466"/>
      <c r="BN83" s="466"/>
      <c r="BO83" s="466"/>
      <c r="BP83" s="466"/>
      <c r="BQ83" s="466"/>
      <c r="BR83" s="466"/>
      <c r="BS83" s="466"/>
      <c r="BT83" s="466"/>
      <c r="BU83" s="466"/>
      <c r="BV83" s="466"/>
      <c r="BW83" s="466"/>
    </row>
    <row r="84" spans="1:575" s="124" customFormat="1" ht="27.75" customHeight="1" x14ac:dyDescent="0.25">
      <c r="A84" s="296"/>
      <c r="B84" s="296"/>
      <c r="C84" s="296"/>
      <c r="D84" s="296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466"/>
      <c r="BC84" s="466"/>
      <c r="BD84" s="466"/>
      <c r="BE84" s="466"/>
      <c r="BF84" s="466"/>
      <c r="BG84" s="466"/>
      <c r="BH84" s="466"/>
      <c r="BI84" s="466"/>
      <c r="BJ84" s="466"/>
      <c r="BK84" s="466"/>
      <c r="BL84" s="466"/>
      <c r="BM84" s="466"/>
      <c r="BN84" s="466"/>
      <c r="BO84" s="466"/>
      <c r="BP84" s="466"/>
      <c r="BQ84" s="466"/>
      <c r="BR84" s="466"/>
      <c r="BS84" s="466"/>
      <c r="BT84" s="466"/>
      <c r="BU84" s="466"/>
      <c r="BV84" s="466"/>
      <c r="BW84" s="466"/>
    </row>
    <row r="85" spans="1:575" s="124" customFormat="1" ht="21" customHeight="1" x14ac:dyDescent="0.25">
      <c r="A85" s="296"/>
      <c r="B85" s="296"/>
      <c r="C85" s="296"/>
      <c r="D85" s="296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  <c r="AU85" s="296"/>
      <c r="AV85" s="296"/>
      <c r="AW85" s="296"/>
      <c r="AX85" s="296"/>
      <c r="AY85" s="296"/>
      <c r="AZ85" s="296"/>
      <c r="BA85" s="296"/>
      <c r="BB85" s="466"/>
      <c r="BC85" s="466"/>
      <c r="BD85" s="466"/>
      <c r="BE85" s="466"/>
      <c r="BF85" s="466"/>
      <c r="BG85" s="466"/>
      <c r="BH85" s="466"/>
      <c r="BI85" s="466"/>
      <c r="BJ85" s="466"/>
      <c r="BK85" s="466"/>
      <c r="BL85" s="466"/>
      <c r="BM85" s="466"/>
      <c r="BN85" s="466"/>
      <c r="BO85" s="466"/>
      <c r="BP85" s="466"/>
      <c r="BQ85" s="466"/>
      <c r="BR85" s="466"/>
      <c r="BS85" s="466"/>
      <c r="BT85" s="466"/>
      <c r="BU85" s="466"/>
      <c r="BV85" s="466"/>
      <c r="BW85" s="466"/>
    </row>
    <row r="86" spans="1:575" ht="15" customHeight="1" x14ac:dyDescent="0.25">
      <c r="A86" s="296"/>
      <c r="B86" s="296"/>
      <c r="C86" s="296"/>
      <c r="D86" s="296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6"/>
      <c r="AU86" s="296"/>
      <c r="AV86" s="296"/>
      <c r="AW86" s="296"/>
      <c r="AX86" s="296"/>
      <c r="AY86" s="296"/>
      <c r="AZ86" s="296"/>
      <c r="BA86" s="296"/>
      <c r="BB86" s="466"/>
      <c r="BC86" s="466"/>
      <c r="BD86" s="466"/>
      <c r="BE86" s="466"/>
      <c r="BF86" s="466"/>
      <c r="BG86" s="466"/>
      <c r="BH86" s="466"/>
      <c r="BI86" s="466"/>
      <c r="BJ86" s="466"/>
      <c r="BK86" s="466"/>
      <c r="BL86" s="466"/>
      <c r="BM86" s="466"/>
      <c r="BN86" s="466"/>
      <c r="BO86" s="466"/>
      <c r="BP86" s="466"/>
      <c r="BQ86" s="466"/>
      <c r="BR86" s="466"/>
      <c r="BS86" s="466"/>
      <c r="BT86" s="466"/>
      <c r="BU86" s="466"/>
      <c r="BV86" s="466"/>
      <c r="BW86" s="466"/>
    </row>
    <row r="87" spans="1:575" ht="15" customHeight="1" x14ac:dyDescent="0.25">
      <c r="A87" s="296"/>
      <c r="B87" s="296"/>
      <c r="C87" s="296"/>
      <c r="D87" s="296"/>
      <c r="E87" s="296"/>
      <c r="F87" s="296"/>
      <c r="G87" s="296"/>
      <c r="H87" s="296"/>
      <c r="I87" s="296"/>
      <c r="J87" s="296"/>
      <c r="K87" s="296"/>
      <c r="L87" s="296"/>
      <c r="M87" s="296"/>
      <c r="N87" s="296"/>
      <c r="O87" s="296"/>
      <c r="P87" s="296"/>
      <c r="Q87" s="296"/>
      <c r="R87" s="296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  <c r="AU87" s="296"/>
      <c r="AV87" s="296"/>
      <c r="AW87" s="296"/>
      <c r="AX87" s="296"/>
      <c r="AY87" s="296"/>
      <c r="AZ87" s="296"/>
      <c r="BA87" s="296"/>
      <c r="BB87" s="466"/>
      <c r="BC87" s="466"/>
      <c r="BD87" s="466"/>
      <c r="BE87" s="466"/>
      <c r="BF87" s="466"/>
      <c r="BG87" s="466"/>
      <c r="BH87" s="466"/>
      <c r="BI87" s="466"/>
      <c r="BJ87" s="466"/>
      <c r="BK87" s="466"/>
      <c r="BL87" s="466"/>
      <c r="BM87" s="466"/>
      <c r="BN87" s="466"/>
      <c r="BO87" s="466"/>
      <c r="BP87" s="466"/>
      <c r="BQ87" s="466"/>
      <c r="BR87" s="466"/>
      <c r="BS87" s="466"/>
      <c r="BT87" s="466"/>
      <c r="BU87" s="466"/>
      <c r="BV87" s="466"/>
      <c r="BW87" s="466"/>
    </row>
    <row r="88" spans="1:575" ht="15" customHeight="1" x14ac:dyDescent="0.25">
      <c r="A88" s="296"/>
      <c r="B88" s="296"/>
      <c r="C88" s="296"/>
      <c r="D88" s="296"/>
      <c r="E88" s="296"/>
      <c r="F88" s="296"/>
      <c r="G88" s="296"/>
      <c r="H88" s="296"/>
      <c r="I88" s="296"/>
      <c r="J88" s="296"/>
      <c r="K88" s="296"/>
      <c r="L88" s="296"/>
      <c r="M88" s="296"/>
      <c r="N88" s="296"/>
      <c r="O88" s="296"/>
      <c r="P88" s="296"/>
      <c r="Q88" s="296"/>
      <c r="R88" s="296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  <c r="AU88" s="296"/>
      <c r="AV88" s="296"/>
      <c r="AW88" s="296"/>
      <c r="AX88" s="296"/>
      <c r="AY88" s="296"/>
      <c r="AZ88" s="296"/>
      <c r="BA88" s="296"/>
      <c r="BB88" s="466"/>
      <c r="BC88" s="466"/>
      <c r="BD88" s="466"/>
      <c r="BE88" s="466"/>
      <c r="BF88" s="466"/>
      <c r="BG88" s="466"/>
      <c r="BH88" s="466"/>
      <c r="BI88" s="466"/>
      <c r="BJ88" s="466"/>
      <c r="BK88" s="466"/>
      <c r="BL88" s="466"/>
      <c r="BM88" s="466"/>
      <c r="BN88" s="466"/>
      <c r="BO88" s="466"/>
      <c r="BP88" s="466"/>
      <c r="BQ88" s="466"/>
      <c r="BR88" s="466"/>
      <c r="BS88" s="466"/>
      <c r="BT88" s="466"/>
      <c r="BU88" s="466"/>
      <c r="BV88" s="466"/>
      <c r="BW88" s="466"/>
    </row>
    <row r="89" spans="1:575" ht="15" customHeight="1" x14ac:dyDescent="0.25">
      <c r="A89" s="296"/>
      <c r="B89" s="296"/>
      <c r="C89" s="296"/>
      <c r="D89" s="296"/>
      <c r="E89" s="296"/>
      <c r="F89" s="296"/>
      <c r="G89" s="296"/>
      <c r="H89" s="296"/>
      <c r="I89" s="296"/>
      <c r="J89" s="296"/>
      <c r="K89" s="296"/>
      <c r="L89" s="296"/>
      <c r="M89" s="296"/>
      <c r="N89" s="296"/>
      <c r="O89" s="296"/>
      <c r="P89" s="296"/>
      <c r="Q89" s="296"/>
      <c r="R89" s="296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6"/>
      <c r="AU89" s="296"/>
      <c r="AV89" s="296"/>
      <c r="AW89" s="296"/>
      <c r="AX89" s="296"/>
      <c r="AY89" s="296"/>
      <c r="AZ89" s="296"/>
      <c r="BA89" s="296"/>
      <c r="BB89" s="466"/>
      <c r="BC89" s="466"/>
      <c r="BD89" s="466"/>
      <c r="BE89" s="466"/>
      <c r="BF89" s="466"/>
      <c r="BG89" s="466"/>
      <c r="BH89" s="466"/>
      <c r="BI89" s="466"/>
      <c r="BJ89" s="466"/>
      <c r="BK89" s="466"/>
      <c r="BL89" s="466"/>
      <c r="BM89" s="466"/>
      <c r="BN89" s="466"/>
      <c r="BO89" s="466"/>
      <c r="BP89" s="466"/>
      <c r="BQ89" s="466"/>
      <c r="BR89" s="466"/>
      <c r="BS89" s="466"/>
      <c r="BT89" s="466"/>
      <c r="BU89" s="466"/>
      <c r="BV89" s="466"/>
      <c r="BW89" s="466"/>
    </row>
    <row r="90" spans="1:575" ht="15" customHeight="1" x14ac:dyDescent="0.25">
      <c r="A90" s="296"/>
      <c r="B90" s="296"/>
      <c r="C90" s="296"/>
      <c r="D90" s="296"/>
      <c r="E90" s="296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96"/>
      <c r="Q90" s="296"/>
      <c r="R90" s="296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6"/>
      <c r="AU90" s="296"/>
      <c r="AV90" s="296"/>
      <c r="AW90" s="296"/>
      <c r="AX90" s="296"/>
      <c r="AY90" s="296"/>
      <c r="AZ90" s="296"/>
      <c r="BA90" s="296"/>
      <c r="BB90" s="466"/>
      <c r="BC90" s="466"/>
      <c r="BD90" s="466"/>
      <c r="BE90" s="466"/>
      <c r="BF90" s="466"/>
      <c r="BG90" s="466"/>
      <c r="BH90" s="466"/>
      <c r="BI90" s="466"/>
      <c r="BJ90" s="466"/>
      <c r="BK90" s="466"/>
      <c r="BL90" s="466"/>
      <c r="BM90" s="466"/>
      <c r="BN90" s="466"/>
      <c r="BO90" s="466"/>
      <c r="BP90" s="466"/>
      <c r="BQ90" s="466"/>
      <c r="BR90" s="466"/>
      <c r="BS90" s="466"/>
      <c r="BT90" s="466"/>
      <c r="BU90" s="466"/>
      <c r="BV90" s="466"/>
      <c r="BW90" s="466"/>
      <c r="BX90" s="250"/>
      <c r="BY90" s="250"/>
      <c r="BZ90" s="250"/>
      <c r="CA90" s="250"/>
      <c r="CB90" s="250"/>
      <c r="CC90" s="250"/>
      <c r="CD90" s="250"/>
      <c r="CE90" s="250"/>
      <c r="CF90" s="250"/>
      <c r="CG90" s="250"/>
      <c r="CH90" s="250"/>
      <c r="CI90" s="250"/>
      <c r="CJ90" s="250"/>
      <c r="CK90" s="250"/>
      <c r="CL90" s="250"/>
      <c r="CM90" s="250"/>
      <c r="CN90" s="250"/>
      <c r="CO90" s="250"/>
      <c r="CP90" s="250"/>
      <c r="CQ90" s="250"/>
      <c r="CR90" s="250"/>
      <c r="CS90" s="250"/>
      <c r="CT90" s="250"/>
      <c r="CU90" s="250"/>
      <c r="CV90" s="250"/>
      <c r="CW90" s="250"/>
      <c r="CX90" s="250"/>
      <c r="CY90" s="250"/>
      <c r="CZ90" s="250"/>
      <c r="DA90" s="250"/>
      <c r="DB90" s="250"/>
      <c r="DC90" s="250"/>
      <c r="DD90" s="250"/>
      <c r="DE90" s="250"/>
      <c r="DF90" s="250"/>
      <c r="DG90" s="250"/>
      <c r="DH90" s="250"/>
      <c r="DI90" s="250"/>
      <c r="DJ90" s="250"/>
      <c r="DK90" s="250"/>
      <c r="DL90" s="250"/>
      <c r="DM90" s="250"/>
      <c r="DN90" s="250"/>
      <c r="DO90" s="250"/>
      <c r="DP90" s="250"/>
      <c r="DQ90" s="250"/>
      <c r="DR90" s="250"/>
      <c r="DS90" s="250"/>
      <c r="DT90" s="250"/>
      <c r="DU90" s="250"/>
      <c r="DV90" s="250"/>
      <c r="DW90" s="250"/>
      <c r="DX90" s="250"/>
      <c r="DY90" s="250"/>
      <c r="DZ90" s="250"/>
      <c r="EA90" s="250"/>
      <c r="EB90" s="250"/>
      <c r="EC90" s="250"/>
      <c r="ED90" s="250"/>
      <c r="EE90" s="250"/>
      <c r="EF90" s="250"/>
      <c r="EG90" s="250"/>
      <c r="EH90" s="250"/>
      <c r="EI90" s="250"/>
      <c r="EJ90" s="250"/>
      <c r="EK90" s="250"/>
      <c r="EL90" s="250"/>
      <c r="EM90" s="250"/>
      <c r="EN90" s="250"/>
      <c r="EO90" s="250"/>
      <c r="EP90" s="250"/>
      <c r="EQ90" s="250"/>
      <c r="ER90" s="250"/>
      <c r="ES90" s="250"/>
      <c r="ET90" s="250"/>
      <c r="EU90" s="250"/>
      <c r="EV90" s="250"/>
      <c r="EW90" s="250"/>
      <c r="EX90" s="250"/>
      <c r="EY90" s="250"/>
      <c r="EZ90" s="250"/>
      <c r="FA90" s="250"/>
      <c r="FB90" s="250"/>
      <c r="FC90" s="250"/>
      <c r="FD90" s="250"/>
      <c r="FE90" s="250"/>
      <c r="FF90" s="250"/>
      <c r="FG90" s="250"/>
      <c r="FH90" s="250"/>
      <c r="FI90" s="250"/>
      <c r="FJ90" s="250"/>
      <c r="FK90" s="250"/>
      <c r="FL90" s="250"/>
      <c r="FM90" s="250"/>
      <c r="FN90" s="250"/>
      <c r="FO90" s="250"/>
      <c r="FP90" s="250"/>
      <c r="FQ90" s="250"/>
      <c r="FR90" s="250"/>
      <c r="FS90" s="250"/>
      <c r="FT90" s="250"/>
      <c r="FU90" s="250"/>
      <c r="FV90" s="250"/>
      <c r="FW90" s="250"/>
      <c r="FX90" s="250"/>
      <c r="FY90" s="250"/>
      <c r="FZ90" s="250"/>
      <c r="GA90" s="250"/>
      <c r="GB90" s="250"/>
      <c r="GC90" s="250"/>
      <c r="GD90" s="250"/>
      <c r="GE90" s="250"/>
      <c r="GF90" s="250"/>
      <c r="GG90" s="250"/>
      <c r="GH90" s="250"/>
      <c r="GI90" s="250"/>
      <c r="GJ90" s="250"/>
      <c r="GK90" s="250"/>
      <c r="GL90" s="250"/>
      <c r="GM90" s="250"/>
      <c r="GN90" s="250"/>
      <c r="GO90" s="250"/>
      <c r="GP90" s="250"/>
      <c r="GQ90" s="250"/>
      <c r="GR90" s="250"/>
      <c r="GS90" s="250"/>
      <c r="GT90" s="250"/>
      <c r="GU90" s="250"/>
      <c r="GV90" s="250"/>
      <c r="GW90" s="250"/>
      <c r="GX90" s="250"/>
      <c r="GY90" s="250"/>
      <c r="GZ90" s="250"/>
      <c r="HA90" s="250"/>
      <c r="HB90" s="250"/>
      <c r="HC90" s="250"/>
      <c r="HD90" s="250"/>
      <c r="HE90" s="250"/>
      <c r="HF90" s="250"/>
      <c r="HG90" s="250"/>
      <c r="HH90" s="250"/>
      <c r="HI90" s="250"/>
      <c r="HJ90" s="250"/>
      <c r="HK90" s="250"/>
      <c r="HL90" s="250"/>
      <c r="HM90" s="250"/>
      <c r="HN90" s="250"/>
      <c r="HO90" s="250"/>
      <c r="HP90" s="250"/>
      <c r="HQ90" s="250"/>
      <c r="HR90" s="250"/>
      <c r="HS90" s="250"/>
      <c r="HT90" s="250"/>
      <c r="HU90" s="250"/>
      <c r="HV90" s="250"/>
      <c r="HW90" s="250"/>
      <c r="HX90" s="250"/>
      <c r="HY90" s="250"/>
      <c r="HZ90" s="250"/>
      <c r="IA90" s="250"/>
      <c r="IB90" s="250"/>
      <c r="IC90" s="250"/>
      <c r="ID90" s="250"/>
      <c r="IE90" s="250"/>
      <c r="IF90" s="250"/>
      <c r="IG90" s="250"/>
      <c r="IH90" s="250"/>
      <c r="II90" s="250"/>
      <c r="IJ90" s="250"/>
      <c r="IK90" s="250"/>
      <c r="IL90" s="250"/>
      <c r="IM90" s="250"/>
      <c r="IN90" s="250"/>
      <c r="IO90" s="250"/>
      <c r="IP90" s="250"/>
      <c r="IQ90" s="250"/>
      <c r="IR90" s="250"/>
      <c r="IS90" s="250"/>
      <c r="IT90" s="250"/>
      <c r="IU90" s="250"/>
      <c r="IV90" s="250"/>
      <c r="IW90" s="250"/>
      <c r="IX90" s="250"/>
      <c r="IY90" s="250"/>
      <c r="IZ90" s="250"/>
      <c r="JA90" s="250"/>
      <c r="JB90" s="250"/>
      <c r="JC90" s="250"/>
      <c r="JD90" s="250"/>
      <c r="JE90" s="250"/>
      <c r="JF90" s="250"/>
      <c r="JG90" s="250"/>
      <c r="JH90" s="250"/>
      <c r="JI90" s="250"/>
      <c r="JJ90" s="250"/>
      <c r="JK90" s="250"/>
      <c r="JL90" s="250"/>
      <c r="JM90" s="250"/>
      <c r="JN90" s="250"/>
      <c r="JO90" s="250"/>
      <c r="JP90" s="250"/>
      <c r="JQ90" s="250"/>
      <c r="JR90" s="250"/>
      <c r="JS90" s="250"/>
      <c r="JT90" s="250"/>
      <c r="JU90" s="250"/>
      <c r="JV90" s="250"/>
      <c r="JW90" s="250"/>
      <c r="JX90" s="250"/>
      <c r="JY90" s="250"/>
      <c r="JZ90" s="250"/>
      <c r="KA90" s="250"/>
      <c r="KB90" s="250"/>
      <c r="KC90" s="250"/>
      <c r="KD90" s="250"/>
      <c r="KE90" s="250"/>
      <c r="KF90" s="250"/>
      <c r="KG90" s="250"/>
      <c r="KH90" s="250"/>
      <c r="KI90" s="250"/>
      <c r="KJ90" s="250"/>
      <c r="KK90" s="250"/>
      <c r="KL90" s="250"/>
      <c r="KM90" s="250"/>
      <c r="KN90" s="250"/>
      <c r="KO90" s="250"/>
      <c r="KP90" s="250"/>
      <c r="KQ90" s="250"/>
      <c r="KR90" s="250"/>
      <c r="KS90" s="250"/>
      <c r="KT90" s="250"/>
      <c r="KU90" s="250"/>
      <c r="KV90" s="250"/>
      <c r="KW90" s="250"/>
      <c r="KX90" s="250"/>
      <c r="KY90" s="250"/>
      <c r="KZ90" s="250"/>
      <c r="LA90" s="250"/>
      <c r="LB90" s="250"/>
      <c r="LC90" s="250"/>
      <c r="LD90" s="250"/>
      <c r="LE90" s="250"/>
      <c r="LF90" s="250"/>
      <c r="LG90" s="250"/>
      <c r="LH90" s="250"/>
      <c r="LI90" s="250"/>
      <c r="LJ90" s="250"/>
      <c r="LK90" s="250"/>
      <c r="LL90" s="250"/>
      <c r="LM90" s="250"/>
      <c r="LN90" s="250"/>
      <c r="LO90" s="250"/>
      <c r="LP90" s="250"/>
      <c r="LQ90" s="250"/>
      <c r="LR90" s="250"/>
      <c r="LS90" s="250"/>
      <c r="LT90" s="250"/>
      <c r="LU90" s="250"/>
      <c r="LV90" s="250"/>
      <c r="LW90" s="250"/>
      <c r="LX90" s="250"/>
      <c r="LY90" s="250"/>
      <c r="LZ90" s="250"/>
      <c r="MA90" s="250"/>
      <c r="MB90" s="250"/>
      <c r="MC90" s="250"/>
      <c r="MD90" s="250"/>
      <c r="ME90" s="250"/>
      <c r="MF90" s="250"/>
      <c r="MG90" s="250"/>
      <c r="MH90" s="250"/>
      <c r="MI90" s="250"/>
      <c r="MJ90" s="250"/>
      <c r="MK90" s="250"/>
      <c r="ML90" s="250"/>
      <c r="MM90" s="250"/>
      <c r="MN90" s="250"/>
      <c r="MO90" s="250"/>
      <c r="MP90" s="250"/>
      <c r="MQ90" s="250"/>
      <c r="MR90" s="250"/>
      <c r="MS90" s="250"/>
      <c r="MT90" s="250"/>
      <c r="MU90" s="250"/>
      <c r="MV90" s="250"/>
      <c r="MW90" s="250"/>
      <c r="MX90" s="250"/>
      <c r="MY90" s="250"/>
      <c r="MZ90" s="250"/>
      <c r="NA90" s="250"/>
      <c r="NB90" s="250"/>
      <c r="NC90" s="250"/>
      <c r="ND90" s="250"/>
      <c r="NE90" s="250"/>
      <c r="NF90" s="250"/>
      <c r="NG90" s="250"/>
      <c r="NH90" s="250"/>
      <c r="NI90" s="250"/>
      <c r="NJ90" s="250"/>
      <c r="NK90" s="250"/>
      <c r="NL90" s="250"/>
      <c r="NM90" s="250"/>
      <c r="NN90" s="250"/>
      <c r="NO90" s="250"/>
      <c r="NP90" s="250"/>
      <c r="NQ90" s="250"/>
      <c r="NR90" s="250"/>
      <c r="NS90" s="250"/>
      <c r="NT90" s="250"/>
      <c r="NU90" s="250"/>
      <c r="NV90" s="250"/>
      <c r="NW90" s="250"/>
      <c r="NX90" s="250"/>
      <c r="NY90" s="250"/>
      <c r="NZ90" s="250"/>
      <c r="OA90" s="250"/>
      <c r="OB90" s="250"/>
      <c r="OC90" s="250"/>
      <c r="OD90" s="250"/>
      <c r="OE90" s="250"/>
      <c r="OF90" s="250"/>
      <c r="OG90" s="250"/>
      <c r="OH90" s="250"/>
      <c r="OI90" s="250"/>
      <c r="OJ90" s="250"/>
      <c r="OK90" s="250"/>
      <c r="OL90" s="250"/>
      <c r="OM90" s="250"/>
      <c r="ON90" s="250"/>
      <c r="OO90" s="250"/>
      <c r="OP90" s="250"/>
      <c r="OQ90" s="250"/>
      <c r="OR90" s="250"/>
      <c r="OS90" s="250"/>
      <c r="OT90" s="250"/>
      <c r="OU90" s="250"/>
      <c r="OV90" s="250"/>
      <c r="OW90" s="250"/>
      <c r="OX90" s="250"/>
      <c r="OY90" s="250"/>
      <c r="OZ90" s="250"/>
      <c r="PA90" s="250"/>
      <c r="PB90" s="250"/>
      <c r="PC90" s="250"/>
      <c r="PD90" s="250"/>
      <c r="PE90" s="250"/>
      <c r="PF90" s="250"/>
      <c r="PG90" s="250"/>
      <c r="PH90" s="250"/>
      <c r="PI90" s="250"/>
      <c r="PJ90" s="250"/>
      <c r="PK90" s="250"/>
      <c r="PL90" s="250"/>
      <c r="PM90" s="250"/>
      <c r="PN90" s="250"/>
      <c r="PO90" s="250"/>
      <c r="PP90" s="250"/>
      <c r="PQ90" s="250"/>
      <c r="PR90" s="250"/>
      <c r="PS90" s="250"/>
      <c r="PT90" s="250"/>
      <c r="PU90" s="250"/>
      <c r="PV90" s="250"/>
      <c r="PW90" s="250"/>
      <c r="PX90" s="250"/>
      <c r="PY90" s="250"/>
      <c r="PZ90" s="250"/>
      <c r="QA90" s="250"/>
      <c r="QB90" s="250"/>
      <c r="QC90" s="250"/>
      <c r="QD90" s="250"/>
      <c r="QE90" s="250"/>
      <c r="QF90" s="250"/>
      <c r="QG90" s="250"/>
      <c r="QH90" s="250"/>
      <c r="QI90" s="250"/>
      <c r="QJ90" s="250"/>
      <c r="QK90" s="250"/>
      <c r="QL90" s="250"/>
      <c r="QM90" s="250"/>
      <c r="QN90" s="250"/>
      <c r="QO90" s="250"/>
      <c r="QP90" s="250"/>
      <c r="QQ90" s="250"/>
      <c r="QR90" s="250"/>
      <c r="QS90" s="250"/>
      <c r="QT90" s="250"/>
      <c r="QU90" s="250"/>
      <c r="QV90" s="250"/>
      <c r="QW90" s="250"/>
      <c r="QX90" s="250"/>
      <c r="QY90" s="250"/>
      <c r="QZ90" s="250"/>
      <c r="RA90" s="250"/>
      <c r="RB90" s="250"/>
      <c r="RC90" s="250"/>
      <c r="RD90" s="250"/>
      <c r="RE90" s="250"/>
      <c r="RF90" s="250"/>
      <c r="RG90" s="250"/>
      <c r="RH90" s="250"/>
      <c r="RI90" s="250"/>
      <c r="RJ90" s="250"/>
      <c r="RK90" s="250"/>
      <c r="RL90" s="250"/>
      <c r="RM90" s="250"/>
      <c r="RN90" s="250"/>
      <c r="RO90" s="250"/>
      <c r="RP90" s="250"/>
      <c r="RQ90" s="250"/>
      <c r="RR90" s="250"/>
      <c r="RS90" s="250"/>
      <c r="RT90" s="250"/>
      <c r="RU90" s="250"/>
      <c r="RV90" s="250"/>
      <c r="RW90" s="250"/>
      <c r="RX90" s="250"/>
      <c r="RY90" s="250"/>
      <c r="RZ90" s="250"/>
      <c r="SA90" s="250"/>
      <c r="SB90" s="250"/>
      <c r="SC90" s="250"/>
      <c r="SD90" s="250"/>
      <c r="SE90" s="250"/>
      <c r="SF90" s="250"/>
      <c r="SG90" s="250"/>
      <c r="SH90" s="250"/>
      <c r="SI90" s="250"/>
      <c r="SJ90" s="250"/>
      <c r="SK90" s="250"/>
      <c r="SL90" s="250"/>
      <c r="SM90" s="250"/>
      <c r="SN90" s="250"/>
      <c r="SO90" s="250"/>
      <c r="SP90" s="250"/>
      <c r="SQ90" s="250"/>
      <c r="SR90" s="250"/>
      <c r="SS90" s="250"/>
      <c r="ST90" s="250"/>
      <c r="SU90" s="250"/>
      <c r="SV90" s="250"/>
      <c r="SW90" s="250"/>
      <c r="SX90" s="250"/>
      <c r="SY90" s="250"/>
      <c r="SZ90" s="250"/>
      <c r="TA90" s="250"/>
      <c r="TB90" s="250"/>
      <c r="TC90" s="250"/>
      <c r="TD90" s="250"/>
      <c r="TE90" s="250"/>
      <c r="TF90" s="250"/>
      <c r="TG90" s="250"/>
      <c r="TH90" s="250"/>
      <c r="TI90" s="250"/>
      <c r="TJ90" s="250"/>
      <c r="TK90" s="250"/>
      <c r="TL90" s="250"/>
      <c r="TM90" s="250"/>
      <c r="TN90" s="250"/>
      <c r="TO90" s="250"/>
      <c r="TP90" s="250"/>
      <c r="TQ90" s="250"/>
      <c r="TR90" s="250"/>
      <c r="TS90" s="250"/>
      <c r="TT90" s="250"/>
      <c r="TU90" s="250"/>
      <c r="TV90" s="250"/>
      <c r="TW90" s="250"/>
      <c r="TX90" s="250"/>
      <c r="TY90" s="250"/>
      <c r="TZ90" s="250"/>
      <c r="UA90" s="250"/>
      <c r="UB90" s="250"/>
      <c r="UC90" s="250"/>
      <c r="UD90" s="250"/>
      <c r="UE90" s="250"/>
      <c r="UF90" s="250"/>
      <c r="UG90" s="250"/>
      <c r="UH90" s="250"/>
      <c r="UI90" s="250"/>
      <c r="UJ90" s="250"/>
      <c r="UK90" s="250"/>
      <c r="UL90" s="250"/>
      <c r="UM90" s="250"/>
      <c r="UN90" s="250"/>
      <c r="UO90" s="250"/>
      <c r="UP90" s="250"/>
      <c r="UQ90" s="250"/>
      <c r="UR90" s="250"/>
      <c r="US90" s="250"/>
      <c r="UT90" s="250"/>
      <c r="UU90" s="250"/>
      <c r="UV90" s="250"/>
      <c r="UW90" s="250"/>
      <c r="UX90" s="250"/>
      <c r="UY90" s="250"/>
      <c r="UZ90" s="250"/>
      <c r="VA90" s="250"/>
      <c r="VB90" s="250"/>
      <c r="VC90" s="250"/>
    </row>
    <row r="91" spans="1:575" ht="15" customHeight="1" x14ac:dyDescent="0.25">
      <c r="A91" s="296"/>
      <c r="B91" s="296"/>
      <c r="C91" s="296"/>
      <c r="D91" s="296"/>
      <c r="E91" s="296"/>
      <c r="F91" s="296"/>
      <c r="G91" s="296"/>
      <c r="H91" s="296"/>
      <c r="I91" s="296"/>
      <c r="J91" s="296"/>
      <c r="K91" s="296"/>
      <c r="L91" s="296"/>
      <c r="M91" s="296"/>
      <c r="N91" s="296"/>
      <c r="O91" s="296"/>
      <c r="P91" s="296"/>
      <c r="Q91" s="296"/>
      <c r="R91" s="296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6"/>
      <c r="AU91" s="296"/>
      <c r="AV91" s="296"/>
      <c r="AW91" s="296"/>
      <c r="AX91" s="296"/>
      <c r="AY91" s="296"/>
      <c r="AZ91" s="296"/>
      <c r="BA91" s="296"/>
      <c r="BB91" s="466"/>
      <c r="BC91" s="466"/>
      <c r="BD91" s="466"/>
      <c r="BE91" s="466"/>
      <c r="BF91" s="466"/>
      <c r="BG91" s="466"/>
      <c r="BH91" s="466"/>
      <c r="BI91" s="466"/>
      <c r="BJ91" s="466"/>
      <c r="BK91" s="466"/>
      <c r="BL91" s="466"/>
      <c r="BM91" s="466"/>
      <c r="BN91" s="466"/>
      <c r="BO91" s="466"/>
      <c r="BP91" s="466"/>
      <c r="BQ91" s="466"/>
      <c r="BR91" s="466"/>
      <c r="BS91" s="466"/>
      <c r="BT91" s="466"/>
      <c r="BU91" s="466"/>
      <c r="BV91" s="466"/>
      <c r="BW91" s="466"/>
      <c r="BX91" s="250"/>
      <c r="BY91" s="250"/>
      <c r="BZ91" s="250"/>
      <c r="CA91" s="250"/>
      <c r="CB91" s="250"/>
      <c r="CC91" s="250"/>
      <c r="CD91" s="250"/>
      <c r="CE91" s="250"/>
      <c r="CF91" s="250"/>
      <c r="CG91" s="250"/>
      <c r="CH91" s="250"/>
      <c r="CI91" s="250"/>
      <c r="CJ91" s="250"/>
      <c r="CK91" s="250"/>
      <c r="CL91" s="250"/>
      <c r="CM91" s="250"/>
      <c r="CN91" s="250"/>
      <c r="CO91" s="250"/>
      <c r="CP91" s="250"/>
      <c r="CQ91" s="250"/>
      <c r="CR91" s="250"/>
      <c r="CS91" s="250"/>
      <c r="CT91" s="250"/>
      <c r="CU91" s="250"/>
      <c r="CV91" s="250"/>
      <c r="CW91" s="250"/>
      <c r="CX91" s="250"/>
      <c r="CY91" s="250"/>
      <c r="CZ91" s="250"/>
      <c r="DA91" s="250"/>
      <c r="DB91" s="250"/>
      <c r="DC91" s="250"/>
      <c r="DD91" s="250"/>
      <c r="DE91" s="250"/>
      <c r="DF91" s="250"/>
      <c r="DG91" s="250"/>
      <c r="DH91" s="250"/>
      <c r="DI91" s="250"/>
      <c r="DJ91" s="250"/>
      <c r="DK91" s="250"/>
      <c r="DL91" s="250"/>
      <c r="DM91" s="250"/>
      <c r="DN91" s="250"/>
      <c r="DO91" s="250"/>
      <c r="DP91" s="250"/>
      <c r="DQ91" s="250"/>
      <c r="DR91" s="250"/>
      <c r="DS91" s="250"/>
      <c r="DT91" s="250"/>
      <c r="DU91" s="250"/>
      <c r="DV91" s="250"/>
      <c r="DW91" s="250"/>
      <c r="DX91" s="250"/>
      <c r="DY91" s="250"/>
      <c r="DZ91" s="250"/>
      <c r="EA91" s="250"/>
      <c r="EB91" s="250"/>
      <c r="EC91" s="250"/>
      <c r="ED91" s="250"/>
      <c r="EE91" s="250"/>
      <c r="EF91" s="250"/>
      <c r="EG91" s="250"/>
      <c r="EH91" s="250"/>
      <c r="EI91" s="250"/>
      <c r="EJ91" s="250"/>
      <c r="EK91" s="250"/>
      <c r="EL91" s="250"/>
      <c r="EM91" s="250"/>
      <c r="EN91" s="250"/>
      <c r="EO91" s="250"/>
      <c r="EP91" s="250"/>
      <c r="EQ91" s="250"/>
      <c r="ER91" s="250"/>
      <c r="ES91" s="250"/>
      <c r="ET91" s="250"/>
      <c r="EU91" s="250"/>
      <c r="EV91" s="250"/>
      <c r="EW91" s="250"/>
      <c r="EX91" s="250"/>
      <c r="EY91" s="250"/>
      <c r="EZ91" s="250"/>
      <c r="FA91" s="250"/>
      <c r="FB91" s="250"/>
      <c r="FC91" s="250"/>
      <c r="FD91" s="250"/>
      <c r="FE91" s="250"/>
      <c r="FF91" s="250"/>
      <c r="FG91" s="250"/>
      <c r="FH91" s="250"/>
      <c r="FI91" s="250"/>
      <c r="FJ91" s="250"/>
      <c r="FK91" s="250"/>
      <c r="FL91" s="250"/>
      <c r="FM91" s="250"/>
      <c r="FN91" s="250"/>
      <c r="FO91" s="250"/>
      <c r="FP91" s="250"/>
      <c r="FQ91" s="250"/>
      <c r="FR91" s="250"/>
      <c r="FS91" s="250"/>
      <c r="FT91" s="250"/>
      <c r="FU91" s="250"/>
      <c r="FV91" s="250"/>
      <c r="FW91" s="250"/>
      <c r="FX91" s="250"/>
      <c r="FY91" s="250"/>
      <c r="FZ91" s="250"/>
      <c r="GA91" s="250"/>
      <c r="GB91" s="250"/>
      <c r="GC91" s="250"/>
      <c r="GD91" s="250"/>
      <c r="GE91" s="250"/>
      <c r="GF91" s="250"/>
      <c r="GG91" s="250"/>
      <c r="GH91" s="250"/>
      <c r="GI91" s="250"/>
      <c r="GJ91" s="250"/>
      <c r="GK91" s="250"/>
      <c r="GL91" s="250"/>
      <c r="GM91" s="250"/>
      <c r="GN91" s="250"/>
      <c r="GO91" s="250"/>
      <c r="GP91" s="250"/>
      <c r="GQ91" s="250"/>
      <c r="GR91" s="250"/>
      <c r="GS91" s="250"/>
      <c r="GT91" s="250"/>
      <c r="GU91" s="250"/>
      <c r="GV91" s="250"/>
      <c r="GW91" s="250"/>
      <c r="GX91" s="250"/>
      <c r="GY91" s="250"/>
      <c r="GZ91" s="250"/>
      <c r="HA91" s="250"/>
      <c r="HB91" s="250"/>
      <c r="HC91" s="250"/>
      <c r="HD91" s="250"/>
      <c r="HE91" s="250"/>
      <c r="HF91" s="250"/>
      <c r="HG91" s="250"/>
      <c r="HH91" s="250"/>
      <c r="HI91" s="250"/>
      <c r="HJ91" s="250"/>
      <c r="HK91" s="250"/>
      <c r="HL91" s="250"/>
      <c r="HM91" s="250"/>
      <c r="HN91" s="250"/>
      <c r="HO91" s="250"/>
      <c r="HP91" s="250"/>
      <c r="HQ91" s="250"/>
      <c r="HR91" s="250"/>
      <c r="HS91" s="250"/>
      <c r="HT91" s="250"/>
      <c r="HU91" s="250"/>
      <c r="HV91" s="250"/>
      <c r="HW91" s="250"/>
      <c r="HX91" s="250"/>
      <c r="HY91" s="250"/>
      <c r="HZ91" s="250"/>
      <c r="IA91" s="250"/>
      <c r="IB91" s="250"/>
      <c r="IC91" s="250"/>
      <c r="ID91" s="250"/>
      <c r="IE91" s="250"/>
      <c r="IF91" s="250"/>
      <c r="IG91" s="250"/>
      <c r="IH91" s="250"/>
      <c r="II91" s="250"/>
      <c r="IJ91" s="250"/>
      <c r="IK91" s="250"/>
      <c r="IL91" s="250"/>
      <c r="IM91" s="250"/>
      <c r="IN91" s="250"/>
      <c r="IO91" s="250"/>
      <c r="IP91" s="250"/>
      <c r="IQ91" s="250"/>
      <c r="IR91" s="250"/>
      <c r="IS91" s="250"/>
      <c r="IT91" s="250"/>
      <c r="IU91" s="250"/>
      <c r="IV91" s="250"/>
      <c r="IW91" s="250"/>
      <c r="IX91" s="250"/>
      <c r="IY91" s="250"/>
      <c r="IZ91" s="250"/>
      <c r="JA91" s="250"/>
      <c r="JB91" s="250"/>
      <c r="JC91" s="250"/>
      <c r="JD91" s="250"/>
      <c r="JE91" s="250"/>
      <c r="JF91" s="250"/>
      <c r="JG91" s="250"/>
      <c r="JH91" s="250"/>
      <c r="JI91" s="250"/>
      <c r="JJ91" s="250"/>
      <c r="JK91" s="250"/>
      <c r="JL91" s="250"/>
      <c r="JM91" s="250"/>
      <c r="JN91" s="250"/>
      <c r="JO91" s="250"/>
      <c r="JP91" s="250"/>
      <c r="JQ91" s="250"/>
      <c r="JR91" s="250"/>
      <c r="JS91" s="250"/>
      <c r="JT91" s="250"/>
      <c r="JU91" s="250"/>
      <c r="JV91" s="250"/>
      <c r="JW91" s="250"/>
      <c r="JX91" s="250"/>
      <c r="JY91" s="250"/>
      <c r="JZ91" s="250"/>
      <c r="KA91" s="250"/>
      <c r="KB91" s="250"/>
      <c r="KC91" s="250"/>
      <c r="KD91" s="250"/>
      <c r="KE91" s="250"/>
      <c r="KF91" s="250"/>
      <c r="KG91" s="250"/>
      <c r="KH91" s="250"/>
      <c r="KI91" s="250"/>
      <c r="KJ91" s="250"/>
      <c r="KK91" s="250"/>
      <c r="KL91" s="250"/>
      <c r="KM91" s="250"/>
      <c r="KN91" s="250"/>
      <c r="KO91" s="250"/>
      <c r="KP91" s="250"/>
      <c r="KQ91" s="250"/>
      <c r="KR91" s="250"/>
      <c r="KS91" s="250"/>
      <c r="KT91" s="250"/>
      <c r="KU91" s="250"/>
      <c r="KV91" s="250"/>
      <c r="KW91" s="250"/>
      <c r="KX91" s="250"/>
      <c r="KY91" s="250"/>
      <c r="KZ91" s="250"/>
      <c r="LA91" s="250"/>
      <c r="LB91" s="250"/>
      <c r="LC91" s="250"/>
      <c r="LD91" s="250"/>
      <c r="LE91" s="250"/>
      <c r="LF91" s="250"/>
      <c r="LG91" s="250"/>
      <c r="LH91" s="250"/>
      <c r="LI91" s="250"/>
      <c r="LJ91" s="250"/>
      <c r="LK91" s="250"/>
      <c r="LL91" s="250"/>
      <c r="LM91" s="250"/>
      <c r="LN91" s="250"/>
      <c r="LO91" s="250"/>
      <c r="LP91" s="250"/>
      <c r="LQ91" s="250"/>
      <c r="LR91" s="250"/>
      <c r="LS91" s="250"/>
      <c r="LT91" s="250"/>
      <c r="LU91" s="250"/>
      <c r="LV91" s="250"/>
      <c r="LW91" s="250"/>
      <c r="LX91" s="250"/>
      <c r="LY91" s="250"/>
      <c r="LZ91" s="250"/>
      <c r="MA91" s="250"/>
      <c r="MB91" s="250"/>
      <c r="MC91" s="250"/>
      <c r="MD91" s="250"/>
      <c r="ME91" s="250"/>
      <c r="MF91" s="250"/>
      <c r="MG91" s="250"/>
      <c r="MH91" s="250"/>
      <c r="MI91" s="250"/>
      <c r="MJ91" s="250"/>
      <c r="MK91" s="250"/>
      <c r="ML91" s="250"/>
      <c r="MM91" s="250"/>
      <c r="MN91" s="250"/>
      <c r="MO91" s="250"/>
      <c r="MP91" s="250"/>
      <c r="MQ91" s="250"/>
      <c r="MR91" s="250"/>
      <c r="MS91" s="250"/>
      <c r="MT91" s="250"/>
      <c r="MU91" s="250"/>
      <c r="MV91" s="250"/>
      <c r="MW91" s="250"/>
      <c r="MX91" s="250"/>
      <c r="MY91" s="250"/>
      <c r="MZ91" s="250"/>
      <c r="NA91" s="250"/>
      <c r="NB91" s="250"/>
      <c r="NC91" s="250"/>
      <c r="ND91" s="250"/>
      <c r="NE91" s="250"/>
      <c r="NF91" s="250"/>
      <c r="NG91" s="250"/>
      <c r="NH91" s="250"/>
      <c r="NI91" s="250"/>
      <c r="NJ91" s="250"/>
      <c r="NK91" s="250"/>
      <c r="NL91" s="250"/>
      <c r="NM91" s="250"/>
      <c r="NN91" s="250"/>
      <c r="NO91" s="250"/>
      <c r="NP91" s="250"/>
      <c r="NQ91" s="250"/>
      <c r="NR91" s="250"/>
      <c r="NS91" s="250"/>
      <c r="NT91" s="250"/>
      <c r="NU91" s="250"/>
      <c r="NV91" s="250"/>
      <c r="NW91" s="250"/>
      <c r="NX91" s="250"/>
      <c r="NY91" s="250"/>
      <c r="NZ91" s="250"/>
      <c r="OA91" s="250"/>
      <c r="OB91" s="250"/>
      <c r="OC91" s="250"/>
      <c r="OD91" s="250"/>
      <c r="OE91" s="250"/>
      <c r="OF91" s="250"/>
      <c r="OG91" s="250"/>
      <c r="OH91" s="250"/>
      <c r="OI91" s="250"/>
      <c r="OJ91" s="250"/>
      <c r="OK91" s="250"/>
      <c r="OL91" s="250"/>
      <c r="OM91" s="250"/>
      <c r="ON91" s="250"/>
      <c r="OO91" s="250"/>
      <c r="OP91" s="250"/>
      <c r="OQ91" s="250"/>
      <c r="OR91" s="250"/>
      <c r="OS91" s="250"/>
      <c r="OT91" s="250"/>
      <c r="OU91" s="250"/>
      <c r="OV91" s="250"/>
      <c r="OW91" s="250"/>
      <c r="OX91" s="250"/>
      <c r="OY91" s="250"/>
      <c r="OZ91" s="250"/>
      <c r="PA91" s="250"/>
      <c r="PB91" s="250"/>
      <c r="PC91" s="250"/>
      <c r="PD91" s="250"/>
      <c r="PE91" s="250"/>
      <c r="PF91" s="250"/>
      <c r="PG91" s="250"/>
      <c r="PH91" s="250"/>
      <c r="PI91" s="250"/>
      <c r="PJ91" s="250"/>
      <c r="PK91" s="250"/>
      <c r="PL91" s="250"/>
      <c r="PM91" s="250"/>
      <c r="PN91" s="250"/>
      <c r="PO91" s="250"/>
      <c r="PP91" s="250"/>
      <c r="PQ91" s="250"/>
      <c r="PR91" s="250"/>
      <c r="PS91" s="250"/>
      <c r="PT91" s="250"/>
      <c r="PU91" s="250"/>
      <c r="PV91" s="250"/>
      <c r="PW91" s="250"/>
      <c r="PX91" s="250"/>
      <c r="PY91" s="250"/>
      <c r="PZ91" s="250"/>
      <c r="QA91" s="250"/>
      <c r="QB91" s="250"/>
      <c r="QC91" s="250"/>
      <c r="QD91" s="250"/>
      <c r="QE91" s="250"/>
      <c r="QF91" s="250"/>
      <c r="QG91" s="250"/>
      <c r="QH91" s="250"/>
      <c r="QI91" s="250"/>
      <c r="QJ91" s="250"/>
      <c r="QK91" s="250"/>
      <c r="QL91" s="250"/>
      <c r="QM91" s="250"/>
      <c r="QN91" s="250"/>
      <c r="QO91" s="250"/>
      <c r="QP91" s="250"/>
      <c r="QQ91" s="250"/>
      <c r="QR91" s="250"/>
      <c r="QS91" s="250"/>
      <c r="QT91" s="250"/>
      <c r="QU91" s="250"/>
      <c r="QV91" s="250"/>
      <c r="QW91" s="250"/>
      <c r="QX91" s="250"/>
      <c r="QY91" s="250"/>
      <c r="QZ91" s="250"/>
      <c r="RA91" s="250"/>
      <c r="RB91" s="250"/>
      <c r="RC91" s="250"/>
      <c r="RD91" s="250"/>
      <c r="RE91" s="250"/>
      <c r="RF91" s="250"/>
      <c r="RG91" s="250"/>
      <c r="RH91" s="250"/>
      <c r="RI91" s="250"/>
      <c r="RJ91" s="250"/>
      <c r="RK91" s="250"/>
      <c r="RL91" s="250"/>
      <c r="RM91" s="250"/>
      <c r="RN91" s="250"/>
      <c r="RO91" s="250"/>
      <c r="RP91" s="250"/>
      <c r="RQ91" s="250"/>
      <c r="RR91" s="250"/>
      <c r="RS91" s="250"/>
      <c r="RT91" s="250"/>
      <c r="RU91" s="250"/>
      <c r="RV91" s="250"/>
      <c r="RW91" s="250"/>
      <c r="RX91" s="250"/>
      <c r="RY91" s="250"/>
      <c r="RZ91" s="250"/>
      <c r="SA91" s="250"/>
      <c r="SB91" s="250"/>
      <c r="SC91" s="250"/>
      <c r="SD91" s="250"/>
      <c r="SE91" s="250"/>
      <c r="SF91" s="250"/>
      <c r="SG91" s="250"/>
      <c r="SH91" s="250"/>
      <c r="SI91" s="250"/>
      <c r="SJ91" s="250"/>
      <c r="SK91" s="250"/>
      <c r="SL91" s="250"/>
      <c r="SM91" s="250"/>
      <c r="SN91" s="250"/>
      <c r="SO91" s="250"/>
      <c r="SP91" s="250"/>
      <c r="SQ91" s="250"/>
      <c r="SR91" s="250"/>
      <c r="SS91" s="250"/>
      <c r="ST91" s="250"/>
      <c r="SU91" s="250"/>
      <c r="SV91" s="250"/>
      <c r="SW91" s="250"/>
      <c r="SX91" s="250"/>
      <c r="SY91" s="250"/>
      <c r="SZ91" s="250"/>
      <c r="TA91" s="250"/>
      <c r="TB91" s="250"/>
      <c r="TC91" s="250"/>
      <c r="TD91" s="250"/>
      <c r="TE91" s="250"/>
      <c r="TF91" s="250"/>
      <c r="TG91" s="250"/>
      <c r="TH91" s="250"/>
      <c r="TI91" s="250"/>
      <c r="TJ91" s="250"/>
      <c r="TK91" s="250"/>
      <c r="TL91" s="250"/>
      <c r="TM91" s="250"/>
      <c r="TN91" s="250"/>
      <c r="TO91" s="250"/>
      <c r="TP91" s="250"/>
      <c r="TQ91" s="250"/>
      <c r="TR91" s="250"/>
      <c r="TS91" s="250"/>
      <c r="TT91" s="250"/>
      <c r="TU91" s="250"/>
      <c r="TV91" s="250"/>
      <c r="TW91" s="250"/>
      <c r="TX91" s="250"/>
      <c r="TY91" s="250"/>
      <c r="TZ91" s="250"/>
      <c r="UA91" s="250"/>
      <c r="UB91" s="250"/>
      <c r="UC91" s="250"/>
      <c r="UD91" s="250"/>
      <c r="UE91" s="250"/>
      <c r="UF91" s="250"/>
      <c r="UG91" s="250"/>
      <c r="UH91" s="250"/>
      <c r="UI91" s="250"/>
      <c r="UJ91" s="250"/>
      <c r="UK91" s="250"/>
      <c r="UL91" s="250"/>
      <c r="UM91" s="250"/>
      <c r="UN91" s="250"/>
      <c r="UO91" s="250"/>
      <c r="UP91" s="250"/>
      <c r="UQ91" s="250"/>
      <c r="UR91" s="250"/>
      <c r="US91" s="250"/>
      <c r="UT91" s="250"/>
      <c r="UU91" s="250"/>
      <c r="UV91" s="250"/>
      <c r="UW91" s="250"/>
      <c r="UX91" s="250"/>
      <c r="UY91" s="250"/>
      <c r="UZ91" s="250"/>
      <c r="VA91" s="250"/>
      <c r="VB91" s="250"/>
      <c r="VC91" s="250"/>
    </row>
    <row r="92" spans="1:575" ht="15" customHeight="1" x14ac:dyDescent="0.25">
      <c r="A92" s="296"/>
      <c r="B92" s="296"/>
      <c r="C92" s="296"/>
      <c r="D92" s="296"/>
      <c r="E92" s="296"/>
      <c r="F92" s="296"/>
      <c r="G92" s="296"/>
      <c r="H92" s="296"/>
      <c r="I92" s="296"/>
      <c r="J92" s="296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6"/>
      <c r="AU92" s="296"/>
      <c r="AV92" s="296"/>
      <c r="AW92" s="296"/>
      <c r="AX92" s="296"/>
      <c r="AY92" s="296"/>
      <c r="AZ92" s="296"/>
      <c r="BA92" s="296"/>
      <c r="BB92" s="466"/>
      <c r="BC92" s="466"/>
      <c r="BD92" s="466"/>
      <c r="BE92" s="466"/>
      <c r="BF92" s="466"/>
      <c r="BG92" s="466"/>
      <c r="BH92" s="466"/>
      <c r="BI92" s="466"/>
      <c r="BJ92" s="466"/>
      <c r="BK92" s="466"/>
      <c r="BL92" s="466"/>
      <c r="BM92" s="466"/>
      <c r="BN92" s="466"/>
      <c r="BO92" s="466"/>
      <c r="BP92" s="466"/>
      <c r="BQ92" s="466"/>
      <c r="BR92" s="466"/>
      <c r="BS92" s="466"/>
      <c r="BT92" s="466"/>
      <c r="BU92" s="466"/>
      <c r="BV92" s="466"/>
      <c r="BW92" s="466"/>
      <c r="BX92" s="250"/>
      <c r="BY92" s="250"/>
      <c r="BZ92" s="250"/>
      <c r="CA92" s="250"/>
      <c r="CB92" s="250"/>
      <c r="CC92" s="250"/>
      <c r="CD92" s="250"/>
      <c r="CE92" s="250"/>
      <c r="CF92" s="250"/>
      <c r="CG92" s="250"/>
      <c r="CH92" s="250"/>
      <c r="CI92" s="250"/>
      <c r="CJ92" s="250"/>
      <c r="CK92" s="250"/>
      <c r="CL92" s="250"/>
      <c r="CM92" s="250"/>
      <c r="CN92" s="250"/>
      <c r="CO92" s="250"/>
      <c r="CP92" s="250"/>
      <c r="CQ92" s="250"/>
      <c r="CR92" s="250"/>
      <c r="CS92" s="250"/>
      <c r="CT92" s="250"/>
      <c r="CU92" s="250"/>
      <c r="CV92" s="250"/>
      <c r="CW92" s="250"/>
      <c r="CX92" s="250"/>
      <c r="CY92" s="250"/>
      <c r="CZ92" s="250"/>
      <c r="DA92" s="250"/>
      <c r="DB92" s="250"/>
      <c r="DC92" s="250"/>
      <c r="DD92" s="250"/>
      <c r="DE92" s="250"/>
      <c r="DF92" s="250"/>
      <c r="DG92" s="250"/>
      <c r="DH92" s="250"/>
      <c r="DI92" s="250"/>
      <c r="DJ92" s="250"/>
      <c r="DK92" s="250"/>
      <c r="DL92" s="250"/>
      <c r="DM92" s="250"/>
      <c r="DN92" s="250"/>
      <c r="DO92" s="250"/>
      <c r="DP92" s="250"/>
      <c r="DQ92" s="250"/>
      <c r="DR92" s="250"/>
      <c r="DS92" s="250"/>
      <c r="DT92" s="250"/>
      <c r="DU92" s="250"/>
      <c r="DV92" s="250"/>
      <c r="DW92" s="250"/>
      <c r="DX92" s="250"/>
      <c r="DY92" s="250"/>
      <c r="DZ92" s="250"/>
      <c r="EA92" s="250"/>
      <c r="EB92" s="250"/>
      <c r="EC92" s="250"/>
      <c r="ED92" s="250"/>
      <c r="EE92" s="250"/>
      <c r="EF92" s="250"/>
      <c r="EG92" s="250"/>
      <c r="EH92" s="250"/>
      <c r="EI92" s="250"/>
      <c r="EJ92" s="250"/>
      <c r="EK92" s="250"/>
      <c r="EL92" s="250"/>
      <c r="EM92" s="250"/>
      <c r="EN92" s="250"/>
      <c r="EO92" s="250"/>
      <c r="EP92" s="250"/>
      <c r="EQ92" s="250"/>
      <c r="ER92" s="250"/>
      <c r="ES92" s="250"/>
      <c r="ET92" s="250"/>
      <c r="EU92" s="250"/>
      <c r="EV92" s="250"/>
      <c r="EW92" s="250"/>
      <c r="EX92" s="250"/>
      <c r="EY92" s="250"/>
      <c r="EZ92" s="250"/>
      <c r="FA92" s="250"/>
      <c r="FB92" s="250"/>
      <c r="FC92" s="250"/>
      <c r="FD92" s="250"/>
      <c r="FE92" s="250"/>
      <c r="FF92" s="250"/>
      <c r="FG92" s="250"/>
      <c r="FH92" s="250"/>
      <c r="FI92" s="250"/>
      <c r="FJ92" s="250"/>
      <c r="FK92" s="250"/>
      <c r="FL92" s="250"/>
      <c r="FM92" s="250"/>
      <c r="FN92" s="250"/>
      <c r="FO92" s="250"/>
      <c r="FP92" s="250"/>
      <c r="FQ92" s="250"/>
      <c r="FR92" s="250"/>
      <c r="FS92" s="250"/>
      <c r="FT92" s="250"/>
      <c r="FU92" s="250"/>
      <c r="FV92" s="250"/>
      <c r="FW92" s="250"/>
      <c r="FX92" s="250"/>
      <c r="FY92" s="250"/>
      <c r="FZ92" s="250"/>
      <c r="GA92" s="250"/>
      <c r="GB92" s="250"/>
      <c r="GC92" s="250"/>
      <c r="GD92" s="250"/>
      <c r="GE92" s="250"/>
      <c r="GF92" s="250"/>
      <c r="GG92" s="250"/>
      <c r="GH92" s="250"/>
      <c r="GI92" s="250"/>
      <c r="GJ92" s="250"/>
      <c r="GK92" s="250"/>
      <c r="GL92" s="250"/>
      <c r="GM92" s="250"/>
      <c r="GN92" s="250"/>
      <c r="GO92" s="250"/>
      <c r="GP92" s="250"/>
      <c r="GQ92" s="250"/>
      <c r="GR92" s="250"/>
      <c r="GS92" s="250"/>
      <c r="GT92" s="250"/>
      <c r="GU92" s="250"/>
      <c r="GV92" s="250"/>
      <c r="GW92" s="250"/>
      <c r="GX92" s="250"/>
      <c r="GY92" s="250"/>
      <c r="GZ92" s="250"/>
      <c r="HA92" s="250"/>
      <c r="HB92" s="250"/>
      <c r="HC92" s="250"/>
      <c r="HD92" s="250"/>
      <c r="HE92" s="250"/>
      <c r="HF92" s="250"/>
      <c r="HG92" s="250"/>
      <c r="HH92" s="250"/>
      <c r="HI92" s="250"/>
      <c r="HJ92" s="250"/>
      <c r="HK92" s="250"/>
      <c r="HL92" s="250"/>
      <c r="HM92" s="250"/>
      <c r="HN92" s="250"/>
      <c r="HO92" s="250"/>
      <c r="HP92" s="250"/>
      <c r="HQ92" s="250"/>
      <c r="HR92" s="250"/>
      <c r="HS92" s="250"/>
      <c r="HT92" s="250"/>
      <c r="HU92" s="250"/>
      <c r="HV92" s="250"/>
      <c r="HW92" s="250"/>
      <c r="HX92" s="250"/>
      <c r="HY92" s="250"/>
      <c r="HZ92" s="250"/>
      <c r="IA92" s="250"/>
      <c r="IB92" s="250"/>
      <c r="IC92" s="250"/>
      <c r="ID92" s="250"/>
      <c r="IE92" s="250"/>
      <c r="IF92" s="250"/>
      <c r="IG92" s="250"/>
      <c r="IH92" s="250"/>
      <c r="II92" s="250"/>
      <c r="IJ92" s="250"/>
      <c r="IK92" s="250"/>
      <c r="IL92" s="250"/>
      <c r="IM92" s="250"/>
      <c r="IN92" s="250"/>
      <c r="IO92" s="250"/>
      <c r="IP92" s="250"/>
      <c r="IQ92" s="250"/>
      <c r="IR92" s="250"/>
      <c r="IS92" s="250"/>
      <c r="IT92" s="250"/>
      <c r="IU92" s="250"/>
      <c r="IV92" s="250"/>
      <c r="IW92" s="250"/>
      <c r="IX92" s="250"/>
      <c r="IY92" s="250"/>
      <c r="IZ92" s="250"/>
      <c r="JA92" s="250"/>
      <c r="JB92" s="250"/>
      <c r="JC92" s="250"/>
      <c r="JD92" s="250"/>
      <c r="JE92" s="250"/>
      <c r="JF92" s="250"/>
      <c r="JG92" s="250"/>
      <c r="JH92" s="250"/>
      <c r="JI92" s="250"/>
      <c r="JJ92" s="250"/>
      <c r="JK92" s="250"/>
      <c r="JL92" s="250"/>
      <c r="JM92" s="250"/>
      <c r="JN92" s="250"/>
      <c r="JO92" s="250"/>
      <c r="JP92" s="250"/>
      <c r="JQ92" s="250"/>
      <c r="JR92" s="250"/>
      <c r="JS92" s="250"/>
      <c r="JT92" s="250"/>
      <c r="JU92" s="250"/>
      <c r="JV92" s="250"/>
      <c r="JW92" s="250"/>
      <c r="JX92" s="250"/>
      <c r="JY92" s="250"/>
      <c r="JZ92" s="250"/>
      <c r="KA92" s="250"/>
      <c r="KB92" s="250"/>
      <c r="KC92" s="250"/>
      <c r="KD92" s="250"/>
      <c r="KE92" s="250"/>
      <c r="KF92" s="250"/>
      <c r="KG92" s="250"/>
      <c r="KH92" s="250"/>
      <c r="KI92" s="250"/>
      <c r="KJ92" s="250"/>
      <c r="KK92" s="250"/>
      <c r="KL92" s="250"/>
      <c r="KM92" s="250"/>
      <c r="KN92" s="250"/>
      <c r="KO92" s="250"/>
      <c r="KP92" s="250"/>
      <c r="KQ92" s="250"/>
      <c r="KR92" s="250"/>
      <c r="KS92" s="250"/>
      <c r="KT92" s="250"/>
      <c r="KU92" s="250"/>
      <c r="KV92" s="250"/>
      <c r="KW92" s="250"/>
      <c r="KX92" s="250"/>
      <c r="KY92" s="250"/>
      <c r="KZ92" s="250"/>
      <c r="LA92" s="250"/>
      <c r="LB92" s="250"/>
      <c r="LC92" s="250"/>
      <c r="LD92" s="250"/>
      <c r="LE92" s="250"/>
      <c r="LF92" s="250"/>
      <c r="LG92" s="250"/>
      <c r="LH92" s="250"/>
      <c r="LI92" s="250"/>
      <c r="LJ92" s="250"/>
      <c r="LK92" s="250"/>
      <c r="LL92" s="250"/>
      <c r="LM92" s="250"/>
      <c r="LN92" s="250"/>
      <c r="LO92" s="250"/>
      <c r="LP92" s="250"/>
      <c r="LQ92" s="250"/>
      <c r="LR92" s="250"/>
      <c r="LS92" s="250"/>
      <c r="LT92" s="250"/>
      <c r="LU92" s="250"/>
      <c r="LV92" s="250"/>
      <c r="LW92" s="250"/>
      <c r="LX92" s="250"/>
      <c r="LY92" s="250"/>
      <c r="LZ92" s="250"/>
      <c r="MA92" s="250"/>
      <c r="MB92" s="250"/>
      <c r="MC92" s="250"/>
      <c r="MD92" s="250"/>
      <c r="ME92" s="250"/>
      <c r="MF92" s="250"/>
      <c r="MG92" s="250"/>
      <c r="MH92" s="250"/>
      <c r="MI92" s="250"/>
      <c r="MJ92" s="250"/>
      <c r="MK92" s="250"/>
      <c r="ML92" s="250"/>
      <c r="MM92" s="250"/>
      <c r="MN92" s="250"/>
      <c r="MO92" s="250"/>
      <c r="MP92" s="250"/>
      <c r="MQ92" s="250"/>
      <c r="MR92" s="250"/>
      <c r="MS92" s="250"/>
      <c r="MT92" s="250"/>
      <c r="MU92" s="250"/>
      <c r="MV92" s="250"/>
      <c r="MW92" s="250"/>
      <c r="MX92" s="250"/>
      <c r="MY92" s="250"/>
      <c r="MZ92" s="250"/>
      <c r="NA92" s="250"/>
      <c r="NB92" s="250"/>
      <c r="NC92" s="250"/>
      <c r="ND92" s="250"/>
      <c r="NE92" s="250"/>
      <c r="NF92" s="250"/>
      <c r="NG92" s="250"/>
      <c r="NH92" s="250"/>
      <c r="NI92" s="250"/>
      <c r="NJ92" s="250"/>
      <c r="NK92" s="250"/>
      <c r="NL92" s="250"/>
      <c r="NM92" s="250"/>
      <c r="NN92" s="250"/>
      <c r="NO92" s="250"/>
      <c r="NP92" s="250"/>
      <c r="NQ92" s="250"/>
      <c r="NR92" s="250"/>
      <c r="NS92" s="250"/>
      <c r="NT92" s="250"/>
      <c r="NU92" s="250"/>
      <c r="NV92" s="250"/>
      <c r="NW92" s="250"/>
      <c r="NX92" s="250"/>
      <c r="NY92" s="250"/>
      <c r="NZ92" s="250"/>
      <c r="OA92" s="250"/>
      <c r="OB92" s="250"/>
      <c r="OC92" s="250"/>
      <c r="OD92" s="250"/>
      <c r="OE92" s="250"/>
      <c r="OF92" s="250"/>
      <c r="OG92" s="250"/>
      <c r="OH92" s="250"/>
      <c r="OI92" s="250"/>
      <c r="OJ92" s="250"/>
      <c r="OK92" s="250"/>
      <c r="OL92" s="250"/>
      <c r="OM92" s="250"/>
      <c r="ON92" s="250"/>
      <c r="OO92" s="250"/>
      <c r="OP92" s="250"/>
      <c r="OQ92" s="250"/>
      <c r="OR92" s="250"/>
      <c r="OS92" s="250"/>
      <c r="OT92" s="250"/>
      <c r="OU92" s="250"/>
      <c r="OV92" s="250"/>
      <c r="OW92" s="250"/>
      <c r="OX92" s="250"/>
      <c r="OY92" s="250"/>
      <c r="OZ92" s="250"/>
      <c r="PA92" s="250"/>
      <c r="PB92" s="250"/>
      <c r="PC92" s="250"/>
      <c r="PD92" s="250"/>
      <c r="PE92" s="250"/>
      <c r="PF92" s="250"/>
      <c r="PG92" s="250"/>
      <c r="PH92" s="250"/>
      <c r="PI92" s="250"/>
      <c r="PJ92" s="250"/>
      <c r="PK92" s="250"/>
      <c r="PL92" s="250"/>
      <c r="PM92" s="250"/>
      <c r="PN92" s="250"/>
      <c r="PO92" s="250"/>
      <c r="PP92" s="250"/>
      <c r="PQ92" s="250"/>
      <c r="PR92" s="250"/>
      <c r="PS92" s="250"/>
      <c r="PT92" s="250"/>
      <c r="PU92" s="250"/>
      <c r="PV92" s="250"/>
      <c r="PW92" s="250"/>
      <c r="PX92" s="250"/>
      <c r="PY92" s="250"/>
      <c r="PZ92" s="250"/>
      <c r="QA92" s="250"/>
      <c r="QB92" s="250"/>
      <c r="QC92" s="250"/>
      <c r="QD92" s="250"/>
      <c r="QE92" s="250"/>
      <c r="QF92" s="250"/>
      <c r="QG92" s="250"/>
      <c r="QH92" s="250"/>
      <c r="QI92" s="250"/>
      <c r="QJ92" s="250"/>
      <c r="QK92" s="250"/>
      <c r="QL92" s="250"/>
      <c r="QM92" s="250"/>
      <c r="QN92" s="250"/>
      <c r="QO92" s="250"/>
      <c r="QP92" s="250"/>
      <c r="QQ92" s="250"/>
      <c r="QR92" s="250"/>
      <c r="QS92" s="250"/>
      <c r="QT92" s="250"/>
      <c r="QU92" s="250"/>
      <c r="QV92" s="250"/>
      <c r="QW92" s="250"/>
      <c r="QX92" s="250"/>
      <c r="QY92" s="250"/>
      <c r="QZ92" s="250"/>
      <c r="RA92" s="250"/>
      <c r="RB92" s="250"/>
      <c r="RC92" s="250"/>
      <c r="RD92" s="250"/>
      <c r="RE92" s="250"/>
      <c r="RF92" s="250"/>
      <c r="RG92" s="250"/>
      <c r="RH92" s="250"/>
      <c r="RI92" s="250"/>
      <c r="RJ92" s="250"/>
      <c r="RK92" s="250"/>
      <c r="RL92" s="250"/>
      <c r="RM92" s="250"/>
      <c r="RN92" s="250"/>
      <c r="RO92" s="250"/>
      <c r="RP92" s="250"/>
      <c r="RQ92" s="250"/>
      <c r="RR92" s="250"/>
      <c r="RS92" s="250"/>
      <c r="RT92" s="250"/>
      <c r="RU92" s="250"/>
      <c r="RV92" s="250"/>
      <c r="RW92" s="250"/>
      <c r="RX92" s="250"/>
      <c r="RY92" s="250"/>
      <c r="RZ92" s="250"/>
      <c r="SA92" s="250"/>
      <c r="SB92" s="250"/>
      <c r="SC92" s="250"/>
      <c r="SD92" s="250"/>
      <c r="SE92" s="250"/>
      <c r="SF92" s="250"/>
      <c r="SG92" s="250"/>
      <c r="SH92" s="250"/>
      <c r="SI92" s="250"/>
      <c r="SJ92" s="250"/>
      <c r="SK92" s="250"/>
      <c r="SL92" s="250"/>
      <c r="SM92" s="250"/>
      <c r="SN92" s="250"/>
      <c r="SO92" s="250"/>
      <c r="SP92" s="250"/>
      <c r="SQ92" s="250"/>
      <c r="SR92" s="250"/>
      <c r="SS92" s="250"/>
      <c r="ST92" s="250"/>
      <c r="SU92" s="250"/>
      <c r="SV92" s="250"/>
      <c r="SW92" s="250"/>
      <c r="SX92" s="250"/>
      <c r="SY92" s="250"/>
      <c r="SZ92" s="250"/>
      <c r="TA92" s="250"/>
      <c r="TB92" s="250"/>
      <c r="TC92" s="250"/>
      <c r="TD92" s="250"/>
      <c r="TE92" s="250"/>
      <c r="TF92" s="250"/>
      <c r="TG92" s="250"/>
      <c r="TH92" s="250"/>
      <c r="TI92" s="250"/>
      <c r="TJ92" s="250"/>
      <c r="TK92" s="250"/>
      <c r="TL92" s="250"/>
      <c r="TM92" s="250"/>
      <c r="TN92" s="250"/>
      <c r="TO92" s="250"/>
      <c r="TP92" s="250"/>
      <c r="TQ92" s="250"/>
      <c r="TR92" s="250"/>
      <c r="TS92" s="250"/>
      <c r="TT92" s="250"/>
      <c r="TU92" s="250"/>
      <c r="TV92" s="250"/>
      <c r="TW92" s="250"/>
      <c r="TX92" s="250"/>
      <c r="TY92" s="250"/>
      <c r="TZ92" s="250"/>
      <c r="UA92" s="250"/>
      <c r="UB92" s="250"/>
      <c r="UC92" s="250"/>
      <c r="UD92" s="250"/>
      <c r="UE92" s="250"/>
      <c r="UF92" s="250"/>
      <c r="UG92" s="250"/>
      <c r="UH92" s="250"/>
      <c r="UI92" s="250"/>
      <c r="UJ92" s="250"/>
      <c r="UK92" s="250"/>
      <c r="UL92" s="250"/>
      <c r="UM92" s="250"/>
      <c r="UN92" s="250"/>
      <c r="UO92" s="250"/>
      <c r="UP92" s="250"/>
      <c r="UQ92" s="250"/>
      <c r="UR92" s="250"/>
      <c r="US92" s="250"/>
      <c r="UT92" s="250"/>
      <c r="UU92" s="250"/>
      <c r="UV92" s="250"/>
      <c r="UW92" s="250"/>
      <c r="UX92" s="250"/>
      <c r="UY92" s="250"/>
      <c r="UZ92" s="250"/>
      <c r="VA92" s="250"/>
      <c r="VB92" s="250"/>
      <c r="VC92" s="250"/>
    </row>
    <row r="93" spans="1:575" s="15" customFormat="1" ht="15" customHeight="1" x14ac:dyDescent="0.25">
      <c r="A93" s="296"/>
      <c r="B93" s="296"/>
      <c r="C93" s="296"/>
      <c r="D93" s="296"/>
      <c r="E93" s="296"/>
      <c r="F93" s="296"/>
      <c r="G93" s="296"/>
      <c r="H93" s="296"/>
      <c r="I93" s="296"/>
      <c r="J93" s="296"/>
      <c r="K93" s="296"/>
      <c r="L93" s="296"/>
      <c r="M93" s="296"/>
      <c r="N93" s="296"/>
      <c r="O93" s="296"/>
      <c r="P93" s="296"/>
      <c r="Q93" s="296"/>
      <c r="R93" s="296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296"/>
      <c r="AN93" s="296"/>
      <c r="AO93" s="296"/>
      <c r="AP93" s="296"/>
      <c r="AQ93" s="296"/>
      <c r="AR93" s="296"/>
      <c r="AS93" s="296"/>
      <c r="AT93" s="296"/>
      <c r="AU93" s="296"/>
      <c r="AV93" s="296"/>
      <c r="AW93" s="296"/>
      <c r="AX93" s="296"/>
      <c r="AY93" s="296"/>
      <c r="AZ93" s="296"/>
      <c r="BA93" s="296"/>
      <c r="BB93" s="466"/>
      <c r="BC93" s="466"/>
      <c r="BD93" s="466"/>
      <c r="BE93" s="466"/>
      <c r="BF93" s="466"/>
      <c r="BG93" s="466"/>
      <c r="BH93" s="466"/>
      <c r="BI93" s="466"/>
      <c r="BJ93" s="466"/>
      <c r="BK93" s="466"/>
      <c r="BL93" s="466"/>
      <c r="BM93" s="466"/>
      <c r="BN93" s="466"/>
      <c r="BO93" s="466"/>
      <c r="BP93" s="466"/>
      <c r="BQ93" s="466"/>
      <c r="BR93" s="466"/>
      <c r="BS93" s="466"/>
      <c r="BT93" s="466"/>
      <c r="BU93" s="466"/>
      <c r="BV93" s="466"/>
      <c r="BW93" s="466"/>
      <c r="BX93" s="250"/>
      <c r="BY93" s="250"/>
      <c r="BZ93" s="250"/>
      <c r="CA93" s="250"/>
      <c r="CB93" s="250"/>
      <c r="CC93" s="250"/>
      <c r="CD93" s="250"/>
      <c r="CE93" s="250"/>
      <c r="CF93" s="250"/>
      <c r="CG93" s="250"/>
      <c r="CH93" s="250"/>
      <c r="CI93" s="250"/>
      <c r="CJ93" s="250"/>
      <c r="CK93" s="250"/>
      <c r="CL93" s="250"/>
      <c r="CM93" s="250"/>
      <c r="CN93" s="250"/>
      <c r="CO93" s="250"/>
      <c r="CP93" s="250"/>
      <c r="CQ93" s="250"/>
      <c r="CR93" s="250"/>
      <c r="CS93" s="250"/>
      <c r="CT93" s="250"/>
      <c r="CU93" s="250"/>
      <c r="CV93" s="250"/>
      <c r="CW93" s="250"/>
      <c r="CX93" s="250"/>
      <c r="CY93" s="250"/>
      <c r="CZ93" s="250"/>
      <c r="DA93" s="250"/>
      <c r="DB93" s="250"/>
      <c r="DC93" s="250"/>
      <c r="DD93" s="250"/>
      <c r="DE93" s="250"/>
      <c r="DF93" s="250"/>
      <c r="DG93" s="250"/>
      <c r="DH93" s="250"/>
      <c r="DI93" s="250"/>
      <c r="DJ93" s="250"/>
      <c r="DK93" s="250"/>
      <c r="DL93" s="250"/>
      <c r="DM93" s="250"/>
      <c r="DN93" s="250"/>
      <c r="DO93" s="250"/>
      <c r="DP93" s="250"/>
      <c r="DQ93" s="250"/>
      <c r="DR93" s="250"/>
      <c r="DS93" s="250"/>
      <c r="DT93" s="250"/>
      <c r="DU93" s="250"/>
      <c r="DV93" s="250"/>
      <c r="DW93" s="250"/>
      <c r="DX93" s="250"/>
      <c r="DY93" s="250"/>
      <c r="DZ93" s="250"/>
      <c r="EA93" s="250"/>
      <c r="EB93" s="250"/>
      <c r="EC93" s="250"/>
      <c r="ED93" s="250"/>
      <c r="EE93" s="250"/>
      <c r="EF93" s="250"/>
      <c r="EG93" s="250"/>
      <c r="EH93" s="250"/>
      <c r="EI93" s="250"/>
      <c r="EJ93" s="250"/>
      <c r="EK93" s="250"/>
      <c r="EL93" s="250"/>
      <c r="EM93" s="250"/>
      <c r="EN93" s="250"/>
      <c r="EO93" s="250"/>
      <c r="EP93" s="250"/>
      <c r="EQ93" s="250"/>
      <c r="ER93" s="250"/>
      <c r="ES93" s="250"/>
      <c r="ET93" s="250"/>
      <c r="EU93" s="250"/>
      <c r="EV93" s="250"/>
      <c r="EW93" s="250"/>
      <c r="EX93" s="250"/>
      <c r="EY93" s="250"/>
      <c r="EZ93" s="250"/>
      <c r="FA93" s="250"/>
      <c r="FB93" s="250"/>
      <c r="FC93" s="250"/>
      <c r="FD93" s="250"/>
      <c r="FE93" s="250"/>
      <c r="FF93" s="250"/>
      <c r="FG93" s="250"/>
      <c r="FH93" s="250"/>
      <c r="FI93" s="250"/>
      <c r="FJ93" s="250"/>
      <c r="FK93" s="250"/>
      <c r="FL93" s="250"/>
      <c r="FM93" s="250"/>
      <c r="FN93" s="250"/>
      <c r="FO93" s="250"/>
      <c r="FP93" s="250"/>
      <c r="FQ93" s="250"/>
      <c r="FR93" s="250"/>
      <c r="FS93" s="250"/>
      <c r="FT93" s="250"/>
      <c r="FU93" s="250"/>
      <c r="FV93" s="250"/>
      <c r="FW93" s="250"/>
      <c r="FX93" s="250"/>
      <c r="FY93" s="250"/>
      <c r="FZ93" s="250"/>
      <c r="GA93" s="250"/>
      <c r="GB93" s="250"/>
      <c r="GC93" s="250"/>
      <c r="GD93" s="250"/>
      <c r="GE93" s="250"/>
      <c r="GF93" s="250"/>
      <c r="GG93" s="250"/>
      <c r="GH93" s="250"/>
      <c r="GI93" s="250"/>
      <c r="GJ93" s="250"/>
      <c r="GK93" s="250"/>
      <c r="GL93" s="250"/>
      <c r="GM93" s="250"/>
      <c r="GN93" s="250"/>
      <c r="GO93" s="250"/>
      <c r="GP93" s="250"/>
      <c r="GQ93" s="250"/>
      <c r="GR93" s="250"/>
      <c r="GS93" s="250"/>
      <c r="GT93" s="250"/>
      <c r="GU93" s="250"/>
      <c r="GV93" s="250"/>
      <c r="GW93" s="250"/>
      <c r="GX93" s="250"/>
      <c r="GY93" s="250"/>
      <c r="GZ93" s="250"/>
      <c r="HA93" s="250"/>
      <c r="HB93" s="250"/>
      <c r="HC93" s="250"/>
      <c r="HD93" s="250"/>
      <c r="HE93" s="250"/>
      <c r="HF93" s="250"/>
      <c r="HG93" s="250"/>
      <c r="HH93" s="250"/>
      <c r="HI93" s="250"/>
      <c r="HJ93" s="250"/>
      <c r="HK93" s="250"/>
      <c r="HL93" s="250"/>
      <c r="HM93" s="250"/>
      <c r="HN93" s="250"/>
      <c r="HO93" s="250"/>
      <c r="HP93" s="250"/>
      <c r="HQ93" s="250"/>
      <c r="HR93" s="250"/>
      <c r="HS93" s="250"/>
      <c r="HT93" s="250"/>
      <c r="HU93" s="250"/>
      <c r="HV93" s="250"/>
      <c r="HW93" s="250"/>
      <c r="HX93" s="250"/>
      <c r="HY93" s="250"/>
      <c r="HZ93" s="250"/>
      <c r="IA93" s="250"/>
      <c r="IB93" s="250"/>
      <c r="IC93" s="250"/>
      <c r="ID93" s="250"/>
      <c r="IE93" s="250"/>
      <c r="IF93" s="250"/>
      <c r="IG93" s="250"/>
      <c r="IH93" s="250"/>
      <c r="II93" s="250"/>
      <c r="IJ93" s="250"/>
      <c r="IK93" s="250"/>
      <c r="IL93" s="250"/>
      <c r="IM93" s="250"/>
      <c r="IN93" s="250"/>
      <c r="IO93" s="250"/>
      <c r="IP93" s="250"/>
      <c r="IQ93" s="250"/>
      <c r="IR93" s="250"/>
      <c r="IS93" s="250"/>
      <c r="IT93" s="250"/>
      <c r="IU93" s="250"/>
      <c r="IV93" s="250"/>
      <c r="IW93" s="250"/>
      <c r="IX93" s="250"/>
      <c r="IY93" s="250"/>
      <c r="IZ93" s="250"/>
      <c r="JA93" s="250"/>
      <c r="JB93" s="250"/>
      <c r="JC93" s="250"/>
      <c r="JD93" s="250"/>
      <c r="JE93" s="250"/>
      <c r="JF93" s="250"/>
      <c r="JG93" s="250"/>
      <c r="JH93" s="250"/>
      <c r="JI93" s="250"/>
      <c r="JJ93" s="250"/>
      <c r="JK93" s="250"/>
      <c r="JL93" s="250"/>
      <c r="JM93" s="250"/>
      <c r="JN93" s="250"/>
      <c r="JO93" s="250"/>
      <c r="JP93" s="250"/>
      <c r="JQ93" s="250"/>
      <c r="JR93" s="250"/>
      <c r="JS93" s="250"/>
      <c r="JT93" s="250"/>
      <c r="JU93" s="250"/>
      <c r="JV93" s="250"/>
      <c r="JW93" s="250"/>
      <c r="JX93" s="250"/>
      <c r="JY93" s="250"/>
      <c r="JZ93" s="250"/>
      <c r="KA93" s="250"/>
      <c r="KB93" s="250"/>
      <c r="KC93" s="250"/>
      <c r="KD93" s="250"/>
      <c r="KE93" s="250"/>
      <c r="KF93" s="250"/>
      <c r="KG93" s="250"/>
      <c r="KH93" s="250"/>
      <c r="KI93" s="250"/>
      <c r="KJ93" s="250"/>
      <c r="KK93" s="250"/>
      <c r="KL93" s="250"/>
      <c r="KM93" s="250"/>
      <c r="KN93" s="250"/>
      <c r="KO93" s="250"/>
      <c r="KP93" s="250"/>
      <c r="KQ93" s="250"/>
      <c r="KR93" s="250"/>
      <c r="KS93" s="250"/>
      <c r="KT93" s="250"/>
      <c r="KU93" s="250"/>
      <c r="KV93" s="250"/>
      <c r="KW93" s="250"/>
      <c r="KX93" s="250"/>
      <c r="KY93" s="250"/>
      <c r="KZ93" s="250"/>
      <c r="LA93" s="250"/>
      <c r="LB93" s="250"/>
      <c r="LC93" s="250"/>
      <c r="LD93" s="250"/>
      <c r="LE93" s="250"/>
      <c r="LF93" s="250"/>
      <c r="LG93" s="250"/>
      <c r="LH93" s="250"/>
      <c r="LI93" s="250"/>
      <c r="LJ93" s="250"/>
      <c r="LK93" s="250"/>
      <c r="LL93" s="250"/>
      <c r="LM93" s="250"/>
      <c r="LN93" s="250"/>
      <c r="LO93" s="250"/>
      <c r="LP93" s="250"/>
      <c r="LQ93" s="250"/>
      <c r="LR93" s="250"/>
      <c r="LS93" s="250"/>
      <c r="LT93" s="250"/>
      <c r="LU93" s="250"/>
      <c r="LV93" s="250"/>
      <c r="LW93" s="250"/>
      <c r="LX93" s="250"/>
      <c r="LY93" s="250"/>
      <c r="LZ93" s="250"/>
      <c r="MA93" s="250"/>
      <c r="MB93" s="250"/>
      <c r="MC93" s="250"/>
      <c r="MD93" s="250"/>
      <c r="ME93" s="250"/>
      <c r="MF93" s="250"/>
      <c r="MG93" s="250"/>
      <c r="MH93" s="250"/>
      <c r="MI93" s="250"/>
      <c r="MJ93" s="250"/>
      <c r="MK93" s="250"/>
      <c r="ML93" s="250"/>
      <c r="MM93" s="250"/>
      <c r="MN93" s="250"/>
      <c r="MO93" s="250"/>
      <c r="MP93" s="250"/>
      <c r="MQ93" s="250"/>
      <c r="MR93" s="250"/>
      <c r="MS93" s="250"/>
      <c r="MT93" s="250"/>
      <c r="MU93" s="250"/>
      <c r="MV93" s="250"/>
      <c r="MW93" s="250"/>
      <c r="MX93" s="250"/>
      <c r="MY93" s="250"/>
      <c r="MZ93" s="250"/>
      <c r="NA93" s="250"/>
      <c r="NB93" s="250"/>
      <c r="NC93" s="250"/>
      <c r="ND93" s="250"/>
      <c r="NE93" s="250"/>
      <c r="NF93" s="250"/>
      <c r="NG93" s="250"/>
      <c r="NH93" s="250"/>
      <c r="NI93" s="250"/>
      <c r="NJ93" s="250"/>
      <c r="NK93" s="250"/>
      <c r="NL93" s="250"/>
      <c r="NM93" s="250"/>
      <c r="NN93" s="250"/>
      <c r="NO93" s="250"/>
      <c r="NP93" s="250"/>
      <c r="NQ93" s="250"/>
      <c r="NR93" s="250"/>
      <c r="NS93" s="250"/>
      <c r="NT93" s="250"/>
      <c r="NU93" s="250"/>
      <c r="NV93" s="250"/>
      <c r="NW93" s="250"/>
      <c r="NX93" s="250"/>
      <c r="NY93" s="250"/>
      <c r="NZ93" s="250"/>
      <c r="OA93" s="250"/>
      <c r="OB93" s="250"/>
      <c r="OC93" s="250"/>
      <c r="OD93" s="250"/>
      <c r="OE93" s="250"/>
      <c r="OF93" s="250"/>
      <c r="OG93" s="250"/>
      <c r="OH93" s="250"/>
      <c r="OI93" s="250"/>
      <c r="OJ93" s="250"/>
      <c r="OK93" s="250"/>
      <c r="OL93" s="250"/>
      <c r="OM93" s="250"/>
      <c r="ON93" s="250"/>
      <c r="OO93" s="250"/>
      <c r="OP93" s="250"/>
      <c r="OQ93" s="250"/>
      <c r="OR93" s="250"/>
      <c r="OS93" s="250"/>
      <c r="OT93" s="250"/>
      <c r="OU93" s="250"/>
      <c r="OV93" s="250"/>
      <c r="OW93" s="250"/>
      <c r="OX93" s="250"/>
      <c r="OY93" s="250"/>
      <c r="OZ93" s="250"/>
      <c r="PA93" s="250"/>
      <c r="PB93" s="250"/>
      <c r="PC93" s="250"/>
      <c r="PD93" s="250"/>
      <c r="PE93" s="250"/>
      <c r="PF93" s="250"/>
      <c r="PG93" s="250"/>
      <c r="PH93" s="250"/>
      <c r="PI93" s="250"/>
      <c r="PJ93" s="250"/>
      <c r="PK93" s="250"/>
      <c r="PL93" s="250"/>
      <c r="PM93" s="250"/>
      <c r="PN93" s="250"/>
      <c r="PO93" s="250"/>
      <c r="PP93" s="250"/>
      <c r="PQ93" s="250"/>
      <c r="PR93" s="250"/>
      <c r="PS93" s="250"/>
      <c r="PT93" s="250"/>
      <c r="PU93" s="250"/>
      <c r="PV93" s="250"/>
      <c r="PW93" s="250"/>
      <c r="PX93" s="250"/>
      <c r="PY93" s="250"/>
      <c r="PZ93" s="250"/>
      <c r="QA93" s="250"/>
      <c r="QB93" s="250"/>
      <c r="QC93" s="250"/>
      <c r="QD93" s="250"/>
      <c r="QE93" s="250"/>
      <c r="QF93" s="250"/>
      <c r="QG93" s="250"/>
      <c r="QH93" s="250"/>
      <c r="QI93" s="250"/>
      <c r="QJ93" s="250"/>
      <c r="QK93" s="250"/>
      <c r="QL93" s="250"/>
      <c r="QM93" s="250"/>
      <c r="QN93" s="250"/>
      <c r="QO93" s="250"/>
      <c r="QP93" s="250"/>
      <c r="QQ93" s="250"/>
      <c r="QR93" s="250"/>
      <c r="QS93" s="250"/>
      <c r="QT93" s="250"/>
      <c r="QU93" s="250"/>
      <c r="QV93" s="250"/>
      <c r="QW93" s="250"/>
      <c r="QX93" s="250"/>
      <c r="QY93" s="250"/>
      <c r="QZ93" s="250"/>
      <c r="RA93" s="250"/>
      <c r="RB93" s="250"/>
      <c r="RC93" s="250"/>
      <c r="RD93" s="250"/>
      <c r="RE93" s="250"/>
      <c r="RF93" s="250"/>
      <c r="RG93" s="250"/>
      <c r="RH93" s="250"/>
      <c r="RI93" s="250"/>
      <c r="RJ93" s="250"/>
      <c r="RK93" s="250"/>
      <c r="RL93" s="250"/>
      <c r="RM93" s="250"/>
      <c r="RN93" s="250"/>
      <c r="RO93" s="250"/>
      <c r="RP93" s="250"/>
      <c r="RQ93" s="250"/>
      <c r="RR93" s="250"/>
      <c r="RS93" s="250"/>
      <c r="RT93" s="250"/>
      <c r="RU93" s="250"/>
      <c r="RV93" s="250"/>
      <c r="RW93" s="250"/>
      <c r="RX93" s="250"/>
      <c r="RY93" s="250"/>
      <c r="RZ93" s="250"/>
      <c r="SA93" s="250"/>
      <c r="SB93" s="250"/>
      <c r="SC93" s="250"/>
      <c r="SD93" s="250"/>
      <c r="SE93" s="250"/>
      <c r="SF93" s="250"/>
      <c r="SG93" s="250"/>
      <c r="SH93" s="250"/>
      <c r="SI93" s="250"/>
      <c r="SJ93" s="250"/>
      <c r="SK93" s="250"/>
      <c r="SL93" s="250"/>
      <c r="SM93" s="250"/>
      <c r="SN93" s="250"/>
      <c r="SO93" s="250"/>
      <c r="SP93" s="250"/>
      <c r="SQ93" s="250"/>
      <c r="SR93" s="250"/>
      <c r="SS93" s="250"/>
      <c r="ST93" s="250"/>
      <c r="SU93" s="250"/>
      <c r="SV93" s="250"/>
      <c r="SW93" s="250"/>
      <c r="SX93" s="250"/>
      <c r="SY93" s="250"/>
      <c r="SZ93" s="250"/>
      <c r="TA93" s="250"/>
      <c r="TB93" s="250"/>
      <c r="TC93" s="250"/>
      <c r="TD93" s="250"/>
      <c r="TE93" s="250"/>
      <c r="TF93" s="250"/>
      <c r="TG93" s="250"/>
      <c r="TH93" s="250"/>
      <c r="TI93" s="250"/>
      <c r="TJ93" s="250"/>
      <c r="TK93" s="250"/>
      <c r="TL93" s="250"/>
      <c r="TM93" s="250"/>
      <c r="TN93" s="250"/>
      <c r="TO93" s="250"/>
      <c r="TP93" s="250"/>
      <c r="TQ93" s="250"/>
      <c r="TR93" s="250"/>
      <c r="TS93" s="250"/>
      <c r="TT93" s="250"/>
      <c r="TU93" s="250"/>
      <c r="TV93" s="250"/>
      <c r="TW93" s="250"/>
      <c r="TX93" s="250"/>
      <c r="TY93" s="250"/>
      <c r="TZ93" s="250"/>
      <c r="UA93" s="250"/>
      <c r="UB93" s="250"/>
      <c r="UC93" s="250"/>
      <c r="UD93" s="250"/>
      <c r="UE93" s="250"/>
      <c r="UF93" s="250"/>
      <c r="UG93" s="250"/>
      <c r="UH93" s="250"/>
      <c r="UI93" s="250"/>
      <c r="UJ93" s="250"/>
      <c r="UK93" s="250"/>
      <c r="UL93" s="250"/>
      <c r="UM93" s="250"/>
      <c r="UN93" s="250"/>
      <c r="UO93" s="250"/>
      <c r="UP93" s="250"/>
      <c r="UQ93" s="250"/>
      <c r="UR93" s="250"/>
      <c r="US93" s="250"/>
      <c r="UT93" s="250"/>
      <c r="UU93" s="250"/>
      <c r="UV93" s="250"/>
      <c r="UW93" s="250"/>
      <c r="UX93" s="250"/>
      <c r="UY93" s="250"/>
      <c r="UZ93" s="250"/>
      <c r="VA93" s="250"/>
      <c r="VB93" s="250"/>
      <c r="VC93" s="250"/>
    </row>
    <row r="94" spans="1:575" ht="15" customHeight="1" x14ac:dyDescent="0.25">
      <c r="A94" s="296"/>
      <c r="B94" s="296"/>
      <c r="C94" s="296"/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296"/>
      <c r="AU94" s="296"/>
      <c r="AV94" s="296"/>
      <c r="AW94" s="296"/>
      <c r="AX94" s="296"/>
      <c r="AY94" s="296"/>
      <c r="AZ94" s="296"/>
      <c r="BA94" s="296"/>
      <c r="BB94" s="466"/>
      <c r="BC94" s="466"/>
      <c r="BD94" s="466"/>
      <c r="BE94" s="466"/>
      <c r="BF94" s="466"/>
      <c r="BG94" s="466"/>
      <c r="BH94" s="466"/>
      <c r="BI94" s="466"/>
      <c r="BJ94" s="466"/>
      <c r="BK94" s="466"/>
      <c r="BL94" s="466"/>
      <c r="BM94" s="466"/>
      <c r="BN94" s="466"/>
      <c r="BO94" s="466"/>
      <c r="BP94" s="466"/>
      <c r="BQ94" s="466"/>
      <c r="BR94" s="466"/>
      <c r="BS94" s="466"/>
      <c r="BT94" s="466"/>
      <c r="BU94" s="466"/>
      <c r="BV94" s="466"/>
      <c r="BW94" s="466"/>
      <c r="BX94" s="250"/>
      <c r="BY94" s="250"/>
      <c r="BZ94" s="250"/>
      <c r="CA94" s="250"/>
      <c r="CB94" s="250"/>
      <c r="CC94" s="250"/>
      <c r="CD94" s="250"/>
      <c r="CE94" s="250"/>
      <c r="CF94" s="250"/>
      <c r="CG94" s="250"/>
      <c r="CH94" s="250"/>
      <c r="CI94" s="250"/>
      <c r="CJ94" s="250"/>
      <c r="CK94" s="250"/>
      <c r="CL94" s="250"/>
      <c r="CM94" s="250"/>
      <c r="CN94" s="250"/>
      <c r="CO94" s="250"/>
      <c r="CP94" s="250"/>
      <c r="CQ94" s="250"/>
      <c r="CR94" s="250"/>
      <c r="CS94" s="250"/>
      <c r="CT94" s="250"/>
      <c r="CU94" s="250"/>
      <c r="CV94" s="250"/>
      <c r="CW94" s="250"/>
      <c r="CX94" s="250"/>
      <c r="CY94" s="250"/>
      <c r="CZ94" s="250"/>
      <c r="DA94" s="250"/>
      <c r="DB94" s="250"/>
      <c r="DC94" s="250"/>
      <c r="DD94" s="250"/>
      <c r="DE94" s="250"/>
      <c r="DF94" s="250"/>
      <c r="DG94" s="250"/>
      <c r="DH94" s="250"/>
      <c r="DI94" s="250"/>
      <c r="DJ94" s="250"/>
      <c r="DK94" s="250"/>
      <c r="DL94" s="250"/>
      <c r="DM94" s="250"/>
      <c r="DN94" s="250"/>
      <c r="DO94" s="250"/>
      <c r="DP94" s="250"/>
      <c r="DQ94" s="250"/>
      <c r="DR94" s="250"/>
      <c r="DS94" s="250"/>
      <c r="DT94" s="250"/>
      <c r="DU94" s="250"/>
      <c r="DV94" s="250"/>
      <c r="DW94" s="250"/>
      <c r="DX94" s="250"/>
      <c r="DY94" s="250"/>
      <c r="DZ94" s="250"/>
      <c r="EA94" s="250"/>
      <c r="EB94" s="250"/>
      <c r="EC94" s="250"/>
      <c r="ED94" s="250"/>
      <c r="EE94" s="250"/>
      <c r="EF94" s="250"/>
      <c r="EG94" s="250"/>
      <c r="EH94" s="250"/>
      <c r="EI94" s="250"/>
      <c r="EJ94" s="250"/>
      <c r="EK94" s="250"/>
      <c r="EL94" s="250"/>
      <c r="EM94" s="250"/>
      <c r="EN94" s="250"/>
      <c r="EO94" s="250"/>
      <c r="EP94" s="250"/>
      <c r="EQ94" s="250"/>
      <c r="ER94" s="250"/>
      <c r="ES94" s="250"/>
      <c r="ET94" s="250"/>
      <c r="EU94" s="250"/>
      <c r="EV94" s="250"/>
      <c r="EW94" s="250"/>
      <c r="EX94" s="250"/>
      <c r="EY94" s="250"/>
      <c r="EZ94" s="250"/>
      <c r="FA94" s="250"/>
      <c r="FB94" s="250"/>
      <c r="FC94" s="250"/>
      <c r="FD94" s="250"/>
      <c r="FE94" s="250"/>
      <c r="FF94" s="250"/>
      <c r="FG94" s="250"/>
      <c r="FH94" s="250"/>
      <c r="FI94" s="250"/>
      <c r="FJ94" s="250"/>
      <c r="FK94" s="250"/>
      <c r="FL94" s="250"/>
      <c r="FM94" s="250"/>
      <c r="FN94" s="250"/>
      <c r="FO94" s="250"/>
      <c r="FP94" s="250"/>
      <c r="FQ94" s="250"/>
      <c r="FR94" s="250"/>
      <c r="FS94" s="250"/>
      <c r="FT94" s="250"/>
      <c r="FU94" s="250"/>
      <c r="FV94" s="250"/>
      <c r="FW94" s="250"/>
      <c r="FX94" s="250"/>
      <c r="FY94" s="250"/>
      <c r="FZ94" s="250"/>
      <c r="GA94" s="250"/>
      <c r="GB94" s="250"/>
      <c r="GC94" s="250"/>
      <c r="GD94" s="250"/>
      <c r="GE94" s="250"/>
      <c r="GF94" s="250"/>
      <c r="GG94" s="250"/>
      <c r="GH94" s="250"/>
      <c r="GI94" s="250"/>
      <c r="GJ94" s="250"/>
      <c r="GK94" s="250"/>
      <c r="GL94" s="250"/>
      <c r="GM94" s="250"/>
      <c r="GN94" s="250"/>
      <c r="GO94" s="250"/>
      <c r="GP94" s="250"/>
      <c r="GQ94" s="250"/>
      <c r="GR94" s="250"/>
      <c r="GS94" s="250"/>
      <c r="GT94" s="250"/>
      <c r="GU94" s="250"/>
      <c r="GV94" s="250"/>
      <c r="GW94" s="250"/>
      <c r="GX94" s="250"/>
      <c r="GY94" s="250"/>
      <c r="GZ94" s="250"/>
      <c r="HA94" s="250"/>
      <c r="HB94" s="250"/>
      <c r="HC94" s="250"/>
      <c r="HD94" s="250"/>
      <c r="HE94" s="250"/>
      <c r="HF94" s="250"/>
      <c r="HG94" s="250"/>
      <c r="HH94" s="250"/>
      <c r="HI94" s="250"/>
      <c r="HJ94" s="250"/>
      <c r="HK94" s="250"/>
      <c r="HL94" s="250"/>
      <c r="HM94" s="250"/>
      <c r="HN94" s="250"/>
      <c r="HO94" s="250"/>
      <c r="HP94" s="250"/>
      <c r="HQ94" s="250"/>
      <c r="HR94" s="250"/>
      <c r="HS94" s="250"/>
      <c r="HT94" s="250"/>
      <c r="HU94" s="250"/>
      <c r="HV94" s="250"/>
      <c r="HW94" s="250"/>
      <c r="HX94" s="250"/>
      <c r="HY94" s="250"/>
      <c r="HZ94" s="250"/>
      <c r="IA94" s="250"/>
      <c r="IB94" s="250"/>
      <c r="IC94" s="250"/>
      <c r="ID94" s="250"/>
      <c r="IE94" s="250"/>
      <c r="IF94" s="250"/>
      <c r="IG94" s="250"/>
      <c r="IH94" s="250"/>
      <c r="II94" s="250"/>
      <c r="IJ94" s="250"/>
      <c r="IK94" s="250"/>
      <c r="IL94" s="250"/>
      <c r="IM94" s="250"/>
      <c r="IN94" s="250"/>
      <c r="IO94" s="250"/>
      <c r="IP94" s="250"/>
      <c r="IQ94" s="250"/>
      <c r="IR94" s="250"/>
      <c r="IS94" s="250"/>
      <c r="IT94" s="250"/>
      <c r="IU94" s="250"/>
      <c r="IV94" s="250"/>
      <c r="IW94" s="250"/>
      <c r="IX94" s="250"/>
      <c r="IY94" s="250"/>
      <c r="IZ94" s="250"/>
      <c r="JA94" s="250"/>
      <c r="JB94" s="250"/>
      <c r="JC94" s="250"/>
      <c r="JD94" s="250"/>
      <c r="JE94" s="250"/>
      <c r="JF94" s="250"/>
      <c r="JG94" s="250"/>
      <c r="JH94" s="250"/>
      <c r="JI94" s="250"/>
      <c r="JJ94" s="250"/>
      <c r="JK94" s="250"/>
      <c r="JL94" s="250"/>
      <c r="JM94" s="250"/>
      <c r="JN94" s="250"/>
      <c r="JO94" s="250"/>
      <c r="JP94" s="250"/>
      <c r="JQ94" s="250"/>
      <c r="JR94" s="250"/>
      <c r="JS94" s="250"/>
      <c r="JT94" s="250"/>
      <c r="JU94" s="250"/>
      <c r="JV94" s="250"/>
      <c r="JW94" s="250"/>
      <c r="JX94" s="250"/>
      <c r="JY94" s="250"/>
      <c r="JZ94" s="250"/>
      <c r="KA94" s="250"/>
      <c r="KB94" s="250"/>
      <c r="KC94" s="250"/>
      <c r="KD94" s="250"/>
      <c r="KE94" s="250"/>
      <c r="KF94" s="250"/>
      <c r="KG94" s="250"/>
      <c r="KH94" s="250"/>
      <c r="KI94" s="250"/>
      <c r="KJ94" s="250"/>
      <c r="KK94" s="250"/>
      <c r="KL94" s="250"/>
      <c r="KM94" s="250"/>
      <c r="KN94" s="250"/>
      <c r="KO94" s="250"/>
      <c r="KP94" s="250"/>
      <c r="KQ94" s="250"/>
      <c r="KR94" s="250"/>
      <c r="KS94" s="250"/>
      <c r="KT94" s="250"/>
      <c r="KU94" s="250"/>
      <c r="KV94" s="250"/>
      <c r="KW94" s="250"/>
      <c r="KX94" s="250"/>
      <c r="KY94" s="250"/>
      <c r="KZ94" s="250"/>
      <c r="LA94" s="250"/>
      <c r="LB94" s="250"/>
      <c r="LC94" s="250"/>
      <c r="LD94" s="250"/>
      <c r="LE94" s="250"/>
      <c r="LF94" s="250"/>
      <c r="LG94" s="250"/>
      <c r="LH94" s="250"/>
      <c r="LI94" s="250"/>
      <c r="LJ94" s="250"/>
      <c r="LK94" s="250"/>
      <c r="LL94" s="250"/>
      <c r="LM94" s="250"/>
      <c r="LN94" s="250"/>
      <c r="LO94" s="250"/>
      <c r="LP94" s="250"/>
      <c r="LQ94" s="250"/>
      <c r="LR94" s="250"/>
      <c r="LS94" s="250"/>
      <c r="LT94" s="250"/>
      <c r="LU94" s="250"/>
      <c r="LV94" s="250"/>
      <c r="LW94" s="250"/>
      <c r="LX94" s="250"/>
      <c r="LY94" s="250"/>
      <c r="LZ94" s="250"/>
      <c r="MA94" s="250"/>
      <c r="MB94" s="250"/>
      <c r="MC94" s="250"/>
      <c r="MD94" s="250"/>
      <c r="ME94" s="250"/>
      <c r="MF94" s="250"/>
      <c r="MG94" s="250"/>
      <c r="MH94" s="250"/>
      <c r="MI94" s="250"/>
      <c r="MJ94" s="250"/>
      <c r="MK94" s="250"/>
      <c r="ML94" s="250"/>
      <c r="MM94" s="250"/>
      <c r="MN94" s="250"/>
      <c r="MO94" s="250"/>
      <c r="MP94" s="250"/>
      <c r="MQ94" s="250"/>
      <c r="MR94" s="250"/>
      <c r="MS94" s="250"/>
      <c r="MT94" s="250"/>
      <c r="MU94" s="250"/>
      <c r="MV94" s="250"/>
      <c r="MW94" s="250"/>
      <c r="MX94" s="250"/>
      <c r="MY94" s="250"/>
      <c r="MZ94" s="250"/>
      <c r="NA94" s="250"/>
      <c r="NB94" s="250"/>
      <c r="NC94" s="250"/>
      <c r="ND94" s="250"/>
      <c r="NE94" s="250"/>
      <c r="NF94" s="250"/>
      <c r="NG94" s="250"/>
      <c r="NH94" s="250"/>
      <c r="NI94" s="250"/>
      <c r="NJ94" s="250"/>
      <c r="NK94" s="250"/>
      <c r="NL94" s="250"/>
      <c r="NM94" s="250"/>
      <c r="NN94" s="250"/>
      <c r="NO94" s="250"/>
      <c r="NP94" s="250"/>
      <c r="NQ94" s="250"/>
      <c r="NR94" s="250"/>
      <c r="NS94" s="250"/>
      <c r="NT94" s="250"/>
      <c r="NU94" s="250"/>
      <c r="NV94" s="250"/>
      <c r="NW94" s="250"/>
      <c r="NX94" s="250"/>
      <c r="NY94" s="250"/>
      <c r="NZ94" s="250"/>
      <c r="OA94" s="250"/>
      <c r="OB94" s="250"/>
      <c r="OC94" s="250"/>
      <c r="OD94" s="250"/>
      <c r="OE94" s="250"/>
      <c r="OF94" s="250"/>
      <c r="OG94" s="250"/>
      <c r="OH94" s="250"/>
      <c r="OI94" s="250"/>
      <c r="OJ94" s="250"/>
      <c r="OK94" s="250"/>
      <c r="OL94" s="250"/>
      <c r="OM94" s="250"/>
      <c r="ON94" s="250"/>
      <c r="OO94" s="250"/>
      <c r="OP94" s="250"/>
      <c r="OQ94" s="250"/>
      <c r="OR94" s="250"/>
      <c r="OS94" s="250"/>
      <c r="OT94" s="250"/>
      <c r="OU94" s="250"/>
      <c r="OV94" s="250"/>
      <c r="OW94" s="250"/>
      <c r="OX94" s="250"/>
      <c r="OY94" s="250"/>
      <c r="OZ94" s="250"/>
      <c r="PA94" s="250"/>
      <c r="PB94" s="250"/>
      <c r="PC94" s="250"/>
      <c r="PD94" s="250"/>
      <c r="PE94" s="250"/>
      <c r="PF94" s="250"/>
      <c r="PG94" s="250"/>
      <c r="PH94" s="250"/>
      <c r="PI94" s="250"/>
      <c r="PJ94" s="250"/>
      <c r="PK94" s="250"/>
      <c r="PL94" s="250"/>
      <c r="PM94" s="250"/>
      <c r="PN94" s="250"/>
      <c r="PO94" s="250"/>
      <c r="PP94" s="250"/>
      <c r="PQ94" s="250"/>
      <c r="PR94" s="250"/>
      <c r="PS94" s="250"/>
      <c r="PT94" s="250"/>
      <c r="PU94" s="250"/>
      <c r="PV94" s="250"/>
      <c r="PW94" s="250"/>
      <c r="PX94" s="250"/>
      <c r="PY94" s="250"/>
      <c r="PZ94" s="250"/>
      <c r="QA94" s="250"/>
      <c r="QB94" s="250"/>
      <c r="QC94" s="250"/>
      <c r="QD94" s="250"/>
      <c r="QE94" s="250"/>
      <c r="QF94" s="250"/>
      <c r="QG94" s="250"/>
      <c r="QH94" s="250"/>
      <c r="QI94" s="250"/>
      <c r="QJ94" s="250"/>
      <c r="QK94" s="250"/>
      <c r="QL94" s="250"/>
      <c r="QM94" s="250"/>
      <c r="QN94" s="250"/>
      <c r="QO94" s="250"/>
      <c r="QP94" s="250"/>
      <c r="QQ94" s="250"/>
      <c r="QR94" s="250"/>
      <c r="QS94" s="250"/>
      <c r="QT94" s="250"/>
      <c r="QU94" s="250"/>
      <c r="QV94" s="250"/>
      <c r="QW94" s="250"/>
      <c r="QX94" s="250"/>
      <c r="QY94" s="250"/>
      <c r="QZ94" s="250"/>
      <c r="RA94" s="250"/>
      <c r="RB94" s="250"/>
      <c r="RC94" s="250"/>
      <c r="RD94" s="250"/>
      <c r="RE94" s="250"/>
      <c r="RF94" s="250"/>
      <c r="RG94" s="250"/>
      <c r="RH94" s="250"/>
      <c r="RI94" s="250"/>
      <c r="RJ94" s="250"/>
      <c r="RK94" s="250"/>
      <c r="RL94" s="250"/>
      <c r="RM94" s="250"/>
      <c r="RN94" s="250"/>
      <c r="RO94" s="250"/>
      <c r="RP94" s="250"/>
      <c r="RQ94" s="250"/>
      <c r="RR94" s="250"/>
      <c r="RS94" s="250"/>
      <c r="RT94" s="250"/>
      <c r="RU94" s="250"/>
      <c r="RV94" s="250"/>
      <c r="RW94" s="250"/>
      <c r="RX94" s="250"/>
      <c r="RY94" s="250"/>
      <c r="RZ94" s="250"/>
      <c r="SA94" s="250"/>
      <c r="SB94" s="250"/>
      <c r="SC94" s="250"/>
      <c r="SD94" s="250"/>
      <c r="SE94" s="250"/>
      <c r="SF94" s="250"/>
      <c r="SG94" s="250"/>
      <c r="SH94" s="250"/>
      <c r="SI94" s="250"/>
      <c r="SJ94" s="250"/>
      <c r="SK94" s="250"/>
      <c r="SL94" s="250"/>
      <c r="SM94" s="250"/>
      <c r="SN94" s="250"/>
      <c r="SO94" s="250"/>
      <c r="SP94" s="250"/>
      <c r="SQ94" s="250"/>
      <c r="SR94" s="250"/>
      <c r="SS94" s="250"/>
      <c r="ST94" s="250"/>
      <c r="SU94" s="250"/>
      <c r="SV94" s="250"/>
      <c r="SW94" s="250"/>
      <c r="SX94" s="250"/>
      <c r="SY94" s="250"/>
      <c r="SZ94" s="250"/>
      <c r="TA94" s="250"/>
      <c r="TB94" s="250"/>
      <c r="TC94" s="250"/>
      <c r="TD94" s="250"/>
      <c r="TE94" s="250"/>
      <c r="TF94" s="250"/>
      <c r="TG94" s="250"/>
      <c r="TH94" s="250"/>
      <c r="TI94" s="250"/>
      <c r="TJ94" s="250"/>
      <c r="TK94" s="250"/>
      <c r="TL94" s="250"/>
      <c r="TM94" s="250"/>
      <c r="TN94" s="250"/>
      <c r="TO94" s="250"/>
      <c r="TP94" s="250"/>
      <c r="TQ94" s="250"/>
      <c r="TR94" s="250"/>
      <c r="TS94" s="250"/>
      <c r="TT94" s="250"/>
      <c r="TU94" s="250"/>
      <c r="TV94" s="250"/>
      <c r="TW94" s="250"/>
      <c r="TX94" s="250"/>
      <c r="TY94" s="250"/>
      <c r="TZ94" s="250"/>
      <c r="UA94" s="250"/>
      <c r="UB94" s="250"/>
      <c r="UC94" s="250"/>
      <c r="UD94" s="250"/>
      <c r="UE94" s="250"/>
      <c r="UF94" s="250"/>
      <c r="UG94" s="250"/>
      <c r="UH94" s="250"/>
      <c r="UI94" s="250"/>
      <c r="UJ94" s="250"/>
      <c r="UK94" s="250"/>
      <c r="UL94" s="250"/>
      <c r="UM94" s="250"/>
      <c r="UN94" s="250"/>
      <c r="UO94" s="250"/>
      <c r="UP94" s="250"/>
      <c r="UQ94" s="250"/>
      <c r="UR94" s="250"/>
      <c r="US94" s="250"/>
      <c r="UT94" s="250"/>
      <c r="UU94" s="250"/>
      <c r="UV94" s="250"/>
      <c r="UW94" s="250"/>
      <c r="UX94" s="250"/>
      <c r="UY94" s="250"/>
      <c r="UZ94" s="250"/>
      <c r="VA94" s="250"/>
      <c r="VB94" s="250"/>
      <c r="VC94" s="250"/>
    </row>
    <row r="95" spans="1:575" ht="15" customHeight="1" x14ac:dyDescent="0.25">
      <c r="A95" s="296"/>
      <c r="B95" s="296"/>
      <c r="C95" s="296"/>
      <c r="D95" s="296"/>
      <c r="E95" s="296"/>
      <c r="F95" s="296"/>
      <c r="G95" s="296"/>
      <c r="H95" s="296"/>
      <c r="I95" s="296"/>
      <c r="J95" s="296"/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  <c r="AU95" s="296"/>
      <c r="AV95" s="296"/>
      <c r="AW95" s="296"/>
      <c r="AX95" s="296"/>
      <c r="AY95" s="296"/>
      <c r="AZ95" s="296"/>
      <c r="BA95" s="296"/>
      <c r="BB95" s="466"/>
      <c r="BC95" s="466"/>
      <c r="BD95" s="466"/>
      <c r="BE95" s="466"/>
      <c r="BF95" s="466"/>
      <c r="BG95" s="466"/>
      <c r="BH95" s="466"/>
      <c r="BI95" s="466"/>
      <c r="BJ95" s="466"/>
      <c r="BK95" s="466"/>
      <c r="BL95" s="466"/>
      <c r="BM95" s="466"/>
      <c r="BN95" s="466"/>
      <c r="BO95" s="466"/>
      <c r="BP95" s="466"/>
      <c r="BQ95" s="466"/>
      <c r="BR95" s="466"/>
      <c r="BS95" s="466"/>
      <c r="BT95" s="466"/>
      <c r="BU95" s="466"/>
      <c r="BV95" s="466"/>
      <c r="BW95" s="466"/>
    </row>
    <row r="96" spans="1:575" ht="15" customHeight="1" x14ac:dyDescent="0.25">
      <c r="A96" s="296"/>
      <c r="B96" s="296"/>
      <c r="C96" s="296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  <c r="AU96" s="296"/>
      <c r="AV96" s="296"/>
      <c r="AW96" s="296"/>
      <c r="AX96" s="296"/>
      <c r="AY96" s="296"/>
      <c r="AZ96" s="296"/>
      <c r="BA96" s="296"/>
      <c r="BB96" s="466"/>
      <c r="BC96" s="466"/>
      <c r="BD96" s="466"/>
      <c r="BE96" s="466"/>
      <c r="BF96" s="466"/>
      <c r="BG96" s="466"/>
      <c r="BH96" s="466"/>
      <c r="BI96" s="466"/>
      <c r="BJ96" s="466"/>
      <c r="BK96" s="466"/>
      <c r="BL96" s="466"/>
      <c r="BM96" s="466"/>
      <c r="BN96" s="466"/>
      <c r="BO96" s="466"/>
      <c r="BP96" s="466"/>
      <c r="BQ96" s="466"/>
      <c r="BR96" s="466"/>
      <c r="BS96" s="466"/>
      <c r="BT96" s="466"/>
      <c r="BU96" s="466"/>
      <c r="BV96" s="466"/>
      <c r="BW96" s="466"/>
    </row>
    <row r="97" spans="1:56" ht="15.75" x14ac:dyDescent="0.25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1:56" ht="15.75" x14ac:dyDescent="0.25">
      <c r="A98" s="10"/>
      <c r="B98" s="1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56" ht="15.75" customHeight="1" x14ac:dyDescent="0.25">
      <c r="A99" s="296"/>
      <c r="B99" s="296"/>
      <c r="C99" s="296"/>
      <c r="D99" s="296"/>
      <c r="E99" s="296"/>
      <c r="F99" s="296"/>
      <c r="G99" s="296"/>
      <c r="H99" s="296"/>
      <c r="I99" s="296"/>
      <c r="J99" s="296"/>
      <c r="K99" s="296"/>
      <c r="L99" s="296"/>
      <c r="M99" s="296"/>
      <c r="N99" s="296"/>
      <c r="O99" s="296"/>
      <c r="P99" s="296"/>
      <c r="Q99" s="296"/>
      <c r="R99" s="296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  <c r="AU99" s="296"/>
      <c r="AV99" s="296"/>
      <c r="AW99" s="296"/>
      <c r="AX99" s="296"/>
      <c r="AY99" s="296"/>
      <c r="AZ99" s="296"/>
      <c r="BA99" s="296"/>
      <c r="BB99" s="296"/>
      <c r="BC99" s="296"/>
      <c r="BD99" s="296"/>
    </row>
    <row r="100" spans="1:56" ht="22.5" customHeight="1" x14ac:dyDescent="0.25">
      <c r="A100" s="296"/>
      <c r="B100" s="296"/>
      <c r="C100" s="296"/>
      <c r="D100" s="296"/>
      <c r="E100" s="296"/>
      <c r="F100" s="296"/>
      <c r="G100" s="296"/>
      <c r="H100" s="296"/>
      <c r="I100" s="296"/>
      <c r="J100" s="296"/>
      <c r="K100" s="296"/>
      <c r="L100" s="296"/>
      <c r="M100" s="296"/>
      <c r="N100" s="296"/>
      <c r="O100" s="296"/>
      <c r="P100" s="296"/>
      <c r="Q100" s="296"/>
      <c r="R100" s="296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296"/>
      <c r="AN100" s="296"/>
      <c r="AO100" s="296"/>
      <c r="AP100" s="296"/>
      <c r="AQ100" s="296"/>
      <c r="AR100" s="296"/>
      <c r="AS100" s="296"/>
      <c r="AT100" s="296"/>
      <c r="AU100" s="296"/>
      <c r="AV100" s="296"/>
      <c r="AW100" s="296"/>
      <c r="AX100" s="296"/>
      <c r="AY100" s="296"/>
      <c r="AZ100" s="296"/>
      <c r="BA100" s="296"/>
      <c r="BB100" s="296"/>
      <c r="BC100" s="296"/>
      <c r="BD100" s="296"/>
    </row>
    <row r="101" spans="1:56" ht="18" customHeight="1" x14ac:dyDescent="0.25">
      <c r="A101" s="296"/>
      <c r="B101" s="296"/>
      <c r="C101" s="296"/>
      <c r="D101" s="296"/>
      <c r="E101" s="296"/>
      <c r="F101" s="296"/>
      <c r="G101" s="296"/>
      <c r="H101" s="296"/>
      <c r="I101" s="296"/>
      <c r="J101" s="296"/>
      <c r="K101" s="296"/>
      <c r="L101" s="296"/>
      <c r="M101" s="296"/>
      <c r="N101" s="296"/>
      <c r="O101" s="296"/>
      <c r="P101" s="296"/>
      <c r="Q101" s="296"/>
      <c r="R101" s="296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296"/>
      <c r="AN101" s="296"/>
      <c r="AO101" s="296"/>
      <c r="AP101" s="296"/>
      <c r="AQ101" s="296"/>
      <c r="AR101" s="296"/>
      <c r="AS101" s="296"/>
      <c r="AT101" s="296"/>
      <c r="AU101" s="296"/>
      <c r="AV101" s="296"/>
      <c r="AW101" s="296"/>
      <c r="AX101" s="296"/>
      <c r="AY101" s="296"/>
      <c r="AZ101" s="296"/>
      <c r="BA101" s="296"/>
      <c r="BB101" s="296"/>
      <c r="BC101" s="296"/>
      <c r="BD101" s="296"/>
    </row>
    <row r="102" spans="1:56" ht="15" customHeight="1" x14ac:dyDescent="0.25">
      <c r="A102" s="296"/>
      <c r="B102" s="296"/>
      <c r="C102" s="296"/>
      <c r="D102" s="296"/>
      <c r="E102" s="296"/>
      <c r="F102" s="296"/>
      <c r="G102" s="296"/>
      <c r="H102" s="296"/>
      <c r="I102" s="296"/>
      <c r="J102" s="296"/>
      <c r="K102" s="296"/>
      <c r="L102" s="296"/>
      <c r="M102" s="296"/>
      <c r="N102" s="296"/>
      <c r="O102" s="296"/>
      <c r="P102" s="296"/>
      <c r="Q102" s="296"/>
      <c r="R102" s="296"/>
      <c r="S102" s="296"/>
      <c r="T102" s="296"/>
      <c r="U102" s="296"/>
      <c r="V102" s="296"/>
      <c r="W102" s="296"/>
      <c r="X102" s="296"/>
      <c r="Y102" s="296"/>
      <c r="Z102" s="296"/>
      <c r="AA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  <c r="AU102" s="296"/>
      <c r="AV102" s="296"/>
      <c r="AW102" s="296"/>
      <c r="AX102" s="296"/>
      <c r="AY102" s="296"/>
      <c r="AZ102" s="296"/>
      <c r="BA102" s="296"/>
      <c r="BB102" s="296"/>
      <c r="BC102" s="296"/>
      <c r="BD102" s="296"/>
    </row>
    <row r="103" spans="1:56" ht="15" customHeight="1" x14ac:dyDescent="0.25">
      <c r="A103" s="296"/>
      <c r="B103" s="296"/>
      <c r="C103" s="296"/>
      <c r="D103" s="296"/>
      <c r="E103" s="296"/>
      <c r="F103" s="296"/>
      <c r="G103" s="296"/>
      <c r="H103" s="296"/>
      <c r="I103" s="296"/>
      <c r="J103" s="296"/>
      <c r="K103" s="296"/>
      <c r="L103" s="296"/>
      <c r="M103" s="296"/>
      <c r="N103" s="296"/>
      <c r="O103" s="296"/>
      <c r="P103" s="296"/>
      <c r="Q103" s="296"/>
      <c r="R103" s="296"/>
      <c r="S103" s="296"/>
      <c r="T103" s="296"/>
      <c r="U103" s="296"/>
      <c r="V103" s="296"/>
      <c r="W103" s="296"/>
      <c r="X103" s="296"/>
      <c r="Y103" s="296"/>
      <c r="Z103" s="296"/>
      <c r="AA103" s="296"/>
      <c r="AB103" s="296"/>
      <c r="AC103" s="296"/>
      <c r="AD103" s="296"/>
      <c r="AE103" s="296"/>
      <c r="AF103" s="296"/>
      <c r="AG103" s="296"/>
      <c r="AH103" s="296"/>
      <c r="AI103" s="296"/>
      <c r="AJ103" s="296"/>
      <c r="AK103" s="296"/>
      <c r="AL103" s="296"/>
      <c r="AM103" s="296"/>
      <c r="AN103" s="296"/>
      <c r="AO103" s="296"/>
      <c r="AP103" s="296"/>
      <c r="AQ103" s="296"/>
      <c r="AR103" s="296"/>
      <c r="AS103" s="296"/>
      <c r="AT103" s="296"/>
      <c r="AU103" s="296"/>
      <c r="AV103" s="296"/>
      <c r="AW103" s="296"/>
      <c r="AX103" s="296"/>
      <c r="AY103" s="296"/>
      <c r="AZ103" s="296"/>
      <c r="BA103" s="296"/>
      <c r="BB103" s="296"/>
      <c r="BC103" s="296"/>
      <c r="BD103" s="296"/>
    </row>
    <row r="104" spans="1:56" ht="15" customHeight="1" x14ac:dyDescent="0.25">
      <c r="A104" s="296"/>
      <c r="B104" s="296"/>
      <c r="C104" s="296"/>
      <c r="D104" s="296"/>
      <c r="E104" s="296"/>
      <c r="F104" s="296"/>
      <c r="G104" s="296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296"/>
      <c r="S104" s="296"/>
      <c r="T104" s="296"/>
      <c r="U104" s="296"/>
      <c r="V104" s="296"/>
      <c r="W104" s="296"/>
      <c r="X104" s="296"/>
      <c r="Y104" s="296"/>
      <c r="Z104" s="296"/>
      <c r="AA104" s="296"/>
      <c r="AB104" s="296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6"/>
      <c r="AU104" s="296"/>
      <c r="AV104" s="296"/>
      <c r="AW104" s="296"/>
      <c r="AX104" s="296"/>
      <c r="AY104" s="296"/>
      <c r="AZ104" s="296"/>
      <c r="BA104" s="296"/>
      <c r="BB104" s="296"/>
      <c r="BC104" s="296"/>
      <c r="BD104" s="296"/>
    </row>
    <row r="105" spans="1:56" ht="15" customHeight="1" x14ac:dyDescent="0.25">
      <c r="A105" s="296"/>
      <c r="B105" s="296"/>
      <c r="C105" s="296"/>
      <c r="D105" s="296"/>
      <c r="E105" s="296"/>
      <c r="F105" s="296"/>
      <c r="G105" s="296"/>
      <c r="H105" s="296"/>
      <c r="I105" s="296"/>
      <c r="J105" s="296"/>
      <c r="K105" s="296"/>
      <c r="L105" s="296"/>
      <c r="M105" s="296"/>
      <c r="N105" s="296"/>
      <c r="O105" s="296"/>
      <c r="P105" s="296"/>
      <c r="Q105" s="296"/>
      <c r="R105" s="296"/>
      <c r="S105" s="296"/>
      <c r="T105" s="296"/>
      <c r="U105" s="296"/>
      <c r="V105" s="296"/>
      <c r="W105" s="296"/>
      <c r="X105" s="296"/>
      <c r="Y105" s="296"/>
      <c r="Z105" s="296"/>
      <c r="AA105" s="296"/>
      <c r="AB105" s="296"/>
      <c r="AC105" s="296"/>
      <c r="AD105" s="296"/>
      <c r="AE105" s="296"/>
      <c r="AF105" s="296"/>
      <c r="AG105" s="296"/>
      <c r="AH105" s="296"/>
      <c r="AI105" s="296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  <c r="AU105" s="296"/>
      <c r="AV105" s="296"/>
      <c r="AW105" s="296"/>
      <c r="AX105" s="296"/>
      <c r="AY105" s="296"/>
      <c r="AZ105" s="296"/>
      <c r="BA105" s="296"/>
      <c r="BB105" s="296"/>
      <c r="BC105" s="296"/>
      <c r="BD105" s="296"/>
    </row>
    <row r="106" spans="1:56" ht="15" customHeight="1" x14ac:dyDescent="0.25">
      <c r="A106" s="296"/>
      <c r="B106" s="296"/>
      <c r="C106" s="296"/>
      <c r="D106" s="296"/>
      <c r="E106" s="296"/>
      <c r="F106" s="296"/>
      <c r="G106" s="296"/>
      <c r="H106" s="296"/>
      <c r="I106" s="296"/>
      <c r="J106" s="296"/>
      <c r="K106" s="296"/>
      <c r="L106" s="296"/>
      <c r="M106" s="296"/>
      <c r="N106" s="296"/>
      <c r="O106" s="296"/>
      <c r="P106" s="296"/>
      <c r="Q106" s="296"/>
      <c r="R106" s="296"/>
      <c r="S106" s="296"/>
      <c r="T106" s="296"/>
      <c r="U106" s="296"/>
      <c r="V106" s="296"/>
      <c r="W106" s="296"/>
      <c r="X106" s="296"/>
      <c r="Y106" s="296"/>
      <c r="Z106" s="296"/>
      <c r="AA106" s="296"/>
      <c r="AB106" s="296"/>
      <c r="AC106" s="296"/>
      <c r="AD106" s="296"/>
      <c r="AE106" s="296"/>
      <c r="AF106" s="296"/>
      <c r="AG106" s="296"/>
      <c r="AH106" s="296"/>
      <c r="AI106" s="296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6"/>
      <c r="AT106" s="296"/>
      <c r="AU106" s="296"/>
      <c r="AV106" s="296"/>
      <c r="AW106" s="296"/>
      <c r="AX106" s="296"/>
      <c r="AY106" s="296"/>
      <c r="AZ106" s="296"/>
      <c r="BA106" s="296"/>
      <c r="BB106" s="296"/>
      <c r="BC106" s="296"/>
      <c r="BD106" s="296"/>
    </row>
    <row r="107" spans="1:56" ht="15" customHeight="1" x14ac:dyDescent="0.25">
      <c r="A107" s="296"/>
      <c r="B107" s="296"/>
      <c r="C107" s="296"/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6"/>
      <c r="O107" s="296"/>
      <c r="P107" s="296"/>
      <c r="Q107" s="296"/>
      <c r="R107" s="296"/>
      <c r="S107" s="296"/>
      <c r="T107" s="296"/>
      <c r="U107" s="296"/>
      <c r="V107" s="296"/>
      <c r="W107" s="296"/>
      <c r="X107" s="296"/>
      <c r="Y107" s="296"/>
      <c r="Z107" s="296"/>
      <c r="AA107" s="296"/>
      <c r="AB107" s="296"/>
      <c r="AC107" s="296"/>
      <c r="AD107" s="296"/>
      <c r="AE107" s="296"/>
      <c r="AF107" s="296"/>
      <c r="AG107" s="296"/>
      <c r="AH107" s="296"/>
      <c r="AI107" s="296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  <c r="AU107" s="296"/>
      <c r="AV107" s="296"/>
      <c r="AW107" s="296"/>
      <c r="AX107" s="296"/>
      <c r="AY107" s="296"/>
      <c r="AZ107" s="296"/>
      <c r="BA107" s="296"/>
      <c r="BB107" s="296"/>
      <c r="BC107" s="296"/>
      <c r="BD107" s="296"/>
    </row>
    <row r="108" spans="1:56" ht="15" customHeight="1" x14ac:dyDescent="0.25">
      <c r="A108" s="296"/>
      <c r="B108" s="296"/>
      <c r="C108" s="296"/>
      <c r="D108" s="296"/>
      <c r="E108" s="296"/>
      <c r="F108" s="296"/>
      <c r="G108" s="296"/>
      <c r="H108" s="296"/>
      <c r="I108" s="296"/>
      <c r="J108" s="296"/>
      <c r="K108" s="296"/>
      <c r="L108" s="296"/>
      <c r="M108" s="296"/>
      <c r="N108" s="296"/>
      <c r="O108" s="296"/>
      <c r="P108" s="296"/>
      <c r="Q108" s="296"/>
      <c r="R108" s="296"/>
      <c r="S108" s="296"/>
      <c r="T108" s="296"/>
      <c r="U108" s="296"/>
      <c r="V108" s="296"/>
      <c r="W108" s="296"/>
      <c r="X108" s="296"/>
      <c r="Y108" s="296"/>
      <c r="Z108" s="296"/>
      <c r="AA108" s="296"/>
      <c r="AB108" s="296"/>
      <c r="AC108" s="296"/>
      <c r="AD108" s="296"/>
      <c r="AE108" s="296"/>
      <c r="AF108" s="296"/>
      <c r="AG108" s="296"/>
      <c r="AH108" s="296"/>
      <c r="AI108" s="296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  <c r="AU108" s="296"/>
      <c r="AV108" s="296"/>
      <c r="AW108" s="296"/>
      <c r="AX108" s="296"/>
      <c r="AY108" s="296"/>
      <c r="AZ108" s="296"/>
      <c r="BA108" s="296"/>
      <c r="BB108" s="296"/>
      <c r="BC108" s="296"/>
      <c r="BD108" s="296"/>
    </row>
    <row r="109" spans="1:56" ht="15" customHeight="1" x14ac:dyDescent="0.25">
      <c r="A109" s="296"/>
      <c r="B109" s="296"/>
      <c r="C109" s="296"/>
      <c r="D109" s="296"/>
      <c r="E109" s="296"/>
      <c r="F109" s="296"/>
      <c r="G109" s="296"/>
      <c r="H109" s="296"/>
      <c r="I109" s="296"/>
      <c r="J109" s="296"/>
      <c r="K109" s="296"/>
      <c r="L109" s="296"/>
      <c r="M109" s="296"/>
      <c r="N109" s="296"/>
      <c r="O109" s="296"/>
      <c r="P109" s="296"/>
      <c r="Q109" s="296"/>
      <c r="R109" s="296"/>
      <c r="S109" s="296"/>
      <c r="T109" s="296"/>
      <c r="U109" s="296"/>
      <c r="V109" s="296"/>
      <c r="W109" s="296"/>
      <c r="X109" s="296"/>
      <c r="Y109" s="296"/>
      <c r="Z109" s="296"/>
      <c r="AA109" s="296"/>
      <c r="AB109" s="296"/>
      <c r="AC109" s="296"/>
      <c r="AD109" s="296"/>
      <c r="AE109" s="296"/>
      <c r="AF109" s="296"/>
      <c r="AG109" s="296"/>
      <c r="AH109" s="296"/>
      <c r="AI109" s="296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  <c r="AU109" s="296"/>
      <c r="AV109" s="296"/>
      <c r="AW109" s="296"/>
      <c r="AX109" s="296"/>
      <c r="AY109" s="296"/>
      <c r="AZ109" s="296"/>
      <c r="BA109" s="296"/>
      <c r="BB109" s="296"/>
      <c r="BC109" s="296"/>
      <c r="BD109" s="296"/>
    </row>
    <row r="110" spans="1:56" ht="15" customHeight="1" x14ac:dyDescent="0.25">
      <c r="A110" s="296"/>
      <c r="B110" s="296"/>
      <c r="C110" s="296"/>
      <c r="D110" s="296"/>
      <c r="E110" s="296"/>
      <c r="F110" s="296"/>
      <c r="G110" s="296"/>
      <c r="H110" s="296"/>
      <c r="I110" s="296"/>
      <c r="J110" s="296"/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  <c r="AV110" s="296"/>
      <c r="AW110" s="296"/>
      <c r="AX110" s="296"/>
      <c r="AY110" s="296"/>
      <c r="AZ110" s="296"/>
      <c r="BA110" s="296"/>
      <c r="BB110" s="296"/>
      <c r="BC110" s="296"/>
      <c r="BD110" s="296"/>
    </row>
    <row r="111" spans="1:56" ht="15" customHeight="1" x14ac:dyDescent="0.25">
      <c r="A111" s="296"/>
      <c r="B111" s="296"/>
      <c r="C111" s="296"/>
      <c r="D111" s="296"/>
      <c r="E111" s="296"/>
      <c r="F111" s="296"/>
      <c r="G111" s="296"/>
      <c r="H111" s="296"/>
      <c r="I111" s="296"/>
      <c r="J111" s="296"/>
      <c r="K111" s="296"/>
      <c r="L111" s="296"/>
      <c r="M111" s="296"/>
      <c r="N111" s="296"/>
      <c r="O111" s="296"/>
      <c r="P111" s="296"/>
      <c r="Q111" s="296"/>
      <c r="R111" s="296"/>
      <c r="S111" s="296"/>
      <c r="T111" s="296"/>
      <c r="U111" s="296"/>
      <c r="V111" s="296"/>
      <c r="W111" s="296"/>
      <c r="X111" s="296"/>
      <c r="Y111" s="296"/>
      <c r="Z111" s="296"/>
      <c r="AA111" s="296"/>
      <c r="AB111" s="296"/>
      <c r="AC111" s="296"/>
      <c r="AD111" s="296"/>
      <c r="AE111" s="296"/>
      <c r="AF111" s="296"/>
      <c r="AG111" s="296"/>
      <c r="AH111" s="296"/>
      <c r="AI111" s="296"/>
      <c r="AJ111" s="296"/>
      <c r="AK111" s="296"/>
      <c r="AL111" s="296"/>
      <c r="AM111" s="296"/>
      <c r="AN111" s="296"/>
      <c r="AO111" s="296"/>
      <c r="AP111" s="296"/>
      <c r="AQ111" s="296"/>
      <c r="AR111" s="296"/>
      <c r="AS111" s="296"/>
      <c r="AT111" s="296"/>
      <c r="AU111" s="296"/>
      <c r="AV111" s="296"/>
      <c r="AW111" s="296"/>
      <c r="AX111" s="296"/>
      <c r="AY111" s="296"/>
      <c r="AZ111" s="296"/>
      <c r="BA111" s="296"/>
      <c r="BB111" s="296"/>
      <c r="BC111" s="296"/>
      <c r="BD111" s="296"/>
    </row>
    <row r="112" spans="1:56" ht="15" customHeight="1" x14ac:dyDescent="0.25">
      <c r="A112" s="296"/>
      <c r="B112" s="296"/>
      <c r="C112" s="296"/>
      <c r="D112" s="296"/>
      <c r="E112" s="296"/>
      <c r="F112" s="296"/>
      <c r="G112" s="296"/>
      <c r="H112" s="296"/>
      <c r="I112" s="296"/>
      <c r="J112" s="296"/>
      <c r="K112" s="296"/>
      <c r="L112" s="296"/>
      <c r="M112" s="296"/>
      <c r="N112" s="296"/>
      <c r="O112" s="296"/>
      <c r="P112" s="296"/>
      <c r="Q112" s="296"/>
      <c r="R112" s="296"/>
      <c r="S112" s="296"/>
      <c r="T112" s="296"/>
      <c r="U112" s="296"/>
      <c r="V112" s="296"/>
      <c r="W112" s="296"/>
      <c r="X112" s="296"/>
      <c r="Y112" s="296"/>
      <c r="Z112" s="296"/>
      <c r="AA112" s="296"/>
      <c r="AB112" s="296"/>
      <c r="AC112" s="296"/>
      <c r="AD112" s="296"/>
      <c r="AE112" s="296"/>
      <c r="AF112" s="296"/>
      <c r="AG112" s="296"/>
      <c r="AH112" s="296"/>
      <c r="AI112" s="296"/>
      <c r="AJ112" s="296"/>
      <c r="AK112" s="296"/>
      <c r="AL112" s="296"/>
      <c r="AM112" s="296"/>
      <c r="AN112" s="296"/>
      <c r="AO112" s="296"/>
      <c r="AP112" s="296"/>
      <c r="AQ112" s="296"/>
      <c r="AR112" s="296"/>
      <c r="AS112" s="296"/>
      <c r="AT112" s="296"/>
      <c r="AU112" s="296"/>
      <c r="AV112" s="296"/>
      <c r="AW112" s="296"/>
      <c r="AX112" s="296"/>
      <c r="AY112" s="296"/>
      <c r="AZ112" s="296"/>
      <c r="BA112" s="296"/>
      <c r="BB112" s="296"/>
      <c r="BC112" s="296"/>
      <c r="BD112" s="296"/>
    </row>
    <row r="113" spans="1:56" ht="15" customHeight="1" x14ac:dyDescent="0.25">
      <c r="A113" s="296"/>
      <c r="B113" s="296"/>
      <c r="C113" s="296"/>
      <c r="D113" s="296"/>
      <c r="E113" s="296"/>
      <c r="F113" s="296"/>
      <c r="G113" s="296"/>
      <c r="H113" s="296"/>
      <c r="I113" s="296"/>
      <c r="J113" s="296"/>
      <c r="K113" s="296"/>
      <c r="L113" s="296"/>
      <c r="M113" s="296"/>
      <c r="N113" s="296"/>
      <c r="O113" s="296"/>
      <c r="P113" s="296"/>
      <c r="Q113" s="296"/>
      <c r="R113" s="296"/>
      <c r="S113" s="296"/>
      <c r="T113" s="296"/>
      <c r="U113" s="296"/>
      <c r="V113" s="296"/>
      <c r="W113" s="296"/>
      <c r="X113" s="296"/>
      <c r="Y113" s="296"/>
      <c r="Z113" s="296"/>
      <c r="AA113" s="296"/>
      <c r="AB113" s="296"/>
      <c r="AC113" s="296"/>
      <c r="AD113" s="296"/>
      <c r="AE113" s="296"/>
      <c r="AF113" s="296"/>
      <c r="AG113" s="296"/>
      <c r="AH113" s="296"/>
      <c r="AI113" s="296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  <c r="AU113" s="296"/>
      <c r="AV113" s="296"/>
      <c r="AW113" s="296"/>
      <c r="AX113" s="296"/>
      <c r="AY113" s="296"/>
      <c r="AZ113" s="296"/>
      <c r="BA113" s="296"/>
      <c r="BB113" s="296"/>
      <c r="BC113" s="296"/>
      <c r="BD113" s="296"/>
    </row>
    <row r="114" spans="1:56" ht="15" customHeight="1" x14ac:dyDescent="0.25">
      <c r="A114" s="296"/>
      <c r="B114" s="296"/>
      <c r="C114" s="296"/>
      <c r="D114" s="296"/>
      <c r="E114" s="296"/>
      <c r="F114" s="296"/>
      <c r="G114" s="296"/>
      <c r="H114" s="296"/>
      <c r="I114" s="296"/>
      <c r="J114" s="296"/>
      <c r="K114" s="296"/>
      <c r="L114" s="296"/>
      <c r="M114" s="296"/>
      <c r="N114" s="296"/>
      <c r="O114" s="296"/>
      <c r="P114" s="296"/>
      <c r="Q114" s="296"/>
      <c r="R114" s="296"/>
      <c r="S114" s="296"/>
      <c r="T114" s="296"/>
      <c r="U114" s="296"/>
      <c r="V114" s="296"/>
      <c r="W114" s="296"/>
      <c r="X114" s="296"/>
      <c r="Y114" s="296"/>
      <c r="Z114" s="296"/>
      <c r="AA114" s="296"/>
      <c r="AB114" s="296"/>
      <c r="AC114" s="296"/>
      <c r="AD114" s="296"/>
      <c r="AE114" s="296"/>
      <c r="AF114" s="296"/>
      <c r="AG114" s="296"/>
      <c r="AH114" s="296"/>
      <c r="AI114" s="296"/>
      <c r="AJ114" s="296"/>
      <c r="AK114" s="296"/>
      <c r="AL114" s="296"/>
      <c r="AM114" s="296"/>
      <c r="AN114" s="296"/>
      <c r="AO114" s="296"/>
      <c r="AP114" s="296"/>
      <c r="AQ114" s="296"/>
      <c r="AR114" s="296"/>
      <c r="AS114" s="296"/>
      <c r="AT114" s="296"/>
      <c r="AU114" s="296"/>
      <c r="AV114" s="296"/>
      <c r="AW114" s="296"/>
      <c r="AX114" s="296"/>
      <c r="AY114" s="296"/>
      <c r="AZ114" s="296"/>
      <c r="BA114" s="296"/>
      <c r="BB114" s="296"/>
      <c r="BC114" s="296"/>
      <c r="BD114" s="296"/>
    </row>
    <row r="115" spans="1:56" ht="15" customHeight="1" x14ac:dyDescent="0.25">
      <c r="A115" s="296"/>
      <c r="B115" s="296"/>
      <c r="C115" s="296"/>
      <c r="D115" s="296"/>
      <c r="E115" s="296"/>
      <c r="F115" s="296"/>
      <c r="G115" s="296"/>
      <c r="H115" s="296"/>
      <c r="I115" s="296"/>
      <c r="J115" s="296"/>
      <c r="K115" s="296"/>
      <c r="L115" s="296"/>
      <c r="M115" s="296"/>
      <c r="N115" s="296"/>
      <c r="O115" s="296"/>
      <c r="P115" s="296"/>
      <c r="Q115" s="296"/>
      <c r="R115" s="296"/>
      <c r="S115" s="296"/>
      <c r="T115" s="296"/>
      <c r="U115" s="296"/>
      <c r="V115" s="296"/>
      <c r="W115" s="296"/>
      <c r="X115" s="296"/>
      <c r="Y115" s="296"/>
      <c r="Z115" s="296"/>
      <c r="AA115" s="296"/>
      <c r="AB115" s="296"/>
      <c r="AC115" s="296"/>
      <c r="AD115" s="296"/>
      <c r="AE115" s="296"/>
      <c r="AF115" s="296"/>
      <c r="AG115" s="296"/>
      <c r="AH115" s="296"/>
      <c r="AI115" s="296"/>
      <c r="AJ115" s="296"/>
      <c r="AK115" s="296"/>
      <c r="AL115" s="296"/>
      <c r="AM115" s="296"/>
      <c r="AN115" s="296"/>
      <c r="AO115" s="296"/>
      <c r="AP115" s="296"/>
      <c r="AQ115" s="296"/>
      <c r="AR115" s="296"/>
      <c r="AS115" s="296"/>
      <c r="AT115" s="296"/>
      <c r="AU115" s="296"/>
      <c r="AV115" s="296"/>
      <c r="AW115" s="296"/>
      <c r="AX115" s="296"/>
      <c r="AY115" s="296"/>
      <c r="AZ115" s="296"/>
      <c r="BA115" s="296"/>
      <c r="BB115" s="296"/>
      <c r="BC115" s="296"/>
      <c r="BD115" s="296"/>
    </row>
    <row r="116" spans="1:56" ht="15" customHeight="1" x14ac:dyDescent="0.25">
      <c r="A116" s="296"/>
      <c r="B116" s="296"/>
      <c r="C116" s="296"/>
      <c r="D116" s="296"/>
      <c r="E116" s="296"/>
      <c r="F116" s="296"/>
      <c r="G116" s="296"/>
      <c r="H116" s="296"/>
      <c r="I116" s="296"/>
      <c r="J116" s="296"/>
      <c r="K116" s="296"/>
      <c r="L116" s="296"/>
      <c r="M116" s="296"/>
      <c r="N116" s="296"/>
      <c r="O116" s="296"/>
      <c r="P116" s="296"/>
      <c r="Q116" s="296"/>
      <c r="R116" s="296"/>
      <c r="S116" s="296"/>
      <c r="T116" s="296"/>
      <c r="U116" s="296"/>
      <c r="V116" s="296"/>
      <c r="W116" s="296"/>
      <c r="X116" s="296"/>
      <c r="Y116" s="296"/>
      <c r="Z116" s="296"/>
      <c r="AA116" s="296"/>
      <c r="AB116" s="296"/>
      <c r="AC116" s="296"/>
      <c r="AD116" s="296"/>
      <c r="AE116" s="296"/>
      <c r="AF116" s="296"/>
      <c r="AG116" s="296"/>
      <c r="AH116" s="296"/>
      <c r="AI116" s="296"/>
      <c r="AJ116" s="296"/>
      <c r="AK116" s="296"/>
      <c r="AL116" s="296"/>
      <c r="AM116" s="296"/>
      <c r="AN116" s="296"/>
      <c r="AO116" s="296"/>
      <c r="AP116" s="296"/>
      <c r="AQ116" s="296"/>
      <c r="AR116" s="296"/>
      <c r="AS116" s="296"/>
      <c r="AT116" s="296"/>
      <c r="AU116" s="296"/>
      <c r="AV116" s="296"/>
      <c r="AW116" s="296"/>
      <c r="AX116" s="296"/>
      <c r="AY116" s="296"/>
      <c r="AZ116" s="296"/>
      <c r="BA116" s="296"/>
      <c r="BB116" s="296"/>
      <c r="BC116" s="296"/>
      <c r="BD116" s="296"/>
    </row>
    <row r="117" spans="1:56" ht="15" customHeight="1" x14ac:dyDescent="0.25">
      <c r="A117" s="296"/>
      <c r="B117" s="296"/>
      <c r="C117" s="296"/>
      <c r="D117" s="296"/>
      <c r="E117" s="296"/>
      <c r="F117" s="296"/>
      <c r="G117" s="296"/>
      <c r="H117" s="296"/>
      <c r="I117" s="296"/>
      <c r="J117" s="296"/>
      <c r="K117" s="296"/>
      <c r="L117" s="296"/>
      <c r="M117" s="296"/>
      <c r="N117" s="296"/>
      <c r="O117" s="296"/>
      <c r="P117" s="296"/>
      <c r="Q117" s="296"/>
      <c r="R117" s="296"/>
      <c r="S117" s="296"/>
      <c r="T117" s="296"/>
      <c r="U117" s="296"/>
      <c r="V117" s="296"/>
      <c r="W117" s="296"/>
      <c r="X117" s="296"/>
      <c r="Y117" s="296"/>
      <c r="Z117" s="296"/>
      <c r="AA117" s="296"/>
      <c r="AB117" s="296"/>
      <c r="AC117" s="296"/>
      <c r="AD117" s="296"/>
      <c r="AE117" s="296"/>
      <c r="AF117" s="296"/>
      <c r="AG117" s="296"/>
      <c r="AH117" s="296"/>
      <c r="AI117" s="296"/>
      <c r="AJ117" s="296"/>
      <c r="AK117" s="296"/>
      <c r="AL117" s="296"/>
      <c r="AM117" s="296"/>
      <c r="AN117" s="296"/>
      <c r="AO117" s="296"/>
      <c r="AP117" s="296"/>
      <c r="AQ117" s="296"/>
      <c r="AR117" s="296"/>
      <c r="AS117" s="296"/>
      <c r="AT117" s="296"/>
      <c r="AU117" s="296"/>
      <c r="AV117" s="296"/>
      <c r="AW117" s="296"/>
      <c r="AX117" s="296"/>
      <c r="AY117" s="296"/>
      <c r="AZ117" s="296"/>
      <c r="BA117" s="296"/>
      <c r="BB117" s="296"/>
      <c r="BC117" s="296"/>
      <c r="BD117" s="296"/>
    </row>
    <row r="118" spans="1:56" ht="15" customHeight="1" x14ac:dyDescent="0.25">
      <c r="A118" s="296"/>
      <c r="B118" s="296"/>
      <c r="C118" s="296"/>
      <c r="D118" s="296"/>
      <c r="E118" s="296"/>
      <c r="F118" s="296"/>
      <c r="G118" s="296"/>
      <c r="H118" s="296"/>
      <c r="I118" s="296"/>
      <c r="J118" s="296"/>
      <c r="K118" s="296"/>
      <c r="L118" s="296"/>
      <c r="M118" s="296"/>
      <c r="N118" s="296"/>
      <c r="O118" s="296"/>
      <c r="P118" s="296"/>
      <c r="Q118" s="296"/>
      <c r="R118" s="296"/>
      <c r="S118" s="296"/>
      <c r="T118" s="296"/>
      <c r="U118" s="296"/>
      <c r="V118" s="296"/>
      <c r="W118" s="296"/>
      <c r="X118" s="296"/>
      <c r="Y118" s="296"/>
      <c r="Z118" s="296"/>
      <c r="AA118" s="296"/>
      <c r="AB118" s="296"/>
      <c r="AC118" s="296"/>
      <c r="AD118" s="296"/>
      <c r="AE118" s="296"/>
      <c r="AF118" s="296"/>
      <c r="AG118" s="296"/>
      <c r="AH118" s="296"/>
      <c r="AI118" s="296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6"/>
      <c r="AT118" s="296"/>
      <c r="AU118" s="296"/>
      <c r="AV118" s="296"/>
      <c r="AW118" s="296"/>
      <c r="AX118" s="296"/>
      <c r="AY118" s="296"/>
      <c r="AZ118" s="296"/>
      <c r="BA118" s="296"/>
      <c r="BB118" s="296"/>
      <c r="BC118" s="296"/>
      <c r="BD118" s="296"/>
    </row>
    <row r="119" spans="1:56" ht="15" customHeight="1" x14ac:dyDescent="0.25">
      <c r="A119" s="296"/>
      <c r="B119" s="296"/>
      <c r="C119" s="296"/>
      <c r="D119" s="296"/>
      <c r="E119" s="296"/>
      <c r="F119" s="296"/>
      <c r="G119" s="296"/>
      <c r="H119" s="296"/>
      <c r="I119" s="296"/>
      <c r="J119" s="296"/>
      <c r="K119" s="296"/>
      <c r="L119" s="296"/>
      <c r="M119" s="296"/>
      <c r="N119" s="296"/>
      <c r="O119" s="296"/>
      <c r="P119" s="296"/>
      <c r="Q119" s="296"/>
      <c r="R119" s="296"/>
      <c r="S119" s="296"/>
      <c r="T119" s="296"/>
      <c r="U119" s="296"/>
      <c r="V119" s="296"/>
      <c r="W119" s="296"/>
      <c r="X119" s="296"/>
      <c r="Y119" s="296"/>
      <c r="Z119" s="296"/>
      <c r="AA119" s="296"/>
      <c r="AB119" s="296"/>
      <c r="AC119" s="296"/>
      <c r="AD119" s="296"/>
      <c r="AE119" s="296"/>
      <c r="AF119" s="296"/>
      <c r="AG119" s="296"/>
      <c r="AH119" s="296"/>
      <c r="AI119" s="296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  <c r="AU119" s="296"/>
      <c r="AV119" s="296"/>
      <c r="AW119" s="296"/>
      <c r="AX119" s="296"/>
      <c r="AY119" s="296"/>
      <c r="AZ119" s="296"/>
      <c r="BA119" s="296"/>
      <c r="BB119" s="296"/>
      <c r="BC119" s="296"/>
      <c r="BD119" s="296"/>
    </row>
    <row r="120" spans="1:56" ht="15" customHeight="1" x14ac:dyDescent="0.25">
      <c r="A120" s="296"/>
      <c r="B120" s="296"/>
      <c r="C120" s="296"/>
      <c r="D120" s="296"/>
      <c r="E120" s="296"/>
      <c r="F120" s="296"/>
      <c r="G120" s="296"/>
      <c r="H120" s="296"/>
      <c r="I120" s="296"/>
      <c r="J120" s="296"/>
      <c r="K120" s="296"/>
      <c r="L120" s="296"/>
      <c r="M120" s="296"/>
      <c r="N120" s="296"/>
      <c r="O120" s="296"/>
      <c r="P120" s="296"/>
      <c r="Q120" s="296"/>
      <c r="R120" s="296"/>
      <c r="S120" s="296"/>
      <c r="T120" s="296"/>
      <c r="U120" s="296"/>
      <c r="V120" s="296"/>
      <c r="W120" s="296"/>
      <c r="X120" s="296"/>
      <c r="Y120" s="296"/>
      <c r="Z120" s="296"/>
      <c r="AA120" s="296"/>
      <c r="AB120" s="296"/>
      <c r="AC120" s="296"/>
      <c r="AD120" s="296"/>
      <c r="AE120" s="296"/>
      <c r="AF120" s="296"/>
      <c r="AG120" s="296"/>
      <c r="AH120" s="296"/>
      <c r="AI120" s="296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6"/>
      <c r="AT120" s="296"/>
      <c r="AU120" s="296"/>
      <c r="AV120" s="296"/>
      <c r="AW120" s="296"/>
      <c r="AX120" s="296"/>
      <c r="AY120" s="296"/>
      <c r="AZ120" s="296"/>
      <c r="BA120" s="296"/>
      <c r="BB120" s="296"/>
      <c r="BC120" s="296"/>
      <c r="BD120" s="296"/>
    </row>
    <row r="121" spans="1:56" ht="15" customHeight="1" x14ac:dyDescent="0.25">
      <c r="A121" s="296"/>
      <c r="B121" s="296"/>
      <c r="C121" s="296"/>
      <c r="D121" s="296"/>
      <c r="E121" s="296"/>
      <c r="F121" s="296"/>
      <c r="G121" s="296"/>
      <c r="H121" s="296"/>
      <c r="I121" s="296"/>
      <c r="J121" s="296"/>
      <c r="K121" s="296"/>
      <c r="L121" s="296"/>
      <c r="M121" s="296"/>
      <c r="N121" s="296"/>
      <c r="O121" s="296"/>
      <c r="P121" s="296"/>
      <c r="Q121" s="296"/>
      <c r="R121" s="296"/>
      <c r="S121" s="296"/>
      <c r="T121" s="296"/>
      <c r="U121" s="296"/>
      <c r="V121" s="296"/>
      <c r="W121" s="296"/>
      <c r="X121" s="296"/>
      <c r="Y121" s="296"/>
      <c r="Z121" s="296"/>
      <c r="AA121" s="296"/>
      <c r="AB121" s="296"/>
      <c r="AC121" s="296"/>
      <c r="AD121" s="296"/>
      <c r="AE121" s="296"/>
      <c r="AF121" s="296"/>
      <c r="AG121" s="296"/>
      <c r="AH121" s="296"/>
      <c r="AI121" s="296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6"/>
      <c r="AT121" s="296"/>
      <c r="AU121" s="296"/>
      <c r="AV121" s="296"/>
      <c r="AW121" s="296"/>
      <c r="AX121" s="296"/>
      <c r="AY121" s="296"/>
      <c r="AZ121" s="296"/>
      <c r="BA121" s="296"/>
      <c r="BB121" s="296"/>
      <c r="BC121" s="296"/>
      <c r="BD121" s="296"/>
    </row>
    <row r="122" spans="1:56" ht="15" customHeight="1" x14ac:dyDescent="0.25">
      <c r="A122" s="296"/>
      <c r="B122" s="296"/>
      <c r="C122" s="296"/>
      <c r="D122" s="296"/>
      <c r="E122" s="296"/>
      <c r="F122" s="296"/>
      <c r="G122" s="296"/>
      <c r="H122" s="296"/>
      <c r="I122" s="296"/>
      <c r="J122" s="296"/>
      <c r="K122" s="296"/>
      <c r="L122" s="296"/>
      <c r="M122" s="296"/>
      <c r="N122" s="296"/>
      <c r="O122" s="296"/>
      <c r="P122" s="296"/>
      <c r="Q122" s="296"/>
      <c r="R122" s="296"/>
      <c r="S122" s="296"/>
      <c r="T122" s="296"/>
      <c r="U122" s="296"/>
      <c r="V122" s="296"/>
      <c r="W122" s="296"/>
      <c r="X122" s="296"/>
      <c r="Y122" s="296"/>
      <c r="Z122" s="296"/>
      <c r="AA122" s="296"/>
      <c r="AB122" s="296"/>
      <c r="AC122" s="296"/>
      <c r="AD122" s="296"/>
      <c r="AE122" s="296"/>
      <c r="AF122" s="296"/>
      <c r="AG122" s="296"/>
      <c r="AH122" s="296"/>
      <c r="AI122" s="296"/>
      <c r="AJ122" s="296"/>
      <c r="AK122" s="296"/>
      <c r="AL122" s="296"/>
      <c r="AM122" s="296"/>
      <c r="AN122" s="296"/>
      <c r="AO122" s="296"/>
      <c r="AP122" s="296"/>
      <c r="AQ122" s="296"/>
      <c r="AR122" s="296"/>
      <c r="AS122" s="296"/>
      <c r="AT122" s="296"/>
      <c r="AU122" s="296"/>
      <c r="AV122" s="296"/>
      <c r="AW122" s="296"/>
      <c r="AX122" s="296"/>
      <c r="AY122" s="296"/>
      <c r="AZ122" s="296"/>
      <c r="BA122" s="296"/>
      <c r="BB122" s="296"/>
      <c r="BC122" s="296"/>
      <c r="BD122" s="296"/>
    </row>
    <row r="123" spans="1:56" ht="15" customHeight="1" x14ac:dyDescent="0.25">
      <c r="A123" s="296"/>
      <c r="B123" s="296"/>
      <c r="C123" s="296"/>
      <c r="D123" s="296"/>
      <c r="E123" s="296"/>
      <c r="F123" s="296"/>
      <c r="G123" s="296"/>
      <c r="H123" s="296"/>
      <c r="I123" s="296"/>
      <c r="J123" s="296"/>
      <c r="K123" s="296"/>
      <c r="L123" s="296"/>
      <c r="M123" s="296"/>
      <c r="N123" s="296"/>
      <c r="O123" s="296"/>
      <c r="P123" s="296"/>
      <c r="Q123" s="296"/>
      <c r="R123" s="296"/>
      <c r="S123" s="296"/>
      <c r="T123" s="296"/>
      <c r="U123" s="296"/>
      <c r="V123" s="296"/>
      <c r="W123" s="296"/>
      <c r="X123" s="296"/>
      <c r="Y123" s="296"/>
      <c r="Z123" s="296"/>
      <c r="AA123" s="296"/>
      <c r="AB123" s="296"/>
      <c r="AC123" s="296"/>
      <c r="AD123" s="296"/>
      <c r="AE123" s="296"/>
      <c r="AF123" s="296"/>
      <c r="AG123" s="296"/>
      <c r="AH123" s="296"/>
      <c r="AI123" s="296"/>
      <c r="AJ123" s="296"/>
      <c r="AK123" s="296"/>
      <c r="AL123" s="296"/>
      <c r="AM123" s="296"/>
      <c r="AN123" s="296"/>
      <c r="AO123" s="296"/>
      <c r="AP123" s="296"/>
      <c r="AQ123" s="296"/>
      <c r="AR123" s="296"/>
      <c r="AS123" s="296"/>
      <c r="AT123" s="296"/>
      <c r="AU123" s="296"/>
      <c r="AV123" s="296"/>
      <c r="AW123" s="296"/>
      <c r="AX123" s="296"/>
      <c r="AY123" s="296"/>
      <c r="AZ123" s="296"/>
      <c r="BA123" s="296"/>
      <c r="BB123" s="296"/>
      <c r="BC123" s="296"/>
      <c r="BD123" s="296"/>
    </row>
    <row r="124" spans="1:56" ht="15" customHeight="1" x14ac:dyDescent="0.25">
      <c r="A124" s="296"/>
      <c r="B124" s="296"/>
      <c r="C124" s="296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96"/>
      <c r="Q124" s="296"/>
      <c r="R124" s="296"/>
      <c r="S124" s="296"/>
      <c r="T124" s="296"/>
      <c r="U124" s="296"/>
      <c r="V124" s="296"/>
      <c r="W124" s="296"/>
      <c r="X124" s="296"/>
      <c r="Y124" s="296"/>
      <c r="Z124" s="296"/>
      <c r="AA124" s="296"/>
      <c r="AB124" s="296"/>
      <c r="AC124" s="296"/>
      <c r="AD124" s="296"/>
      <c r="AE124" s="296"/>
      <c r="AF124" s="296"/>
      <c r="AG124" s="296"/>
      <c r="AH124" s="296"/>
      <c r="AI124" s="296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  <c r="AU124" s="296"/>
      <c r="AV124" s="296"/>
      <c r="AW124" s="296"/>
      <c r="AX124" s="296"/>
      <c r="AY124" s="296"/>
      <c r="AZ124" s="296"/>
      <c r="BA124" s="296"/>
      <c r="BB124" s="296"/>
      <c r="BC124" s="296"/>
      <c r="BD124" s="296"/>
    </row>
    <row r="125" spans="1:56" ht="15" customHeight="1" x14ac:dyDescent="0.25">
      <c r="A125" s="296"/>
      <c r="B125" s="296"/>
      <c r="C125" s="296"/>
      <c r="D125" s="296"/>
      <c r="E125" s="296"/>
      <c r="F125" s="296"/>
      <c r="G125" s="296"/>
      <c r="H125" s="296"/>
      <c r="I125" s="296"/>
      <c r="J125" s="296"/>
      <c r="K125" s="296"/>
      <c r="L125" s="296"/>
      <c r="M125" s="296"/>
      <c r="N125" s="296"/>
      <c r="O125" s="296"/>
      <c r="P125" s="296"/>
      <c r="Q125" s="296"/>
      <c r="R125" s="296"/>
      <c r="S125" s="296"/>
      <c r="T125" s="296"/>
      <c r="U125" s="296"/>
      <c r="V125" s="296"/>
      <c r="W125" s="296"/>
      <c r="X125" s="296"/>
      <c r="Y125" s="296"/>
      <c r="Z125" s="296"/>
      <c r="AA125" s="296"/>
      <c r="AB125" s="296"/>
      <c r="AC125" s="296"/>
      <c r="AD125" s="296"/>
      <c r="AE125" s="296"/>
      <c r="AF125" s="296"/>
      <c r="AG125" s="296"/>
      <c r="AH125" s="296"/>
      <c r="AI125" s="296"/>
      <c r="AJ125" s="296"/>
      <c r="AK125" s="296"/>
      <c r="AL125" s="296"/>
      <c r="AM125" s="296"/>
      <c r="AN125" s="296"/>
      <c r="AO125" s="296"/>
      <c r="AP125" s="296"/>
      <c r="AQ125" s="296"/>
      <c r="AR125" s="296"/>
      <c r="AS125" s="296"/>
      <c r="AT125" s="296"/>
      <c r="AU125" s="296"/>
      <c r="AV125" s="296"/>
      <c r="AW125" s="296"/>
      <c r="AX125" s="296"/>
      <c r="AY125" s="296"/>
      <c r="AZ125" s="296"/>
      <c r="BA125" s="296"/>
      <c r="BB125" s="296"/>
      <c r="BC125" s="296"/>
      <c r="BD125" s="296"/>
    </row>
    <row r="126" spans="1:56" ht="15" customHeight="1" x14ac:dyDescent="0.25">
      <c r="A126" s="296"/>
      <c r="B126" s="296"/>
      <c r="C126" s="296"/>
      <c r="D126" s="296"/>
      <c r="E126" s="296"/>
      <c r="F126" s="296"/>
      <c r="G126" s="296"/>
      <c r="H126" s="296"/>
      <c r="I126" s="296"/>
      <c r="J126" s="296"/>
      <c r="K126" s="296"/>
      <c r="L126" s="296"/>
      <c r="M126" s="296"/>
      <c r="N126" s="296"/>
      <c r="O126" s="296"/>
      <c r="P126" s="296"/>
      <c r="Q126" s="296"/>
      <c r="R126" s="296"/>
      <c r="S126" s="296"/>
      <c r="T126" s="296"/>
      <c r="U126" s="296"/>
      <c r="V126" s="296"/>
      <c r="W126" s="296"/>
      <c r="X126" s="296"/>
      <c r="Y126" s="296"/>
      <c r="Z126" s="296"/>
      <c r="AA126" s="296"/>
      <c r="AB126" s="296"/>
      <c r="AC126" s="296"/>
      <c r="AD126" s="296"/>
      <c r="AE126" s="296"/>
      <c r="AF126" s="296"/>
      <c r="AG126" s="296"/>
      <c r="AH126" s="296"/>
      <c r="AI126" s="296"/>
      <c r="AJ126" s="296"/>
      <c r="AK126" s="296"/>
      <c r="AL126" s="296"/>
      <c r="AM126" s="296"/>
      <c r="AN126" s="296"/>
      <c r="AO126" s="296"/>
      <c r="AP126" s="296"/>
      <c r="AQ126" s="296"/>
      <c r="AR126" s="296"/>
      <c r="AS126" s="296"/>
      <c r="AT126" s="296"/>
      <c r="AU126" s="296"/>
      <c r="AV126" s="296"/>
      <c r="AW126" s="296"/>
      <c r="AX126" s="296"/>
      <c r="AY126" s="296"/>
      <c r="AZ126" s="296"/>
      <c r="BA126" s="296"/>
      <c r="BB126" s="296"/>
      <c r="BC126" s="296"/>
      <c r="BD126" s="296"/>
    </row>
    <row r="127" spans="1:56" ht="15" customHeight="1" x14ac:dyDescent="0.25">
      <c r="A127" s="296"/>
      <c r="B127" s="296"/>
      <c r="C127" s="296"/>
      <c r="D127" s="296"/>
      <c r="E127" s="296"/>
      <c r="F127" s="296"/>
      <c r="G127" s="296"/>
      <c r="H127" s="296"/>
      <c r="I127" s="296"/>
      <c r="J127" s="296"/>
      <c r="K127" s="296"/>
      <c r="L127" s="296"/>
      <c r="M127" s="296"/>
      <c r="N127" s="296"/>
      <c r="O127" s="296"/>
      <c r="P127" s="296"/>
      <c r="Q127" s="296"/>
      <c r="R127" s="296"/>
      <c r="S127" s="296"/>
      <c r="T127" s="296"/>
      <c r="U127" s="296"/>
      <c r="V127" s="296"/>
      <c r="W127" s="296"/>
      <c r="X127" s="296"/>
      <c r="Y127" s="296"/>
      <c r="Z127" s="296"/>
      <c r="AA127" s="296"/>
      <c r="AB127" s="296"/>
      <c r="AC127" s="296"/>
      <c r="AD127" s="296"/>
      <c r="AE127" s="296"/>
      <c r="AF127" s="296"/>
      <c r="AG127" s="296"/>
      <c r="AH127" s="296"/>
      <c r="AI127" s="296"/>
      <c r="AJ127" s="296"/>
      <c r="AK127" s="296"/>
      <c r="AL127" s="296"/>
      <c r="AM127" s="296"/>
      <c r="AN127" s="296"/>
      <c r="AO127" s="296"/>
      <c r="AP127" s="296"/>
      <c r="AQ127" s="296"/>
      <c r="AR127" s="296"/>
      <c r="AS127" s="296"/>
      <c r="AT127" s="296"/>
      <c r="AU127" s="296"/>
      <c r="AV127" s="296"/>
      <c r="AW127" s="296"/>
      <c r="AX127" s="296"/>
      <c r="AY127" s="296"/>
      <c r="AZ127" s="296"/>
      <c r="BA127" s="296"/>
      <c r="BB127" s="296"/>
      <c r="BC127" s="296"/>
      <c r="BD127" s="296"/>
    </row>
    <row r="128" spans="1:56" ht="15" customHeight="1" x14ac:dyDescent="0.25">
      <c r="A128" s="296"/>
      <c r="B128" s="296"/>
      <c r="C128" s="296"/>
      <c r="D128" s="296"/>
      <c r="E128" s="296"/>
      <c r="F128" s="296"/>
      <c r="G128" s="296"/>
      <c r="H128" s="296"/>
      <c r="I128" s="296"/>
      <c r="J128" s="296"/>
      <c r="K128" s="296"/>
      <c r="L128" s="296"/>
      <c r="M128" s="296"/>
      <c r="N128" s="296"/>
      <c r="O128" s="296"/>
      <c r="P128" s="296"/>
      <c r="Q128" s="296"/>
      <c r="R128" s="296"/>
      <c r="S128" s="296"/>
      <c r="T128" s="296"/>
      <c r="U128" s="296"/>
      <c r="V128" s="296"/>
      <c r="W128" s="296"/>
      <c r="X128" s="296"/>
      <c r="Y128" s="296"/>
      <c r="Z128" s="296"/>
      <c r="AA128" s="296"/>
      <c r="AB128" s="296"/>
      <c r="AC128" s="296"/>
      <c r="AD128" s="296"/>
      <c r="AE128" s="296"/>
      <c r="AF128" s="296"/>
      <c r="AG128" s="296"/>
      <c r="AH128" s="296"/>
      <c r="AI128" s="296"/>
      <c r="AJ128" s="296"/>
      <c r="AK128" s="296"/>
      <c r="AL128" s="296"/>
      <c r="AM128" s="296"/>
      <c r="AN128" s="296"/>
      <c r="AO128" s="296"/>
      <c r="AP128" s="296"/>
      <c r="AQ128" s="296"/>
      <c r="AR128" s="296"/>
      <c r="AS128" s="296"/>
      <c r="AT128" s="296"/>
      <c r="AU128" s="296"/>
      <c r="AV128" s="296"/>
      <c r="AW128" s="296"/>
      <c r="AX128" s="296"/>
      <c r="AY128" s="296"/>
      <c r="AZ128" s="296"/>
      <c r="BA128" s="296"/>
      <c r="BB128" s="296"/>
      <c r="BC128" s="296"/>
      <c r="BD128" s="296"/>
    </row>
    <row r="129" spans="1:56" ht="15" customHeight="1" x14ac:dyDescent="0.25">
      <c r="A129" s="296"/>
      <c r="B129" s="296"/>
      <c r="C129" s="296"/>
      <c r="D129" s="296"/>
      <c r="E129" s="296"/>
      <c r="F129" s="296"/>
      <c r="G129" s="296"/>
      <c r="H129" s="296"/>
      <c r="I129" s="296"/>
      <c r="J129" s="296"/>
      <c r="K129" s="296"/>
      <c r="L129" s="296"/>
      <c r="M129" s="296"/>
      <c r="N129" s="296"/>
      <c r="O129" s="296"/>
      <c r="P129" s="296"/>
      <c r="Q129" s="296"/>
      <c r="R129" s="296"/>
      <c r="S129" s="296"/>
      <c r="T129" s="296"/>
      <c r="U129" s="296"/>
      <c r="V129" s="296"/>
      <c r="W129" s="296"/>
      <c r="X129" s="296"/>
      <c r="Y129" s="296"/>
      <c r="Z129" s="296"/>
      <c r="AA129" s="296"/>
      <c r="AB129" s="296"/>
      <c r="AC129" s="296"/>
      <c r="AD129" s="296"/>
      <c r="AE129" s="296"/>
      <c r="AF129" s="296"/>
      <c r="AG129" s="296"/>
      <c r="AH129" s="296"/>
      <c r="AI129" s="296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  <c r="AV129" s="296"/>
      <c r="AW129" s="296"/>
      <c r="AX129" s="296"/>
      <c r="AY129" s="296"/>
      <c r="AZ129" s="296"/>
      <c r="BA129" s="296"/>
      <c r="BB129" s="296"/>
      <c r="BC129" s="296"/>
      <c r="BD129" s="296"/>
    </row>
    <row r="130" spans="1:56" ht="15" customHeight="1" x14ac:dyDescent="0.25">
      <c r="A130" s="296"/>
      <c r="B130" s="296"/>
      <c r="C130" s="296"/>
      <c r="D130" s="296"/>
      <c r="E130" s="296"/>
      <c r="F130" s="296"/>
      <c r="G130" s="296"/>
      <c r="H130" s="296"/>
      <c r="I130" s="296"/>
      <c r="J130" s="296"/>
      <c r="K130" s="296"/>
      <c r="L130" s="296"/>
      <c r="M130" s="296"/>
      <c r="N130" s="296"/>
      <c r="O130" s="296"/>
      <c r="P130" s="296"/>
      <c r="Q130" s="296"/>
      <c r="R130" s="296"/>
      <c r="S130" s="296"/>
      <c r="T130" s="296"/>
      <c r="U130" s="296"/>
      <c r="V130" s="296"/>
      <c r="W130" s="296"/>
      <c r="X130" s="296"/>
      <c r="Y130" s="296"/>
      <c r="Z130" s="296"/>
      <c r="AA130" s="296"/>
      <c r="AB130" s="296"/>
      <c r="AC130" s="296"/>
      <c r="AD130" s="296"/>
      <c r="AE130" s="296"/>
      <c r="AF130" s="296"/>
      <c r="AG130" s="296"/>
      <c r="AH130" s="296"/>
      <c r="AI130" s="296"/>
      <c r="AJ130" s="296"/>
      <c r="AK130" s="296"/>
      <c r="AL130" s="296"/>
      <c r="AM130" s="296"/>
      <c r="AN130" s="296"/>
      <c r="AO130" s="296"/>
      <c r="AP130" s="296"/>
      <c r="AQ130" s="296"/>
      <c r="AR130" s="296"/>
      <c r="AS130" s="296"/>
      <c r="AT130" s="296"/>
      <c r="AU130" s="296"/>
      <c r="AV130" s="296"/>
      <c r="AW130" s="296"/>
      <c r="AX130" s="296"/>
      <c r="AY130" s="296"/>
      <c r="AZ130" s="296"/>
      <c r="BA130" s="296"/>
      <c r="BB130" s="296"/>
      <c r="BC130" s="296"/>
      <c r="BD130" s="296"/>
    </row>
    <row r="131" spans="1:56" ht="15" customHeight="1" x14ac:dyDescent="0.25">
      <c r="A131" s="296"/>
      <c r="B131" s="296"/>
      <c r="C131" s="296"/>
      <c r="D131" s="296"/>
      <c r="E131" s="296"/>
      <c r="F131" s="296"/>
      <c r="G131" s="296"/>
      <c r="H131" s="296"/>
      <c r="I131" s="296"/>
      <c r="J131" s="296"/>
      <c r="K131" s="296"/>
      <c r="L131" s="296"/>
      <c r="M131" s="296"/>
      <c r="N131" s="296"/>
      <c r="O131" s="296"/>
      <c r="P131" s="296"/>
      <c r="Q131" s="296"/>
      <c r="R131" s="296"/>
      <c r="S131" s="296"/>
      <c r="T131" s="296"/>
      <c r="U131" s="296"/>
      <c r="V131" s="296"/>
      <c r="W131" s="296"/>
      <c r="X131" s="296"/>
      <c r="Y131" s="296"/>
      <c r="Z131" s="296"/>
      <c r="AA131" s="296"/>
      <c r="AB131" s="296"/>
      <c r="AC131" s="296"/>
      <c r="AD131" s="296"/>
      <c r="AE131" s="296"/>
      <c r="AF131" s="296"/>
      <c r="AG131" s="296"/>
      <c r="AH131" s="296"/>
      <c r="AI131" s="296"/>
      <c r="AJ131" s="296"/>
      <c r="AK131" s="296"/>
      <c r="AL131" s="296"/>
      <c r="AM131" s="296"/>
      <c r="AN131" s="296"/>
      <c r="AO131" s="296"/>
      <c r="AP131" s="296"/>
      <c r="AQ131" s="296"/>
      <c r="AR131" s="296"/>
      <c r="AS131" s="296"/>
      <c r="AT131" s="296"/>
      <c r="AU131" s="296"/>
      <c r="AV131" s="296"/>
      <c r="AW131" s="296"/>
      <c r="AX131" s="296"/>
      <c r="AY131" s="296"/>
      <c r="AZ131" s="296"/>
      <c r="BA131" s="296"/>
      <c r="BB131" s="296"/>
      <c r="BC131" s="296"/>
      <c r="BD131" s="296"/>
    </row>
    <row r="132" spans="1:56" ht="15" customHeight="1" x14ac:dyDescent="0.25">
      <c r="A132" s="296"/>
      <c r="B132" s="296"/>
      <c r="C132" s="296"/>
      <c r="D132" s="296"/>
      <c r="E132" s="296"/>
      <c r="F132" s="296"/>
      <c r="G132" s="296"/>
      <c r="H132" s="296"/>
      <c r="I132" s="296"/>
      <c r="J132" s="296"/>
      <c r="K132" s="296"/>
      <c r="L132" s="296"/>
      <c r="M132" s="296"/>
      <c r="N132" s="296"/>
      <c r="O132" s="296"/>
      <c r="P132" s="296"/>
      <c r="Q132" s="296"/>
      <c r="R132" s="296"/>
      <c r="S132" s="296"/>
      <c r="T132" s="296"/>
      <c r="U132" s="296"/>
      <c r="V132" s="296"/>
      <c r="W132" s="296"/>
      <c r="X132" s="296"/>
      <c r="Y132" s="296"/>
      <c r="Z132" s="296"/>
      <c r="AA132" s="296"/>
      <c r="AB132" s="296"/>
      <c r="AC132" s="296"/>
      <c r="AD132" s="296"/>
      <c r="AE132" s="296"/>
      <c r="AF132" s="296"/>
      <c r="AG132" s="296"/>
      <c r="AH132" s="296"/>
      <c r="AI132" s="296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  <c r="AU132" s="296"/>
      <c r="AV132" s="296"/>
      <c r="AW132" s="296"/>
      <c r="AX132" s="296"/>
      <c r="AY132" s="296"/>
      <c r="AZ132" s="296"/>
      <c r="BA132" s="296"/>
      <c r="BB132" s="296"/>
      <c r="BC132" s="296"/>
      <c r="BD132" s="296"/>
    </row>
    <row r="133" spans="1:56" ht="15" customHeight="1" x14ac:dyDescent="0.25">
      <c r="A133" s="296"/>
      <c r="B133" s="296"/>
      <c r="C133" s="296"/>
      <c r="D133" s="296"/>
      <c r="E133" s="296"/>
      <c r="F133" s="296"/>
      <c r="G133" s="296"/>
      <c r="H133" s="296"/>
      <c r="I133" s="296"/>
      <c r="J133" s="296"/>
      <c r="K133" s="296"/>
      <c r="L133" s="296"/>
      <c r="M133" s="296"/>
      <c r="N133" s="296"/>
      <c r="O133" s="296"/>
      <c r="P133" s="296"/>
      <c r="Q133" s="296"/>
      <c r="R133" s="296"/>
      <c r="S133" s="296"/>
      <c r="T133" s="296"/>
      <c r="U133" s="296"/>
      <c r="V133" s="296"/>
      <c r="W133" s="296"/>
      <c r="X133" s="296"/>
      <c r="Y133" s="296"/>
      <c r="Z133" s="296"/>
      <c r="AA133" s="296"/>
      <c r="AB133" s="296"/>
      <c r="AC133" s="296"/>
      <c r="AD133" s="296"/>
      <c r="AE133" s="296"/>
      <c r="AF133" s="296"/>
      <c r="AG133" s="296"/>
      <c r="AH133" s="296"/>
      <c r="AI133" s="296"/>
      <c r="AJ133" s="296"/>
      <c r="AK133" s="296"/>
      <c r="AL133" s="296"/>
      <c r="AM133" s="296"/>
      <c r="AN133" s="296"/>
      <c r="AO133" s="296"/>
      <c r="AP133" s="296"/>
      <c r="AQ133" s="296"/>
      <c r="AR133" s="296"/>
      <c r="AS133" s="296"/>
      <c r="AT133" s="296"/>
      <c r="AU133" s="296"/>
      <c r="AV133" s="296"/>
      <c r="AW133" s="296"/>
      <c r="AX133" s="296"/>
      <c r="AY133" s="296"/>
      <c r="AZ133" s="296"/>
      <c r="BA133" s="296"/>
      <c r="BB133" s="296"/>
      <c r="BC133" s="296"/>
      <c r="BD133" s="296"/>
    </row>
    <row r="134" spans="1:56" ht="15.75" customHeight="1" thickBot="1" x14ac:dyDescent="0.3">
      <c r="A134" s="296"/>
      <c r="B134" s="296"/>
      <c r="C134" s="296"/>
      <c r="D134" s="296"/>
      <c r="E134" s="296"/>
      <c r="F134" s="296"/>
      <c r="G134" s="296"/>
      <c r="H134" s="296"/>
      <c r="I134" s="296"/>
      <c r="J134" s="296"/>
      <c r="K134" s="296"/>
      <c r="L134" s="296"/>
      <c r="M134" s="296"/>
      <c r="N134" s="296"/>
      <c r="O134" s="296"/>
      <c r="P134" s="296"/>
      <c r="Q134" s="296"/>
      <c r="R134" s="296"/>
      <c r="S134" s="296"/>
      <c r="T134" s="296"/>
      <c r="U134" s="296"/>
      <c r="V134" s="296"/>
      <c r="W134" s="296"/>
      <c r="X134" s="296"/>
      <c r="Y134" s="296"/>
      <c r="Z134" s="296"/>
      <c r="AA134" s="296"/>
      <c r="AB134" s="296"/>
      <c r="AC134" s="296"/>
      <c r="AD134" s="296"/>
      <c r="AE134" s="296"/>
      <c r="AF134" s="296"/>
      <c r="AG134" s="296"/>
      <c r="AH134" s="296"/>
      <c r="AI134" s="296"/>
      <c r="AJ134" s="296"/>
      <c r="AK134" s="296"/>
      <c r="AL134" s="296"/>
      <c r="AM134" s="296"/>
      <c r="AN134" s="296"/>
      <c r="AO134" s="296"/>
      <c r="AP134" s="296"/>
      <c r="AQ134" s="296"/>
      <c r="AR134" s="296"/>
      <c r="AS134" s="296"/>
      <c r="AT134" s="296"/>
      <c r="AU134" s="296"/>
      <c r="AV134" s="296"/>
      <c r="AW134" s="296"/>
      <c r="AX134" s="296"/>
      <c r="AY134" s="296"/>
      <c r="AZ134" s="296"/>
      <c r="BA134" s="296"/>
      <c r="BB134" s="296"/>
      <c r="BC134" s="296"/>
      <c r="BD134" s="296"/>
    </row>
    <row r="135" spans="1:56" ht="15.75" thickBot="1" x14ac:dyDescent="0.3">
      <c r="A135" s="239"/>
      <c r="B135" s="577"/>
      <c r="C135" s="240"/>
      <c r="D135" s="54"/>
      <c r="E135" s="54"/>
      <c r="F135" s="241"/>
      <c r="G135" s="241"/>
      <c r="H135" s="242"/>
      <c r="I135" s="242"/>
      <c r="J135" s="242"/>
      <c r="K135" s="242"/>
      <c r="L135" s="242"/>
      <c r="M135" s="242"/>
      <c r="N135" s="242"/>
      <c r="O135" s="242"/>
      <c r="P135" s="242"/>
      <c r="Q135" s="244"/>
      <c r="R135" s="245"/>
      <c r="S135" s="245"/>
      <c r="T135" s="245"/>
      <c r="U135" s="245"/>
      <c r="V135" s="245"/>
      <c r="W135" s="245"/>
      <c r="X135" s="245"/>
      <c r="Y135" s="230"/>
      <c r="Z135" s="243"/>
      <c r="AA135" s="230"/>
      <c r="AB135" s="243"/>
      <c r="AC135" s="242"/>
      <c r="AD135" s="243"/>
      <c r="AE135" s="243"/>
      <c r="AF135" s="243"/>
      <c r="AG135" s="243"/>
      <c r="AH135" s="243"/>
      <c r="AI135" s="231"/>
      <c r="AJ135" s="1415"/>
      <c r="AK135" s="1415"/>
      <c r="AL135" s="1415"/>
      <c r="AM135" s="1415"/>
      <c r="AN135" s="1415"/>
      <c r="AO135" s="1415"/>
      <c r="AP135" s="1415"/>
      <c r="AQ135" s="1415"/>
      <c r="AR135" s="1415"/>
      <c r="AS135" s="1415"/>
      <c r="AT135" s="1415"/>
      <c r="AU135" s="1415"/>
      <c r="AV135" s="1415"/>
      <c r="AW135" s="243"/>
      <c r="AX135" s="243"/>
      <c r="AY135" s="246"/>
      <c r="AZ135" s="230"/>
      <c r="BA135" s="230"/>
      <c r="BB135" s="123"/>
    </row>
  </sheetData>
  <mergeCells count="66">
    <mergeCell ref="AB7:AB8"/>
    <mergeCell ref="AC7:AC8"/>
    <mergeCell ref="AD7:AD8"/>
    <mergeCell ref="I7:J7"/>
    <mergeCell ref="K7:L7"/>
    <mergeCell ref="AH46:AH47"/>
    <mergeCell ref="F7:F8"/>
    <mergeCell ref="A7:A8"/>
    <mergeCell ref="B7:B8"/>
    <mergeCell ref="C7:C8"/>
    <mergeCell ref="D7:D8"/>
    <mergeCell ref="E7:E8"/>
    <mergeCell ref="AG7:AG8"/>
    <mergeCell ref="G7:G8"/>
    <mergeCell ref="H7:H8"/>
    <mergeCell ref="O7:P7"/>
    <mergeCell ref="Q7:R7"/>
    <mergeCell ref="S7:T7"/>
    <mergeCell ref="Y7:Y8"/>
    <mergeCell ref="Z7:Z8"/>
    <mergeCell ref="AA7:AA8"/>
    <mergeCell ref="AK7:AK8"/>
    <mergeCell ref="AL7:AL8"/>
    <mergeCell ref="AO7:AO8"/>
    <mergeCell ref="AQ7:AQ8"/>
    <mergeCell ref="AS7:AS8"/>
    <mergeCell ref="AN7:AN8"/>
    <mergeCell ref="AP7:AP8"/>
    <mergeCell ref="AR7:AR8"/>
    <mergeCell ref="G46:G47"/>
    <mergeCell ref="H46:H47"/>
    <mergeCell ref="AD46:AD47"/>
    <mergeCell ref="AG46:AG47"/>
    <mergeCell ref="AJ7:AJ8"/>
    <mergeCell ref="Y46:Y47"/>
    <mergeCell ref="Z46:Z47"/>
    <mergeCell ref="AA46:AA47"/>
    <mergeCell ref="AB46:AB47"/>
    <mergeCell ref="M7:N7"/>
    <mergeCell ref="W7:X7"/>
    <mergeCell ref="U7:V7"/>
    <mergeCell ref="AH7:AH8"/>
    <mergeCell ref="AI7:AI8"/>
    <mergeCell ref="AE7:AE8"/>
    <mergeCell ref="AF7:AF8"/>
    <mergeCell ref="A46:A47"/>
    <mergeCell ref="C46:C47"/>
    <mergeCell ref="D46:D47"/>
    <mergeCell ref="E46:E47"/>
    <mergeCell ref="F46:F47"/>
    <mergeCell ref="BD7:BD8"/>
    <mergeCell ref="BE7:BE8"/>
    <mergeCell ref="BF7:BF8"/>
    <mergeCell ref="BE46:BE47"/>
    <mergeCell ref="AC46:AC47"/>
    <mergeCell ref="AM7:AM8"/>
    <mergeCell ref="BC7:BC8"/>
    <mergeCell ref="AW7:AW8"/>
    <mergeCell ref="AX7:AX8"/>
    <mergeCell ref="AY7:AY8"/>
    <mergeCell ref="AZ7:AZ8"/>
    <mergeCell ref="BA7:BA8"/>
    <mergeCell ref="BB7:BB8"/>
    <mergeCell ref="AT7:AT8"/>
    <mergeCell ref="AU7:AU8"/>
    <mergeCell ref="AV7:AV8"/>
  </mergeCells>
  <pageMargins left="0.19" right="0.70866141732283472" top="0.17" bottom="0.16" header="0.17" footer="0.16"/>
  <pageSetup paperSize="9" orientation="landscape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T110"/>
  <sheetViews>
    <sheetView topLeftCell="A74" workbookViewId="0">
      <selection activeCell="W7" sqref="W7:AV8"/>
    </sheetView>
  </sheetViews>
  <sheetFormatPr defaultRowHeight="15" x14ac:dyDescent="0.25"/>
  <cols>
    <col min="1" max="1" width="3.42578125" customWidth="1"/>
    <col min="2" max="2" width="9.5703125" hidden="1" customWidth="1"/>
    <col min="3" max="3" width="23.28515625" customWidth="1"/>
    <col min="4" max="4" width="8.5703125" hidden="1" customWidth="1"/>
    <col min="5" max="5" width="6.140625" hidden="1" customWidth="1"/>
    <col min="6" max="7" width="8.140625" hidden="1" customWidth="1"/>
    <col min="8" max="8" width="9.5703125" customWidth="1"/>
    <col min="9" max="10" width="13" hidden="1" customWidth="1"/>
    <col min="11" max="11" width="11" customWidth="1"/>
    <col min="12" max="12" width="11.5703125" customWidth="1"/>
    <col min="13" max="13" width="11.28515625" customWidth="1"/>
    <col min="14" max="14" width="11.7109375" customWidth="1"/>
    <col min="15" max="15" width="11.5703125" customWidth="1"/>
    <col min="16" max="16" width="10.5703125" customWidth="1"/>
    <col min="17" max="17" width="12" customWidth="1"/>
    <col min="18" max="18" width="13" customWidth="1"/>
    <col min="19" max="19" width="12" customWidth="1"/>
    <col min="20" max="21" width="12.85546875" customWidth="1"/>
    <col min="22" max="22" width="13.28515625" customWidth="1"/>
    <col min="23" max="23" width="13.140625" customWidth="1"/>
    <col min="24" max="24" width="11.5703125" customWidth="1"/>
    <col min="25" max="26" width="11" customWidth="1"/>
    <col min="27" max="27" width="10.28515625" customWidth="1"/>
    <col min="28" max="28" width="12.5703125" customWidth="1"/>
    <col min="29" max="29" width="11.28515625" customWidth="1"/>
    <col min="30" max="30" width="12.28515625" customWidth="1"/>
    <col min="31" max="31" width="12" customWidth="1"/>
    <col min="32" max="32" width="11.85546875" customWidth="1"/>
    <col min="33" max="33" width="10.28515625" customWidth="1"/>
    <col min="34" max="34" width="10.7109375" customWidth="1"/>
    <col min="35" max="35" width="12.140625" customWidth="1"/>
    <col min="36" max="36" width="10.5703125" customWidth="1"/>
    <col min="37" max="38" width="10.7109375" customWidth="1"/>
    <col min="39" max="39" width="10.7109375" hidden="1" customWidth="1"/>
    <col min="40" max="40" width="10.7109375" customWidth="1"/>
    <col min="41" max="41" width="11.7109375" customWidth="1"/>
    <col min="42" max="42" width="10.140625" customWidth="1"/>
    <col min="43" max="43" width="10.28515625" customWidth="1"/>
    <col min="44" max="44" width="11.7109375" customWidth="1"/>
    <col min="45" max="45" width="10.140625" customWidth="1"/>
    <col min="46" max="46" width="9" customWidth="1"/>
    <col min="47" max="47" width="11.28515625" customWidth="1"/>
    <col min="48" max="48" width="11.28515625" style="34" customWidth="1"/>
    <col min="49" max="49" width="10.42578125" customWidth="1"/>
  </cols>
  <sheetData>
    <row r="1" spans="1:49" ht="16.5" customHeight="1" x14ac:dyDescent="0.25">
      <c r="AI1" s="353"/>
    </row>
    <row r="2" spans="1:49" ht="15.75" x14ac:dyDescent="0.25">
      <c r="D2" s="222" t="s">
        <v>807</v>
      </c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</row>
    <row r="3" spans="1:49" ht="15.75" x14ac:dyDescent="0.25"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AI3" s="1455"/>
      <c r="AJ3" s="40"/>
      <c r="AK3" s="40"/>
      <c r="AL3" s="1455"/>
      <c r="AM3" s="40"/>
      <c r="AN3" s="40"/>
      <c r="AO3" s="40"/>
      <c r="AP3" s="40"/>
    </row>
    <row r="4" spans="1:49" ht="15.75" x14ac:dyDescent="0.25">
      <c r="D4" s="222"/>
      <c r="E4" s="222"/>
      <c r="F4" s="222"/>
      <c r="G4" s="11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</row>
    <row r="5" spans="1:49" ht="15.75" x14ac:dyDescent="0.25">
      <c r="A5" s="10"/>
      <c r="B5" s="10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</row>
    <row r="6" spans="1:49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AU6" s="250"/>
      <c r="AV6" s="250"/>
    </row>
    <row r="7" spans="1:49" ht="38.25" customHeight="1" x14ac:dyDescent="0.25">
      <c r="A7" s="2017" t="s">
        <v>0</v>
      </c>
      <c r="B7" s="2020"/>
      <c r="C7" s="2017" t="s">
        <v>184</v>
      </c>
      <c r="D7" s="2017" t="s">
        <v>54</v>
      </c>
      <c r="E7" s="2017" t="s">
        <v>55</v>
      </c>
      <c r="F7" s="2017" t="s">
        <v>56</v>
      </c>
      <c r="G7" s="2017" t="s">
        <v>57</v>
      </c>
      <c r="H7" s="2017" t="s">
        <v>6</v>
      </c>
      <c r="I7" s="2144" t="s">
        <v>558</v>
      </c>
      <c r="J7" s="2145"/>
      <c r="K7" s="1991" t="s">
        <v>656</v>
      </c>
      <c r="L7" s="1992"/>
      <c r="M7" s="1991" t="s">
        <v>657</v>
      </c>
      <c r="N7" s="1992"/>
      <c r="O7" s="2214" t="s">
        <v>658</v>
      </c>
      <c r="P7" s="2215"/>
      <c r="Q7" s="1991" t="s">
        <v>310</v>
      </c>
      <c r="R7" s="1992"/>
      <c r="S7" s="2097" t="s">
        <v>593</v>
      </c>
      <c r="T7" s="2060"/>
      <c r="U7" s="2017" t="s">
        <v>726</v>
      </c>
      <c r="V7" s="2017"/>
      <c r="W7" s="2069" t="s">
        <v>747</v>
      </c>
      <c r="X7" s="2147" t="s">
        <v>332</v>
      </c>
      <c r="Y7" s="2041" t="s">
        <v>377</v>
      </c>
      <c r="Z7" s="2041" t="s">
        <v>331</v>
      </c>
      <c r="AA7" s="2132" t="s">
        <v>337</v>
      </c>
      <c r="AB7" s="2132" t="s">
        <v>695</v>
      </c>
      <c r="AC7" s="2132" t="s">
        <v>10</v>
      </c>
      <c r="AD7" s="2146" t="s">
        <v>503</v>
      </c>
      <c r="AE7" s="2147" t="s">
        <v>316</v>
      </c>
      <c r="AF7" s="2147" t="s">
        <v>369</v>
      </c>
      <c r="AG7" s="2132" t="s">
        <v>334</v>
      </c>
      <c r="AH7" s="2132" t="s">
        <v>836</v>
      </c>
      <c r="AI7" s="2069" t="s">
        <v>688</v>
      </c>
      <c r="AJ7" s="2147" t="s">
        <v>727</v>
      </c>
      <c r="AK7" s="2147" t="s">
        <v>690</v>
      </c>
      <c r="AL7" s="2041" t="s">
        <v>862</v>
      </c>
      <c r="AM7" s="2041"/>
      <c r="AN7" s="2069" t="s">
        <v>692</v>
      </c>
      <c r="AO7" s="2041" t="s">
        <v>693</v>
      </c>
      <c r="AP7" s="2041" t="s">
        <v>656</v>
      </c>
      <c r="AQ7" s="2041" t="s">
        <v>694</v>
      </c>
      <c r="AR7" s="2041" t="s">
        <v>735</v>
      </c>
      <c r="AS7" s="2134" t="s">
        <v>724</v>
      </c>
      <c r="AT7" s="2043" t="s">
        <v>182</v>
      </c>
      <c r="AU7" s="2043" t="s">
        <v>846</v>
      </c>
      <c r="AV7" s="2045" t="s">
        <v>715</v>
      </c>
      <c r="AW7" s="1999"/>
    </row>
    <row r="8" spans="1:49" ht="56.25" customHeight="1" x14ac:dyDescent="0.25">
      <c r="A8" s="2017"/>
      <c r="B8" s="2021"/>
      <c r="C8" s="2017"/>
      <c r="D8" s="2017"/>
      <c r="E8" s="2017"/>
      <c r="F8" s="2017"/>
      <c r="G8" s="2017"/>
      <c r="H8" s="2017"/>
      <c r="I8" s="1473" t="s">
        <v>15</v>
      </c>
      <c r="J8" s="1725" t="s">
        <v>16</v>
      </c>
      <c r="K8" s="150" t="s">
        <v>15</v>
      </c>
      <c r="L8" s="1679" t="s">
        <v>16</v>
      </c>
      <c r="M8" s="150" t="s">
        <v>15</v>
      </c>
      <c r="N8" s="1679" t="s">
        <v>16</v>
      </c>
      <c r="O8" s="150" t="s">
        <v>15</v>
      </c>
      <c r="P8" s="1679" t="s">
        <v>16</v>
      </c>
      <c r="Q8" s="150" t="s">
        <v>15</v>
      </c>
      <c r="R8" s="1679" t="s">
        <v>16</v>
      </c>
      <c r="S8" s="150" t="s">
        <v>15</v>
      </c>
      <c r="T8" s="1679" t="s">
        <v>16</v>
      </c>
      <c r="U8" s="150" t="s">
        <v>15</v>
      </c>
      <c r="V8" s="1679" t="s">
        <v>16</v>
      </c>
      <c r="W8" s="2070"/>
      <c r="X8" s="2147"/>
      <c r="Y8" s="2042"/>
      <c r="Z8" s="2042"/>
      <c r="AA8" s="2133"/>
      <c r="AB8" s="2133"/>
      <c r="AC8" s="2133"/>
      <c r="AD8" s="2146"/>
      <c r="AE8" s="2147"/>
      <c r="AF8" s="2148"/>
      <c r="AG8" s="2133"/>
      <c r="AH8" s="2133"/>
      <c r="AI8" s="2070"/>
      <c r="AJ8" s="2147"/>
      <c r="AK8" s="2147"/>
      <c r="AL8" s="2042"/>
      <c r="AM8" s="2042"/>
      <c r="AN8" s="2070"/>
      <c r="AO8" s="2042"/>
      <c r="AP8" s="2042"/>
      <c r="AQ8" s="2042"/>
      <c r="AR8" s="2042"/>
      <c r="AS8" s="2135"/>
      <c r="AT8" s="2044"/>
      <c r="AU8" s="2044"/>
      <c r="AV8" s="2046"/>
      <c r="AW8" s="2000"/>
    </row>
    <row r="9" spans="1:49" ht="15.75" customHeight="1" x14ac:dyDescent="0.25">
      <c r="A9" s="119">
        <v>1</v>
      </c>
      <c r="B9" s="572"/>
      <c r="C9" s="120" t="s">
        <v>326</v>
      </c>
      <c r="D9" s="119">
        <v>1962</v>
      </c>
      <c r="E9" s="299">
        <v>1</v>
      </c>
      <c r="F9" s="299">
        <v>6</v>
      </c>
      <c r="G9" s="299">
        <v>11</v>
      </c>
      <c r="H9" s="461">
        <v>288.2</v>
      </c>
      <c r="I9" s="1364"/>
      <c r="J9" s="1364"/>
      <c r="K9" s="1364">
        <v>276.72000000000003</v>
      </c>
      <c r="L9" s="1364">
        <v>352.4</v>
      </c>
      <c r="M9" s="1364">
        <v>0</v>
      </c>
      <c r="N9" s="1364">
        <v>0</v>
      </c>
      <c r="O9" s="1364">
        <v>3078</v>
      </c>
      <c r="P9" s="1364">
        <v>3901.23</v>
      </c>
      <c r="Q9" s="1364">
        <v>27667.32</v>
      </c>
      <c r="R9" s="1364">
        <v>24414.080000000002</v>
      </c>
      <c r="S9" s="1365">
        <v>0</v>
      </c>
      <c r="T9" s="1366">
        <v>0</v>
      </c>
      <c r="U9" s="1367">
        <f>I9+K9+M9+O9+Q9+S9</f>
        <v>31022.04</v>
      </c>
      <c r="V9" s="1367">
        <f>J9+L9+N9+P9+R9+T9</f>
        <v>28667.710000000003</v>
      </c>
      <c r="W9" s="1492">
        <f>AI9+AN9+AO9+AP9+AQ9</f>
        <v>22152.342472375611</v>
      </c>
      <c r="X9" s="1369"/>
      <c r="Y9" s="1370">
        <f>140461.38/26213.25*H9</f>
        <v>1544.2941915252782</v>
      </c>
      <c r="Z9" s="1370">
        <f>14490/26213.25*H9</f>
        <v>159.30943320648908</v>
      </c>
      <c r="AA9" s="1370"/>
      <c r="AB9" s="1370">
        <f>13381.84/26213.25*H9</f>
        <v>147.12583475913897</v>
      </c>
      <c r="AC9" s="1371"/>
      <c r="AD9" s="1371">
        <f>80567.86/26213.25*H9</f>
        <v>885.79848938990779</v>
      </c>
      <c r="AE9" s="1371">
        <f>836560.35/26213.25*H9</f>
        <v>9197.5124362679162</v>
      </c>
      <c r="AF9" s="1370">
        <f>363132.58/26213.25*H9</f>
        <v>3992.4393028716395</v>
      </c>
      <c r="AG9" s="1372"/>
      <c r="AH9" s="1370"/>
      <c r="AI9" s="1493">
        <f>AH9+AG9+AF9+AE9+AD9+AC9+AB9+AA9+Z9+Y9+X9</f>
        <v>15926.47968802037</v>
      </c>
      <c r="AJ9" s="1414"/>
      <c r="AK9" s="1414"/>
      <c r="AL9" s="1414"/>
      <c r="AM9" s="1414"/>
      <c r="AN9" s="1494">
        <f>AJ9+AK9+AL9+AM9</f>
        <v>0</v>
      </c>
      <c r="AO9" s="1373"/>
      <c r="AP9" s="1374">
        <f>41887.73/26213.25*H9</f>
        <v>460.53212730203239</v>
      </c>
      <c r="AQ9" s="1365">
        <f>524386.03/26213.25*H9</f>
        <v>5765.3306570532077</v>
      </c>
      <c r="AR9" s="1375">
        <f>U9-W9</f>
        <v>8869.6975276243902</v>
      </c>
      <c r="AS9" s="1368">
        <f>V9/U9*100</f>
        <v>92.410782785400329</v>
      </c>
      <c r="AT9" s="1376">
        <f>W9/H9/12</f>
        <v>6.4053731414456427</v>
      </c>
      <c r="AU9" s="467">
        <f>U9-V9</f>
        <v>2354.3299999999981</v>
      </c>
      <c r="AV9" s="736">
        <v>9.4700000000000006</v>
      </c>
      <c r="AW9" s="736"/>
    </row>
    <row r="10" spans="1:49" s="124" customFormat="1" ht="15.75" customHeight="1" x14ac:dyDescent="0.25">
      <c r="A10" s="112">
        <v>2</v>
      </c>
      <c r="B10" s="572"/>
      <c r="C10" s="41" t="s">
        <v>24</v>
      </c>
      <c r="D10" s="112">
        <v>1966</v>
      </c>
      <c r="E10" s="179">
        <v>2</v>
      </c>
      <c r="F10" s="179">
        <v>16</v>
      </c>
      <c r="G10" s="151">
        <v>34</v>
      </c>
      <c r="H10" s="131">
        <v>627.76</v>
      </c>
      <c r="I10" s="704"/>
      <c r="J10" s="704"/>
      <c r="K10" s="704">
        <v>602.64</v>
      </c>
      <c r="L10" s="704">
        <v>641.73</v>
      </c>
      <c r="M10" s="1684">
        <v>0</v>
      </c>
      <c r="N10" s="1684">
        <v>0</v>
      </c>
      <c r="O10" s="704">
        <v>6704.34</v>
      </c>
      <c r="P10" s="704">
        <v>7159.85</v>
      </c>
      <c r="Q10" s="704">
        <v>67569.84</v>
      </c>
      <c r="R10" s="704">
        <v>56578.66</v>
      </c>
      <c r="S10" s="1365">
        <v>1886.49</v>
      </c>
      <c r="T10" s="1366">
        <v>1414.02</v>
      </c>
      <c r="U10" s="1367">
        <f t="shared" ref="U10:U40" si="0">I10+K10+M10+O10+Q10+S10</f>
        <v>76763.31</v>
      </c>
      <c r="V10" s="1367">
        <f t="shared" ref="V10:V40" si="1">J10+L10+N10+P10+R10+T10</f>
        <v>65794.260000000009</v>
      </c>
      <c r="W10" s="1492">
        <f t="shared" ref="W10:W40" si="2">AI10+AN10+AO10+AP10+AQ10</f>
        <v>69746.444410272728</v>
      </c>
      <c r="X10" s="1374">
        <v>364.96</v>
      </c>
      <c r="Y10" s="1370">
        <f t="shared" ref="Y10:Y40" si="3">140461.38/26213.25*H10</f>
        <v>3363.7963971960744</v>
      </c>
      <c r="Z10" s="1370">
        <f t="shared" ref="Z10:Z40" si="4">14490/26213.25*H10</f>
        <v>347.00933306629281</v>
      </c>
      <c r="AA10" s="1370">
        <v>2939.3</v>
      </c>
      <c r="AB10" s="1370">
        <f t="shared" ref="AB10:AB40" si="5">13381.84/26213.25*H10</f>
        <v>320.47090224981639</v>
      </c>
      <c r="AC10" s="1371"/>
      <c r="AD10" s="1371">
        <f t="shared" ref="AD10:AD40" si="6">80567.86/26213.25*H10</f>
        <v>1929.4547526003071</v>
      </c>
      <c r="AE10" s="1371">
        <f t="shared" ref="AE10:AE40" si="7">836560.35/26213.25*H10</f>
        <v>20034.109670338472</v>
      </c>
      <c r="AF10" s="1370">
        <f t="shared" ref="AF10:AF40" si="8">363132.58/26213.25*H10</f>
        <v>8696.3695238400433</v>
      </c>
      <c r="AG10" s="1377"/>
      <c r="AH10" s="1370">
        <f>725943.78/25053.6*H10</f>
        <v>18189.739890985729</v>
      </c>
      <c r="AI10" s="1493">
        <f t="shared" ref="AI10:AI40" si="9">AH10+AG10+AF10+AE10+AD10+AC10+AB10+AA10+Z10+Y10+X10</f>
        <v>56185.210470276732</v>
      </c>
      <c r="AJ10" s="1414"/>
      <c r="AK10" s="1414"/>
      <c r="AL10" s="1414"/>
      <c r="AM10" s="1414"/>
      <c r="AN10" s="1494">
        <f t="shared" ref="AN10:AN40" si="10">AJ10+AK10+AL10+AM10</f>
        <v>0</v>
      </c>
      <c r="AO10" s="1373"/>
      <c r="AP10" s="1374">
        <f t="shared" ref="AP10:AP40" si="11">41887.73/26213.25*H10</f>
        <v>1003.1354900594165</v>
      </c>
      <c r="AQ10" s="1365">
        <f t="shared" ref="AQ10:AQ40" si="12">524386.03/26213.25*H10</f>
        <v>12558.098449936579</v>
      </c>
      <c r="AR10" s="1375">
        <f t="shared" ref="AR10:AR40" si="13">U10-W10</f>
        <v>7016.8655897272693</v>
      </c>
      <c r="AS10" s="1368">
        <f t="shared" ref="AS10:AS41" si="14">V10/U10*100</f>
        <v>85.710556254022933</v>
      </c>
      <c r="AT10" s="1376">
        <f t="shared" ref="AT10:AT41" si="15">W10/H10/12</f>
        <v>9.2586397681535306</v>
      </c>
      <c r="AU10" s="467">
        <f t="shared" ref="AU10:AU40" si="16">U10-V10</f>
        <v>10969.049999999988</v>
      </c>
      <c r="AV10" s="736">
        <v>10.199999999999999</v>
      </c>
      <c r="AW10" s="736"/>
    </row>
    <row r="11" spans="1:49" s="124" customFormat="1" x14ac:dyDescent="0.25">
      <c r="A11" s="13">
        <v>3</v>
      </c>
      <c r="B11" s="573"/>
      <c r="C11" s="42" t="s">
        <v>25</v>
      </c>
      <c r="D11" s="13">
        <v>1966</v>
      </c>
      <c r="E11" s="36">
        <v>2</v>
      </c>
      <c r="F11" s="36">
        <v>16</v>
      </c>
      <c r="G11" s="225">
        <v>35</v>
      </c>
      <c r="H11" s="121">
        <v>626.47</v>
      </c>
      <c r="I11" s="707"/>
      <c r="J11" s="707"/>
      <c r="K11" s="707">
        <v>601.5</v>
      </c>
      <c r="L11" s="707">
        <v>738.49</v>
      </c>
      <c r="M11" s="1699">
        <v>0</v>
      </c>
      <c r="N11" s="1699">
        <v>0</v>
      </c>
      <c r="O11" s="707">
        <v>6690.72</v>
      </c>
      <c r="P11" s="707">
        <v>8191.92</v>
      </c>
      <c r="Q11" s="707">
        <v>68748.78</v>
      </c>
      <c r="R11" s="707">
        <v>67722.66</v>
      </c>
      <c r="S11" s="1365">
        <v>1997.79</v>
      </c>
      <c r="T11" s="1366">
        <v>1769.08</v>
      </c>
      <c r="U11" s="1367">
        <f t="shared" si="0"/>
        <v>78038.789999999994</v>
      </c>
      <c r="V11" s="1367">
        <f t="shared" si="1"/>
        <v>78422.150000000009</v>
      </c>
      <c r="W11" s="1492">
        <f t="shared" si="2"/>
        <v>69486.020674626547</v>
      </c>
      <c r="X11" s="1374">
        <v>389.12</v>
      </c>
      <c r="Y11" s="1370">
        <f t="shared" si="3"/>
        <v>3356.8840463734946</v>
      </c>
      <c r="Z11" s="1370">
        <f t="shared" si="4"/>
        <v>346.29625475665932</v>
      </c>
      <c r="AA11" s="1370">
        <v>2791.25</v>
      </c>
      <c r="AB11" s="1370">
        <f t="shared" si="5"/>
        <v>319.81235843704997</v>
      </c>
      <c r="AC11" s="1371"/>
      <c r="AD11" s="1371">
        <f t="shared" si="6"/>
        <v>1925.4898669260776</v>
      </c>
      <c r="AE11" s="1371">
        <f t="shared" si="7"/>
        <v>19992.941068524506</v>
      </c>
      <c r="AF11" s="1370">
        <f t="shared" si="8"/>
        <v>8678.4991327897151</v>
      </c>
      <c r="AG11" s="1377"/>
      <c r="AH11" s="1370">
        <f t="shared" ref="AH11:AH26" si="17">725943.78/25053.6*H11</f>
        <v>18152.361331569118</v>
      </c>
      <c r="AI11" s="1493">
        <f t="shared" si="9"/>
        <v>55952.654059376626</v>
      </c>
      <c r="AJ11" s="1414"/>
      <c r="AK11" s="1414"/>
      <c r="AL11" s="1414"/>
      <c r="AM11" s="1414"/>
      <c r="AN11" s="1494">
        <f t="shared" si="10"/>
        <v>0</v>
      </c>
      <c r="AO11" s="1373"/>
      <c r="AP11" s="1374">
        <f t="shared" si="11"/>
        <v>1001.0741214118815</v>
      </c>
      <c r="AQ11" s="1365">
        <f t="shared" si="12"/>
        <v>12532.292493838042</v>
      </c>
      <c r="AR11" s="1375">
        <f t="shared" si="13"/>
        <v>8552.7693253734469</v>
      </c>
      <c r="AS11" s="1368">
        <f t="shared" si="14"/>
        <v>100.49124288062387</v>
      </c>
      <c r="AT11" s="1376">
        <f t="shared" si="15"/>
        <v>9.2430630722708909</v>
      </c>
      <c r="AU11" s="467">
        <f t="shared" si="16"/>
        <v>-383.36000000001513</v>
      </c>
      <c r="AV11" s="736">
        <v>10.38</v>
      </c>
      <c r="AW11" s="736"/>
    </row>
    <row r="12" spans="1:49" s="124" customFormat="1" x14ac:dyDescent="0.25">
      <c r="A12" s="13">
        <v>4</v>
      </c>
      <c r="B12" s="573"/>
      <c r="C12" s="42" t="s">
        <v>26</v>
      </c>
      <c r="D12" s="13">
        <v>1961</v>
      </c>
      <c r="E12" s="36">
        <v>2</v>
      </c>
      <c r="F12" s="36">
        <v>12</v>
      </c>
      <c r="G12" s="151">
        <v>39</v>
      </c>
      <c r="H12" s="121">
        <v>456.5</v>
      </c>
      <c r="I12" s="707"/>
      <c r="J12" s="707"/>
      <c r="K12" s="707">
        <v>438.24</v>
      </c>
      <c r="L12" s="707">
        <v>524.82000000000005</v>
      </c>
      <c r="M12" s="1699">
        <v>0</v>
      </c>
      <c r="N12" s="1699">
        <v>0</v>
      </c>
      <c r="O12" s="707">
        <v>4875.4799999999996</v>
      </c>
      <c r="P12" s="707">
        <v>5814.34</v>
      </c>
      <c r="Q12" s="707">
        <v>48480.3</v>
      </c>
      <c r="R12" s="707">
        <v>46291.49</v>
      </c>
      <c r="S12" s="1365">
        <v>2718.06</v>
      </c>
      <c r="T12" s="1366">
        <v>2278.89</v>
      </c>
      <c r="U12" s="1367">
        <f t="shared" si="0"/>
        <v>56512.08</v>
      </c>
      <c r="V12" s="1367">
        <f t="shared" si="1"/>
        <v>54909.539999999994</v>
      </c>
      <c r="W12" s="1492">
        <f t="shared" si="2"/>
        <v>57484.528001926687</v>
      </c>
      <c r="X12" s="1374">
        <v>5934.66</v>
      </c>
      <c r="Y12" s="1370">
        <f t="shared" si="3"/>
        <v>2446.1148453549254</v>
      </c>
      <c r="Z12" s="1370">
        <f t="shared" si="4"/>
        <v>252.34127778890448</v>
      </c>
      <c r="AA12" s="1370">
        <v>3233.86</v>
      </c>
      <c r="AB12" s="1370">
        <f t="shared" si="5"/>
        <v>233.04282986657509</v>
      </c>
      <c r="AC12" s="1371"/>
      <c r="AD12" s="1371">
        <f t="shared" si="6"/>
        <v>1403.0777599114951</v>
      </c>
      <c r="AE12" s="1371">
        <f t="shared" si="7"/>
        <v>14568.578858973991</v>
      </c>
      <c r="AF12" s="1370">
        <f t="shared" si="8"/>
        <v>6323.9019492050775</v>
      </c>
      <c r="AG12" s="1377"/>
      <c r="AH12" s="1370">
        <f t="shared" si="17"/>
        <v>13227.373933087461</v>
      </c>
      <c r="AI12" s="1493">
        <f t="shared" si="9"/>
        <v>47622.951454188427</v>
      </c>
      <c r="AJ12" s="1414"/>
      <c r="AK12" s="1414"/>
      <c r="AL12" s="1414"/>
      <c r="AM12" s="1414"/>
      <c r="AN12" s="1494">
        <f t="shared" si="10"/>
        <v>0</v>
      </c>
      <c r="AO12" s="1373"/>
      <c r="AP12" s="1374">
        <f t="shared" si="11"/>
        <v>729.46882759673065</v>
      </c>
      <c r="AQ12" s="1365">
        <f t="shared" si="12"/>
        <v>9132.1077201415319</v>
      </c>
      <c r="AR12" s="1375">
        <f t="shared" si="13"/>
        <v>-972.44800192668481</v>
      </c>
      <c r="AS12" s="1368">
        <f t="shared" si="14"/>
        <v>97.164252315611094</v>
      </c>
      <c r="AT12" s="1376">
        <f t="shared" si="15"/>
        <v>10.493707192757702</v>
      </c>
      <c r="AU12" s="467">
        <f t="shared" si="16"/>
        <v>1602.5400000000081</v>
      </c>
      <c r="AV12" s="736">
        <v>10.08</v>
      </c>
      <c r="AW12" s="736"/>
    </row>
    <row r="13" spans="1:49" s="124" customFormat="1" x14ac:dyDescent="0.25">
      <c r="A13" s="13">
        <v>5</v>
      </c>
      <c r="B13" s="573"/>
      <c r="C13" s="42" t="s">
        <v>27</v>
      </c>
      <c r="D13" s="13">
        <v>1961</v>
      </c>
      <c r="E13" s="36">
        <v>2</v>
      </c>
      <c r="F13" s="36">
        <v>12</v>
      </c>
      <c r="G13" s="225">
        <v>35</v>
      </c>
      <c r="H13" s="121">
        <v>459.7</v>
      </c>
      <c r="I13" s="707"/>
      <c r="J13" s="707"/>
      <c r="K13" s="707">
        <v>441.3</v>
      </c>
      <c r="L13" s="707">
        <v>490.06</v>
      </c>
      <c r="M13" s="1699">
        <v>0</v>
      </c>
      <c r="N13" s="1699">
        <v>0</v>
      </c>
      <c r="O13" s="707">
        <v>4909.62</v>
      </c>
      <c r="P13" s="707">
        <v>5331.12</v>
      </c>
      <c r="Q13" s="707">
        <v>49951.02</v>
      </c>
      <c r="R13" s="707">
        <v>46216.13</v>
      </c>
      <c r="S13" s="1365">
        <v>3117.89</v>
      </c>
      <c r="T13" s="1366">
        <v>2530.54</v>
      </c>
      <c r="U13" s="1367">
        <f t="shared" si="0"/>
        <v>58419.829999999994</v>
      </c>
      <c r="V13" s="1367">
        <f t="shared" si="1"/>
        <v>54567.85</v>
      </c>
      <c r="W13" s="1492">
        <f t="shared" si="2"/>
        <v>54114.406338413362</v>
      </c>
      <c r="X13" s="1374">
        <v>272.64</v>
      </c>
      <c r="Y13" s="1370">
        <f t="shared" si="3"/>
        <v>2463.2617621241166</v>
      </c>
      <c r="Z13" s="1370">
        <f t="shared" si="4"/>
        <v>254.11015421590227</v>
      </c>
      <c r="AA13" s="1370">
        <v>5187.07</v>
      </c>
      <c r="AB13" s="1370">
        <f t="shared" si="5"/>
        <v>234.6764269214996</v>
      </c>
      <c r="AC13" s="1371"/>
      <c r="AD13" s="1371">
        <f t="shared" si="6"/>
        <v>1412.9131352274135</v>
      </c>
      <c r="AE13" s="1371">
        <f t="shared" si="7"/>
        <v>14670.702522388485</v>
      </c>
      <c r="AF13" s="1370">
        <f t="shared" si="8"/>
        <v>6368.2316014229445</v>
      </c>
      <c r="AG13" s="1377"/>
      <c r="AH13" s="1370">
        <f t="shared" si="17"/>
        <v>13320.09594094262</v>
      </c>
      <c r="AI13" s="1493">
        <f t="shared" si="9"/>
        <v>44183.701543242976</v>
      </c>
      <c r="AJ13" s="1414"/>
      <c r="AK13" s="1414"/>
      <c r="AL13" s="1414"/>
      <c r="AM13" s="1414"/>
      <c r="AN13" s="1494">
        <f t="shared" si="10"/>
        <v>0</v>
      </c>
      <c r="AO13" s="1373"/>
      <c r="AP13" s="1374">
        <f t="shared" si="11"/>
        <v>734.58230021077134</v>
      </c>
      <c r="AQ13" s="1365">
        <f t="shared" si="12"/>
        <v>9196.1224949596108</v>
      </c>
      <c r="AR13" s="1375">
        <f t="shared" si="13"/>
        <v>4305.4236615866321</v>
      </c>
      <c r="AS13" s="1368">
        <f t="shared" si="14"/>
        <v>93.406382729973714</v>
      </c>
      <c r="AT13" s="1376">
        <f t="shared" si="15"/>
        <v>9.809732132987703</v>
      </c>
      <c r="AU13" s="467">
        <f t="shared" si="16"/>
        <v>3851.9799999999959</v>
      </c>
      <c r="AV13" s="736">
        <v>10.29</v>
      </c>
      <c r="AW13" s="736"/>
    </row>
    <row r="14" spans="1:49" s="124" customFormat="1" x14ac:dyDescent="0.25">
      <c r="A14" s="13">
        <v>6</v>
      </c>
      <c r="B14" s="573"/>
      <c r="C14" s="42" t="s">
        <v>28</v>
      </c>
      <c r="D14" s="13">
        <v>1960</v>
      </c>
      <c r="E14" s="36">
        <v>1</v>
      </c>
      <c r="F14" s="36">
        <v>6</v>
      </c>
      <c r="G14" s="151">
        <v>10</v>
      </c>
      <c r="H14" s="462">
        <v>129.56</v>
      </c>
      <c r="I14" s="1378"/>
      <c r="J14" s="1378"/>
      <c r="K14" s="1378">
        <v>103.2</v>
      </c>
      <c r="L14" s="1378">
        <v>109.15</v>
      </c>
      <c r="M14" s="1650">
        <v>0</v>
      </c>
      <c r="N14" s="1650">
        <v>0</v>
      </c>
      <c r="O14" s="1378">
        <v>1148.7</v>
      </c>
      <c r="P14" s="1378">
        <v>1215.1400000000001</v>
      </c>
      <c r="Q14" s="1378">
        <v>10016.040000000001</v>
      </c>
      <c r="R14" s="1378">
        <v>7798.15</v>
      </c>
      <c r="S14" s="1365">
        <v>0</v>
      </c>
      <c r="T14" s="1366">
        <v>0</v>
      </c>
      <c r="U14" s="1367">
        <f t="shared" si="0"/>
        <v>11267.94</v>
      </c>
      <c r="V14" s="1367">
        <f t="shared" si="1"/>
        <v>9122.44</v>
      </c>
      <c r="W14" s="1492">
        <f t="shared" si="2"/>
        <v>9958.5617304683692</v>
      </c>
      <c r="X14" s="1374"/>
      <c r="Y14" s="1370">
        <f t="shared" si="3"/>
        <v>694.23579269262689</v>
      </c>
      <c r="Z14" s="1370">
        <f t="shared" si="4"/>
        <v>71.617384338073308</v>
      </c>
      <c r="AA14" s="1370"/>
      <c r="AB14" s="1370">
        <f t="shared" si="5"/>
        <v>66.140260761256229</v>
      </c>
      <c r="AC14" s="1371"/>
      <c r="AD14" s="1371">
        <f t="shared" si="6"/>
        <v>398.20975810324933</v>
      </c>
      <c r="AE14" s="1371">
        <f t="shared" si="7"/>
        <v>4134.7318224943492</v>
      </c>
      <c r="AF14" s="1370">
        <f t="shared" si="8"/>
        <v>1794.7967941708869</v>
      </c>
      <c r="AG14" s="1377"/>
      <c r="AH14" s="1370"/>
      <c r="AI14" s="1493">
        <f t="shared" si="9"/>
        <v>7159.7318125604415</v>
      </c>
      <c r="AJ14" s="1414"/>
      <c r="AK14" s="1414"/>
      <c r="AL14" s="1414"/>
      <c r="AM14" s="1414"/>
      <c r="AN14" s="1494">
        <f t="shared" si="10"/>
        <v>0</v>
      </c>
      <c r="AO14" s="1373"/>
      <c r="AP14" s="1374">
        <f t="shared" si="11"/>
        <v>207.03172246096918</v>
      </c>
      <c r="AQ14" s="1365">
        <f t="shared" si="12"/>
        <v>2591.7981954469592</v>
      </c>
      <c r="AR14" s="1375">
        <f t="shared" si="13"/>
        <v>1309.3782695316313</v>
      </c>
      <c r="AS14" s="1368">
        <f t="shared" si="14"/>
        <v>80.959252534181047</v>
      </c>
      <c r="AT14" s="1376">
        <f t="shared" si="15"/>
        <v>6.4053731414456427</v>
      </c>
      <c r="AU14" s="467">
        <f t="shared" si="16"/>
        <v>2145.5</v>
      </c>
      <c r="AV14" s="736">
        <v>9.23</v>
      </c>
      <c r="AW14" s="736"/>
    </row>
    <row r="15" spans="1:49" s="124" customFormat="1" x14ac:dyDescent="0.25">
      <c r="A15" s="13">
        <v>7</v>
      </c>
      <c r="B15" s="573"/>
      <c r="C15" s="42" t="s">
        <v>29</v>
      </c>
      <c r="D15" s="13">
        <v>1985</v>
      </c>
      <c r="E15" s="36">
        <v>4</v>
      </c>
      <c r="F15" s="36">
        <v>48</v>
      </c>
      <c r="G15" s="225">
        <v>106</v>
      </c>
      <c r="H15" s="121">
        <v>2625.8</v>
      </c>
      <c r="I15" s="707">
        <v>40017.360000000001</v>
      </c>
      <c r="J15" s="707">
        <v>46236.09</v>
      </c>
      <c r="K15" s="707">
        <v>2520.84</v>
      </c>
      <c r="L15" s="707">
        <v>2927.75</v>
      </c>
      <c r="M15" s="1699">
        <v>11973.54</v>
      </c>
      <c r="N15" s="1699">
        <v>14079.81</v>
      </c>
      <c r="O15" s="707">
        <v>28043.4</v>
      </c>
      <c r="P15" s="707">
        <v>30975.25</v>
      </c>
      <c r="Q15" s="707">
        <v>342982.26</v>
      </c>
      <c r="R15" s="707">
        <v>322342.94</v>
      </c>
      <c r="S15" s="1365">
        <v>8643.73</v>
      </c>
      <c r="T15" s="1366">
        <v>8209.08</v>
      </c>
      <c r="U15" s="1367">
        <f t="shared" si="0"/>
        <v>434181.13</v>
      </c>
      <c r="V15" s="1367">
        <f t="shared" si="1"/>
        <v>424770.92</v>
      </c>
      <c r="W15" s="1492">
        <f t="shared" si="2"/>
        <v>407577.16840087739</v>
      </c>
      <c r="X15" s="1374">
        <v>21861.85</v>
      </c>
      <c r="Y15" s="1370">
        <f t="shared" si="3"/>
        <v>14070.116891419417</v>
      </c>
      <c r="Z15" s="1370">
        <f t="shared" si="4"/>
        <v>1451.4736631283799</v>
      </c>
      <c r="AA15" s="1370">
        <v>7920.5</v>
      </c>
      <c r="AB15" s="1370">
        <f t="shared" si="5"/>
        <v>1340.4684833814961</v>
      </c>
      <c r="AC15" s="1371"/>
      <c r="AD15" s="1371">
        <f t="shared" si="6"/>
        <v>8070.5401576683553</v>
      </c>
      <c r="AE15" s="1371">
        <f t="shared" si="7"/>
        <v>83798.848560556202</v>
      </c>
      <c r="AF15" s="1370">
        <f t="shared" si="8"/>
        <v>36375.250248023425</v>
      </c>
      <c r="AG15" s="1377">
        <v>4800</v>
      </c>
      <c r="AH15" s="1370">
        <f t="shared" si="17"/>
        <v>76084.202570648544</v>
      </c>
      <c r="AI15" s="1493">
        <f t="shared" si="9"/>
        <v>255773.25057482586</v>
      </c>
      <c r="AJ15" s="1414">
        <f>7406.46/16716.88*H15</f>
        <v>1163.3679650748227</v>
      </c>
      <c r="AK15" s="1414">
        <v>861.78</v>
      </c>
      <c r="AL15" s="1414">
        <f>499271.18/16716.88*H15</f>
        <v>78422.903343446873</v>
      </c>
      <c r="AM15" s="1414"/>
      <c r="AN15" s="1494">
        <f t="shared" si="10"/>
        <v>80448.051308521695</v>
      </c>
      <c r="AO15" s="1373">
        <f>76925.32/13804.88*H15</f>
        <v>14631.818984011456</v>
      </c>
      <c r="AP15" s="1374">
        <f t="shared" si="11"/>
        <v>4195.9238718586976</v>
      </c>
      <c r="AQ15" s="1365">
        <f t="shared" si="12"/>
        <v>52528.123661659665</v>
      </c>
      <c r="AR15" s="1375">
        <f t="shared" si="13"/>
        <v>26603.961599122616</v>
      </c>
      <c r="AS15" s="1368">
        <f t="shared" si="14"/>
        <v>97.83265339053311</v>
      </c>
      <c r="AT15" s="1376">
        <f t="shared" si="15"/>
        <v>12.935015627011367</v>
      </c>
      <c r="AU15" s="467">
        <f t="shared" si="16"/>
        <v>9410.210000000021</v>
      </c>
      <c r="AV15" s="736">
        <v>13.86</v>
      </c>
      <c r="AW15" s="736"/>
    </row>
    <row r="16" spans="1:49" s="124" customFormat="1" x14ac:dyDescent="0.25">
      <c r="A16" s="13">
        <v>8</v>
      </c>
      <c r="B16" s="573"/>
      <c r="C16" s="42" t="s">
        <v>30</v>
      </c>
      <c r="D16" s="13">
        <v>1968</v>
      </c>
      <c r="E16" s="36">
        <v>2</v>
      </c>
      <c r="F16" s="36">
        <v>22</v>
      </c>
      <c r="G16" s="151">
        <v>60</v>
      </c>
      <c r="H16" s="121">
        <v>857.42</v>
      </c>
      <c r="I16" s="707"/>
      <c r="J16" s="707"/>
      <c r="K16" s="707">
        <v>823.02</v>
      </c>
      <c r="L16" s="707">
        <v>1018.82</v>
      </c>
      <c r="M16" s="1699">
        <v>0</v>
      </c>
      <c r="N16" s="1699">
        <v>0</v>
      </c>
      <c r="O16" s="707">
        <v>9157.6200000000008</v>
      </c>
      <c r="P16" s="707">
        <v>11285.73</v>
      </c>
      <c r="Q16" s="707">
        <v>90494.46</v>
      </c>
      <c r="R16" s="707">
        <v>88165.29</v>
      </c>
      <c r="S16" s="1365">
        <v>1823.41</v>
      </c>
      <c r="T16" s="1366">
        <v>1506.55</v>
      </c>
      <c r="U16" s="1367">
        <f t="shared" si="0"/>
        <v>102298.51000000001</v>
      </c>
      <c r="V16" s="1367">
        <f t="shared" si="1"/>
        <v>101976.39</v>
      </c>
      <c r="W16" s="1492">
        <f t="shared" si="2"/>
        <v>100657.98295950053</v>
      </c>
      <c r="X16" s="1374">
        <v>8149.53</v>
      </c>
      <c r="Y16" s="1370">
        <f t="shared" si="3"/>
        <v>4594.409180074962</v>
      </c>
      <c r="Z16" s="1370">
        <f t="shared" si="4"/>
        <v>473.95938313639095</v>
      </c>
      <c r="AA16" s="1370">
        <v>1759.03</v>
      </c>
      <c r="AB16" s="1370">
        <f t="shared" si="5"/>
        <v>437.71212088543001</v>
      </c>
      <c r="AC16" s="1371"/>
      <c r="AD16" s="1371">
        <f t="shared" si="6"/>
        <v>2635.3273448046311</v>
      </c>
      <c r="AE16" s="1371">
        <f t="shared" si="7"/>
        <v>27363.39733901748</v>
      </c>
      <c r="AF16" s="1370">
        <f t="shared" si="8"/>
        <v>11877.853251451079</v>
      </c>
      <c r="AG16" s="1377"/>
      <c r="AH16" s="1370">
        <f t="shared" si="17"/>
        <v>24844.282492240636</v>
      </c>
      <c r="AI16" s="1493">
        <f t="shared" si="9"/>
        <v>82135.501111610618</v>
      </c>
      <c r="AJ16" s="1414"/>
      <c r="AK16" s="1414"/>
      <c r="AL16" s="1414"/>
      <c r="AM16" s="1414"/>
      <c r="AN16" s="1494">
        <f t="shared" si="10"/>
        <v>0</v>
      </c>
      <c r="AO16" s="1373"/>
      <c r="AP16" s="1374">
        <f t="shared" si="11"/>
        <v>1370.1230277283435</v>
      </c>
      <c r="AQ16" s="1365">
        <f t="shared" si="12"/>
        <v>17152.35882016156</v>
      </c>
      <c r="AR16" s="1375">
        <f t="shared" si="13"/>
        <v>1640.5270404994808</v>
      </c>
      <c r="AS16" s="1368">
        <f t="shared" si="14"/>
        <v>99.685117603374664</v>
      </c>
      <c r="AT16" s="1376">
        <f t="shared" si="15"/>
        <v>9.7830296081559158</v>
      </c>
      <c r="AU16" s="467">
        <f t="shared" si="16"/>
        <v>322.1200000000099</v>
      </c>
      <c r="AV16" s="736">
        <v>10.02</v>
      </c>
      <c r="AW16" s="736"/>
    </row>
    <row r="17" spans="1:49" s="124" customFormat="1" x14ac:dyDescent="0.25">
      <c r="A17" s="13">
        <v>9</v>
      </c>
      <c r="B17" s="573"/>
      <c r="C17" s="42" t="s">
        <v>31</v>
      </c>
      <c r="D17" s="13">
        <v>1969</v>
      </c>
      <c r="E17" s="36">
        <v>2</v>
      </c>
      <c r="F17" s="36">
        <v>22</v>
      </c>
      <c r="G17" s="225">
        <v>55</v>
      </c>
      <c r="H17" s="121">
        <v>805.1</v>
      </c>
      <c r="I17" s="707"/>
      <c r="J17" s="707"/>
      <c r="K17" s="707">
        <v>793.98</v>
      </c>
      <c r="L17" s="707">
        <v>913.79</v>
      </c>
      <c r="M17" s="1699">
        <v>0</v>
      </c>
      <c r="N17" s="1699">
        <v>0</v>
      </c>
      <c r="O17" s="707">
        <v>8834.74</v>
      </c>
      <c r="P17" s="707">
        <v>10184.07</v>
      </c>
      <c r="Q17" s="707">
        <v>87469.08</v>
      </c>
      <c r="R17" s="707">
        <v>80877.279999999999</v>
      </c>
      <c r="S17" s="1365">
        <v>1156.42</v>
      </c>
      <c r="T17" s="1366">
        <v>1100.03</v>
      </c>
      <c r="U17" s="1367">
        <f t="shared" si="0"/>
        <v>98254.22</v>
      </c>
      <c r="V17" s="1367">
        <f t="shared" si="1"/>
        <v>93075.17</v>
      </c>
      <c r="W17" s="1492">
        <f t="shared" si="2"/>
        <v>87114.158657943466</v>
      </c>
      <c r="X17" s="1374">
        <v>1057.5999999999999</v>
      </c>
      <c r="Y17" s="1370">
        <f t="shared" si="3"/>
        <v>4314.0570908986865</v>
      </c>
      <c r="Z17" s="1370">
        <f t="shared" si="4"/>
        <v>445.03825355497702</v>
      </c>
      <c r="AA17" s="1370">
        <v>844.69</v>
      </c>
      <c r="AB17" s="1370">
        <f t="shared" si="5"/>
        <v>411.00280903741429</v>
      </c>
      <c r="AC17" s="1371"/>
      <c r="AD17" s="1371">
        <f t="shared" si="6"/>
        <v>2474.5189583893643</v>
      </c>
      <c r="AE17" s="1371">
        <f t="shared" si="7"/>
        <v>25693.675442190495</v>
      </c>
      <c r="AF17" s="1370">
        <f t="shared" si="8"/>
        <v>11153.063437688956</v>
      </c>
      <c r="AG17" s="1377"/>
      <c r="AH17" s="1370">
        <f t="shared" si="17"/>
        <v>23328.277663808796</v>
      </c>
      <c r="AI17" s="1493">
        <f t="shared" si="9"/>
        <v>69721.923655568709</v>
      </c>
      <c r="AJ17" s="1414"/>
      <c r="AK17" s="1414"/>
      <c r="AL17" s="1414"/>
      <c r="AM17" s="1414"/>
      <c r="AN17" s="1494">
        <f t="shared" si="10"/>
        <v>0</v>
      </c>
      <c r="AO17" s="1373"/>
      <c r="AP17" s="1374">
        <f t="shared" si="11"/>
        <v>1286.5177504887797</v>
      </c>
      <c r="AQ17" s="1365">
        <f t="shared" si="12"/>
        <v>16105.717251885975</v>
      </c>
      <c r="AR17" s="1375">
        <f t="shared" si="13"/>
        <v>11140.061342056535</v>
      </c>
      <c r="AS17" s="1368">
        <f t="shared" si="14"/>
        <v>94.728928691307104</v>
      </c>
      <c r="AT17" s="1376">
        <f t="shared" si="15"/>
        <v>9.0169087336918263</v>
      </c>
      <c r="AU17" s="467">
        <f t="shared" si="16"/>
        <v>5179.0500000000029</v>
      </c>
      <c r="AV17" s="736">
        <v>9.91</v>
      </c>
      <c r="AW17" s="736"/>
    </row>
    <row r="18" spans="1:49" s="124" customFormat="1" x14ac:dyDescent="0.25">
      <c r="A18" s="13">
        <v>10</v>
      </c>
      <c r="B18" s="573"/>
      <c r="C18" s="42" t="s">
        <v>32</v>
      </c>
      <c r="D18" s="13">
        <v>1963</v>
      </c>
      <c r="E18" s="36">
        <v>2</v>
      </c>
      <c r="F18" s="36">
        <v>16</v>
      </c>
      <c r="G18" s="151">
        <v>25</v>
      </c>
      <c r="H18" s="121">
        <v>636.21</v>
      </c>
      <c r="I18" s="707"/>
      <c r="J18" s="707"/>
      <c r="K18" s="707">
        <v>610.86</v>
      </c>
      <c r="L18" s="707">
        <v>743.76</v>
      </c>
      <c r="M18" s="1699">
        <v>0</v>
      </c>
      <c r="N18" s="1699">
        <v>0</v>
      </c>
      <c r="O18" s="707">
        <v>6795.42</v>
      </c>
      <c r="P18" s="707">
        <v>8273.2900000000009</v>
      </c>
      <c r="Q18" s="707">
        <v>67802.16</v>
      </c>
      <c r="R18" s="707">
        <v>66672.03</v>
      </c>
      <c r="S18" s="1365">
        <v>1091.5</v>
      </c>
      <c r="T18" s="1366">
        <v>953.79</v>
      </c>
      <c r="U18" s="1367">
        <f t="shared" si="0"/>
        <v>76299.94</v>
      </c>
      <c r="V18" s="1367">
        <f t="shared" si="1"/>
        <v>76642.87</v>
      </c>
      <c r="W18" s="1492">
        <f t="shared" si="2"/>
        <v>68591.223298807847</v>
      </c>
      <c r="X18" s="1374">
        <v>384.8</v>
      </c>
      <c r="Y18" s="1370">
        <f t="shared" si="3"/>
        <v>3409.0749742897201</v>
      </c>
      <c r="Z18" s="1370">
        <f t="shared" si="4"/>
        <v>351.68027238133391</v>
      </c>
      <c r="AA18" s="1370">
        <v>869.89</v>
      </c>
      <c r="AB18" s="1370">
        <f t="shared" si="5"/>
        <v>324.78461947297643</v>
      </c>
      <c r="AC18" s="1371"/>
      <c r="AD18" s="1371">
        <f t="shared" si="6"/>
        <v>1955.4262905439043</v>
      </c>
      <c r="AE18" s="1371">
        <f t="shared" si="7"/>
        <v>20303.779969042374</v>
      </c>
      <c r="AF18" s="1370">
        <f t="shared" si="8"/>
        <v>8813.4275117278485</v>
      </c>
      <c r="AG18" s="1377"/>
      <c r="AH18" s="1370">
        <f t="shared" si="17"/>
        <v>18434.583942978257</v>
      </c>
      <c r="AI18" s="1493">
        <f t="shared" si="9"/>
        <v>54847.447580436412</v>
      </c>
      <c r="AJ18" s="1414"/>
      <c r="AK18" s="1414"/>
      <c r="AL18" s="1414"/>
      <c r="AM18" s="1414"/>
      <c r="AN18" s="1494">
        <f t="shared" si="10"/>
        <v>0</v>
      </c>
      <c r="AO18" s="1373"/>
      <c r="AP18" s="1374">
        <f t="shared" si="11"/>
        <v>1016.6382536808676</v>
      </c>
      <c r="AQ18" s="1365">
        <f t="shared" si="12"/>
        <v>12727.137464690568</v>
      </c>
      <c r="AR18" s="1375">
        <f t="shared" si="13"/>
        <v>7708.7167011921556</v>
      </c>
      <c r="AS18" s="1368">
        <f t="shared" si="14"/>
        <v>100.44944989471813</v>
      </c>
      <c r="AT18" s="1376">
        <f t="shared" si="15"/>
        <v>8.9843530829453382</v>
      </c>
      <c r="AU18" s="467">
        <f t="shared" si="16"/>
        <v>-342.92999999999302</v>
      </c>
      <c r="AV18" s="736">
        <v>10.11</v>
      </c>
      <c r="AW18" s="736"/>
    </row>
    <row r="19" spans="1:49" s="124" customFormat="1" x14ac:dyDescent="0.25">
      <c r="A19" s="13">
        <v>11</v>
      </c>
      <c r="B19" s="573"/>
      <c r="C19" s="42" t="s">
        <v>33</v>
      </c>
      <c r="D19" s="13">
        <v>1972</v>
      </c>
      <c r="E19" s="36">
        <v>2</v>
      </c>
      <c r="F19" s="36">
        <v>18</v>
      </c>
      <c r="G19" s="225">
        <v>44</v>
      </c>
      <c r="H19" s="121">
        <v>779.26</v>
      </c>
      <c r="I19" s="707"/>
      <c r="J19" s="707"/>
      <c r="K19" s="707">
        <v>748.08</v>
      </c>
      <c r="L19" s="707">
        <v>864.04</v>
      </c>
      <c r="M19" s="1699">
        <v>0</v>
      </c>
      <c r="N19" s="1699">
        <v>0</v>
      </c>
      <c r="O19" s="707">
        <v>8323.02</v>
      </c>
      <c r="P19" s="707">
        <v>9405.85</v>
      </c>
      <c r="Q19" s="707">
        <v>80050.62</v>
      </c>
      <c r="R19" s="707">
        <v>64727.61</v>
      </c>
      <c r="S19" s="1365">
        <v>2620.6</v>
      </c>
      <c r="T19" s="1366">
        <v>1733.17</v>
      </c>
      <c r="U19" s="1367">
        <f t="shared" si="0"/>
        <v>91742.32</v>
      </c>
      <c r="V19" s="1367">
        <f t="shared" si="1"/>
        <v>76730.67</v>
      </c>
      <c r="W19" s="1492">
        <f t="shared" si="2"/>
        <v>89970.590340813593</v>
      </c>
      <c r="X19" s="1374">
        <v>2885.32</v>
      </c>
      <c r="Y19" s="1370">
        <f t="shared" si="3"/>
        <v>4175.5957379874681</v>
      </c>
      <c r="Z19" s="1370">
        <f t="shared" si="4"/>
        <v>430.75457640696976</v>
      </c>
      <c r="AA19" s="1370">
        <v>4608.3100000000004</v>
      </c>
      <c r="AB19" s="1370">
        <f t="shared" si="5"/>
        <v>397.81151281889879</v>
      </c>
      <c r="AC19" s="1371"/>
      <c r="AD19" s="1371">
        <f t="shared" si="6"/>
        <v>2395.0983027133225</v>
      </c>
      <c r="AE19" s="1371">
        <f t="shared" si="7"/>
        <v>24869.026860118451</v>
      </c>
      <c r="AF19" s="1370">
        <f t="shared" si="8"/>
        <v>10795.10149602968</v>
      </c>
      <c r="AG19" s="1377"/>
      <c r="AH19" s="1370">
        <f t="shared" si="17"/>
        <v>22579.547450378392</v>
      </c>
      <c r="AI19" s="1493">
        <f t="shared" si="9"/>
        <v>73136.565936453204</v>
      </c>
      <c r="AJ19" s="1414"/>
      <c r="AK19" s="1414"/>
      <c r="AL19" s="1414"/>
      <c r="AM19" s="1414"/>
      <c r="AN19" s="1494">
        <f t="shared" si="10"/>
        <v>0</v>
      </c>
      <c r="AO19" s="1373"/>
      <c r="AP19" s="1374">
        <f t="shared" si="11"/>
        <v>1245.2264591304017</v>
      </c>
      <c r="AQ19" s="1365">
        <f t="shared" si="12"/>
        <v>15588.79794522999</v>
      </c>
      <c r="AR19" s="1375">
        <f t="shared" si="13"/>
        <v>1771.7296591864142</v>
      </c>
      <c r="AS19" s="1368">
        <f t="shared" si="14"/>
        <v>83.637158946928736</v>
      </c>
      <c r="AT19" s="1376">
        <f t="shared" si="15"/>
        <v>9.6213705246872667</v>
      </c>
      <c r="AU19" s="467">
        <f t="shared" si="16"/>
        <v>15011.650000000009</v>
      </c>
      <c r="AV19" s="736">
        <v>9.94</v>
      </c>
      <c r="AW19" s="736"/>
    </row>
    <row r="20" spans="1:49" s="124" customFormat="1" x14ac:dyDescent="0.25">
      <c r="A20" s="13">
        <v>12</v>
      </c>
      <c r="B20" s="573"/>
      <c r="C20" s="42" t="s">
        <v>34</v>
      </c>
      <c r="D20" s="13">
        <v>1972</v>
      </c>
      <c r="E20" s="36">
        <v>2</v>
      </c>
      <c r="F20" s="36">
        <v>18</v>
      </c>
      <c r="G20" s="151">
        <v>44</v>
      </c>
      <c r="H20" s="121">
        <v>771.52</v>
      </c>
      <c r="I20" s="707"/>
      <c r="J20" s="707"/>
      <c r="K20" s="707">
        <v>740.7</v>
      </c>
      <c r="L20" s="707">
        <v>818.91</v>
      </c>
      <c r="M20" s="1699">
        <v>0</v>
      </c>
      <c r="N20" s="1699">
        <v>0</v>
      </c>
      <c r="O20" s="707">
        <v>8239.7999999999993</v>
      </c>
      <c r="P20" s="707">
        <v>9040.48</v>
      </c>
      <c r="Q20" s="707">
        <v>77334.53</v>
      </c>
      <c r="R20" s="707">
        <v>69186.720000000001</v>
      </c>
      <c r="S20" s="1365">
        <v>2132.67</v>
      </c>
      <c r="T20" s="1366">
        <v>1669.91</v>
      </c>
      <c r="U20" s="1367">
        <f t="shared" si="0"/>
        <v>88447.7</v>
      </c>
      <c r="V20" s="1367">
        <f t="shared" si="1"/>
        <v>80716.02</v>
      </c>
      <c r="W20" s="1492">
        <f t="shared" si="2"/>
        <v>85110.177926936434</v>
      </c>
      <c r="X20" s="1374">
        <v>990.73</v>
      </c>
      <c r="Y20" s="1370">
        <f t="shared" si="3"/>
        <v>4134.1216330519874</v>
      </c>
      <c r="Z20" s="1370">
        <f t="shared" si="4"/>
        <v>426.47610654916883</v>
      </c>
      <c r="AA20" s="1370">
        <v>2461.69</v>
      </c>
      <c r="AB20" s="1370">
        <f t="shared" si="5"/>
        <v>393.86024994230013</v>
      </c>
      <c r="AC20" s="1371"/>
      <c r="AD20" s="1371">
        <f t="shared" si="6"/>
        <v>2371.3089886679445</v>
      </c>
      <c r="AE20" s="1371">
        <f t="shared" si="7"/>
        <v>24622.015249234639</v>
      </c>
      <c r="AF20" s="1370">
        <f t="shared" si="8"/>
        <v>10687.879149727714</v>
      </c>
      <c r="AG20" s="1377"/>
      <c r="AH20" s="1370">
        <f t="shared" si="17"/>
        <v>22355.276093878725</v>
      </c>
      <c r="AI20" s="1493">
        <f t="shared" si="9"/>
        <v>68443.35747105247</v>
      </c>
      <c r="AJ20" s="1414"/>
      <c r="AK20" s="1414"/>
      <c r="AL20" s="1414"/>
      <c r="AM20" s="1414"/>
      <c r="AN20" s="1494">
        <f t="shared" si="10"/>
        <v>0</v>
      </c>
      <c r="AO20" s="1373"/>
      <c r="AP20" s="1374">
        <f t="shared" si="11"/>
        <v>1232.8582472451908</v>
      </c>
      <c r="AQ20" s="1365">
        <f t="shared" si="12"/>
        <v>15433.962208638763</v>
      </c>
      <c r="AR20" s="1375">
        <f t="shared" si="13"/>
        <v>3337.5220730635629</v>
      </c>
      <c r="AS20" s="1368">
        <f t="shared" si="14"/>
        <v>91.258472521049171</v>
      </c>
      <c r="AT20" s="1376">
        <f t="shared" si="15"/>
        <v>9.1929111717709233</v>
      </c>
      <c r="AU20" s="467">
        <f t="shared" si="16"/>
        <v>7731.679999999993</v>
      </c>
      <c r="AV20" s="736">
        <v>9.57</v>
      </c>
      <c r="AW20" s="736"/>
    </row>
    <row r="21" spans="1:49" s="124" customFormat="1" x14ac:dyDescent="0.25">
      <c r="A21" s="13">
        <v>13</v>
      </c>
      <c r="B21" s="573"/>
      <c r="C21" s="42" t="s">
        <v>35</v>
      </c>
      <c r="D21" s="13">
        <v>1978</v>
      </c>
      <c r="E21" s="36">
        <v>3</v>
      </c>
      <c r="F21" s="36">
        <v>24</v>
      </c>
      <c r="G21" s="225">
        <v>68</v>
      </c>
      <c r="H21" s="121">
        <v>1443.9</v>
      </c>
      <c r="I21" s="707">
        <v>22091.94</v>
      </c>
      <c r="J21" s="707">
        <v>25295.65</v>
      </c>
      <c r="K21" s="707">
        <v>1386.12</v>
      </c>
      <c r="L21" s="707">
        <v>1587.14</v>
      </c>
      <c r="M21" s="1699">
        <v>0</v>
      </c>
      <c r="N21" s="1699">
        <v>0</v>
      </c>
      <c r="O21" s="707">
        <v>15420.84</v>
      </c>
      <c r="P21" s="707">
        <v>17490.810000000001</v>
      </c>
      <c r="Q21" s="707">
        <v>185310.12</v>
      </c>
      <c r="R21" s="707">
        <v>169085.97</v>
      </c>
      <c r="S21" s="1365">
        <v>5032.3999999999996</v>
      </c>
      <c r="T21" s="1366">
        <v>4702.6400000000003</v>
      </c>
      <c r="U21" s="1367">
        <f t="shared" si="0"/>
        <v>229241.41999999998</v>
      </c>
      <c r="V21" s="1367">
        <f t="shared" si="1"/>
        <v>218162.21000000002</v>
      </c>
      <c r="W21" s="1492">
        <f t="shared" si="2"/>
        <v>203324.8373394823</v>
      </c>
      <c r="X21" s="1374">
        <v>1440.54</v>
      </c>
      <c r="Y21" s="1370">
        <f t="shared" si="3"/>
        <v>7737.0103509484716</v>
      </c>
      <c r="Z21" s="1370">
        <f t="shared" si="4"/>
        <v>798.1502102944122</v>
      </c>
      <c r="AA21" s="1370">
        <v>4436.32</v>
      </c>
      <c r="AB21" s="1370">
        <f t="shared" si="5"/>
        <v>737.1096211267203</v>
      </c>
      <c r="AC21" s="1371"/>
      <c r="AD21" s="1371">
        <f t="shared" si="6"/>
        <v>4437.9057558295899</v>
      </c>
      <c r="AE21" s="1371">
        <f t="shared" si="7"/>
        <v>46080.111751308978</v>
      </c>
      <c r="AF21" s="1370">
        <f t="shared" si="8"/>
        <v>20002.37026168064</v>
      </c>
      <c r="AG21" s="1377"/>
      <c r="AH21" s="1370">
        <f t="shared" si="17"/>
        <v>41837.908481894825</v>
      </c>
      <c r="AI21" s="1493">
        <f t="shared" si="9"/>
        <v>127507.42643308363</v>
      </c>
      <c r="AJ21" s="1414">
        <f>7406.46/16716.88*H21</f>
        <v>639.72389548767478</v>
      </c>
      <c r="AK21" s="1414">
        <v>861.79</v>
      </c>
      <c r="AL21" s="1414">
        <f>499271.18/16716.88*H21</f>
        <v>43123.935614899434</v>
      </c>
      <c r="AM21" s="1414"/>
      <c r="AN21" s="1494">
        <f t="shared" si="10"/>
        <v>44625.449510387109</v>
      </c>
      <c r="AO21" s="1373"/>
      <c r="AP21" s="1374">
        <f t="shared" si="11"/>
        <v>2307.2947210666366</v>
      </c>
      <c r="AQ21" s="1365">
        <f t="shared" si="12"/>
        <v>28884.666674944929</v>
      </c>
      <c r="AR21" s="1375">
        <f t="shared" si="13"/>
        <v>25916.582660517684</v>
      </c>
      <c r="AS21" s="1368">
        <f t="shared" si="14"/>
        <v>95.167012139429275</v>
      </c>
      <c r="AT21" s="1376">
        <f t="shared" si="15"/>
        <v>11.734702157321736</v>
      </c>
      <c r="AU21" s="467">
        <f t="shared" si="16"/>
        <v>11079.209999999963</v>
      </c>
      <c r="AV21" s="736">
        <v>13.28</v>
      </c>
      <c r="AW21" s="736"/>
    </row>
    <row r="22" spans="1:49" s="124" customFormat="1" x14ac:dyDescent="0.25">
      <c r="A22" s="13">
        <v>14</v>
      </c>
      <c r="B22" s="573"/>
      <c r="C22" s="42" t="s">
        <v>36</v>
      </c>
      <c r="D22" s="13">
        <v>1979</v>
      </c>
      <c r="E22" s="36">
        <v>5</v>
      </c>
      <c r="F22" s="36">
        <v>60</v>
      </c>
      <c r="G22" s="151">
        <v>181</v>
      </c>
      <c r="H22" s="121">
        <v>3240.38</v>
      </c>
      <c r="I22" s="707">
        <v>49179.5</v>
      </c>
      <c r="J22" s="707">
        <v>57737.08</v>
      </c>
      <c r="K22" s="707">
        <v>3110.37</v>
      </c>
      <c r="L22" s="707">
        <v>3651.63</v>
      </c>
      <c r="M22" s="1699">
        <v>13801.44</v>
      </c>
      <c r="N22" s="1699">
        <v>16202.97</v>
      </c>
      <c r="O22" s="707">
        <v>34601.22</v>
      </c>
      <c r="P22" s="707">
        <v>40417.328000000001</v>
      </c>
      <c r="Q22" s="707">
        <v>417572.64</v>
      </c>
      <c r="R22" s="707">
        <v>388174.35</v>
      </c>
      <c r="S22" s="1365">
        <v>10378.82</v>
      </c>
      <c r="T22" s="1366">
        <v>9698.33</v>
      </c>
      <c r="U22" s="1367">
        <f t="shared" si="0"/>
        <v>528643.99</v>
      </c>
      <c r="V22" s="1367">
        <f t="shared" si="1"/>
        <v>515881.68800000002</v>
      </c>
      <c r="W22" s="1492">
        <f t="shared" si="2"/>
        <v>491116.40725623997</v>
      </c>
      <c r="X22" s="1374">
        <v>18790.13</v>
      </c>
      <c r="Y22" s="1370">
        <f t="shared" si="3"/>
        <v>17363.289425172385</v>
      </c>
      <c r="Z22" s="1370">
        <f t="shared" si="4"/>
        <v>1791.1974364109756</v>
      </c>
      <c r="AA22" s="1370">
        <v>5019.3500000000004</v>
      </c>
      <c r="AB22" s="1370">
        <f t="shared" si="5"/>
        <v>1654.211007761342</v>
      </c>
      <c r="AC22" s="1371">
        <v>6692.4</v>
      </c>
      <c r="AD22" s="1371">
        <f t="shared" si="6"/>
        <v>9959.4854581862237</v>
      </c>
      <c r="AE22" s="1371">
        <f t="shared" si="7"/>
        <v>103412.33639220623</v>
      </c>
      <c r="AF22" s="1370">
        <f t="shared" si="8"/>
        <v>44889.037016791131</v>
      </c>
      <c r="AG22" s="1377"/>
      <c r="AH22" s="1370">
        <f t="shared" si="17"/>
        <v>93892.04369178084</v>
      </c>
      <c r="AI22" s="1493">
        <f t="shared" si="9"/>
        <v>303463.48042830912</v>
      </c>
      <c r="AJ22" s="1414">
        <f t="shared" ref="AJ22:AJ26" si="18">7406.46/16716.88*H22</f>
        <v>1435.6593368379745</v>
      </c>
      <c r="AK22" s="1414">
        <v>1382.12</v>
      </c>
      <c r="AL22" s="1414">
        <f t="shared" ref="AL22:AL26" si="19">499271.18/16716.88*H22</f>
        <v>96778.127631974392</v>
      </c>
      <c r="AM22" s="1414"/>
      <c r="AN22" s="1494">
        <f t="shared" si="10"/>
        <v>99595.906968812371</v>
      </c>
      <c r="AO22" s="1373">
        <f>76925.32/13804.88*H22</f>
        <v>18056.460354715149</v>
      </c>
      <c r="AP22" s="1374">
        <f t="shared" si="11"/>
        <v>5177.9982465890344</v>
      </c>
      <c r="AQ22" s="1365">
        <f t="shared" si="12"/>
        <v>64822.561257814283</v>
      </c>
      <c r="AR22" s="1375">
        <f t="shared" si="13"/>
        <v>37527.582743760024</v>
      </c>
      <c r="AS22" s="1368">
        <f t="shared" si="14"/>
        <v>97.585841844149229</v>
      </c>
      <c r="AT22" s="1376">
        <f t="shared" si="15"/>
        <v>12.630113527226229</v>
      </c>
      <c r="AU22" s="467">
        <f t="shared" si="16"/>
        <v>12762.301999999967</v>
      </c>
      <c r="AV22" s="736">
        <v>13.68</v>
      </c>
      <c r="AW22" s="736"/>
    </row>
    <row r="23" spans="1:49" s="124" customFormat="1" x14ac:dyDescent="0.25">
      <c r="A23" s="13">
        <v>15</v>
      </c>
      <c r="B23" s="573"/>
      <c r="C23" s="42" t="s">
        <v>37</v>
      </c>
      <c r="D23" s="13">
        <v>1981</v>
      </c>
      <c r="E23" s="36">
        <v>5</v>
      </c>
      <c r="F23" s="36">
        <v>60</v>
      </c>
      <c r="G23" s="225">
        <v>163</v>
      </c>
      <c r="H23" s="121">
        <v>3236.3</v>
      </c>
      <c r="I23" s="707">
        <v>49133.26</v>
      </c>
      <c r="J23" s="707">
        <v>57581.49</v>
      </c>
      <c r="K23" s="707">
        <v>3107.43</v>
      </c>
      <c r="L23" s="707">
        <v>3641.77</v>
      </c>
      <c r="M23" s="1699">
        <v>13788.55</v>
      </c>
      <c r="N23" s="1699">
        <v>16159.41</v>
      </c>
      <c r="O23" s="707">
        <v>34568.07</v>
      </c>
      <c r="P23" s="707">
        <v>40290.75</v>
      </c>
      <c r="Q23" s="707">
        <v>420838.40000000002</v>
      </c>
      <c r="R23" s="707">
        <v>395727.81</v>
      </c>
      <c r="S23" s="1365">
        <v>11515.39</v>
      </c>
      <c r="T23" s="1366">
        <v>10824.86</v>
      </c>
      <c r="U23" s="1367">
        <f t="shared" si="0"/>
        <v>532951.1</v>
      </c>
      <c r="V23" s="1367">
        <f t="shared" si="1"/>
        <v>524226.08999999997</v>
      </c>
      <c r="W23" s="1492">
        <f t="shared" si="2"/>
        <v>476740.4724117447</v>
      </c>
      <c r="X23" s="1374">
        <v>6365.24</v>
      </c>
      <c r="Y23" s="1370">
        <f t="shared" si="3"/>
        <v>17341.427106291667</v>
      </c>
      <c r="Z23" s="1370">
        <f t="shared" si="4"/>
        <v>1788.9421189665534</v>
      </c>
      <c r="AA23" s="1370">
        <v>7155.4</v>
      </c>
      <c r="AB23" s="1370">
        <f t="shared" si="5"/>
        <v>1652.1281715163134</v>
      </c>
      <c r="AC23" s="1371">
        <v>3432</v>
      </c>
      <c r="AD23" s="1371">
        <f t="shared" si="6"/>
        <v>9946.9453546584264</v>
      </c>
      <c r="AE23" s="1371">
        <f t="shared" si="7"/>
        <v>103282.12872135275</v>
      </c>
      <c r="AF23" s="1370">
        <f t="shared" si="8"/>
        <v>44832.516710213349</v>
      </c>
      <c r="AG23" s="1377"/>
      <c r="AH23" s="1370">
        <f t="shared" si="17"/>
        <v>93773.823131765515</v>
      </c>
      <c r="AI23" s="1493">
        <f t="shared" si="9"/>
        <v>289570.55131476454</v>
      </c>
      <c r="AJ23" s="1414">
        <f t="shared" si="18"/>
        <v>1433.8516815338749</v>
      </c>
      <c r="AK23" s="1414">
        <v>1133.6500000000001</v>
      </c>
      <c r="AL23" s="1414">
        <f t="shared" si="19"/>
        <v>96656.273170232729</v>
      </c>
      <c r="AM23" s="1414"/>
      <c r="AN23" s="1494">
        <f t="shared" si="10"/>
        <v>99223.774851766604</v>
      </c>
      <c r="AO23" s="1373">
        <f t="shared" ref="AO23:AO25" si="20">76925.32/13804.88*H23</f>
        <v>18033.725256286187</v>
      </c>
      <c r="AP23" s="1374">
        <f t="shared" si="11"/>
        <v>5171.4785690061326</v>
      </c>
      <c r="AQ23" s="1365">
        <f t="shared" si="12"/>
        <v>64740.94241992123</v>
      </c>
      <c r="AR23" s="1375">
        <f t="shared" si="13"/>
        <v>56210.627588255273</v>
      </c>
      <c r="AS23" s="1368">
        <f t="shared" si="14"/>
        <v>98.362887326811034</v>
      </c>
      <c r="AT23" s="1376">
        <f t="shared" si="15"/>
        <v>12.27586215770439</v>
      </c>
      <c r="AU23" s="467">
        <f t="shared" si="16"/>
        <v>8725.0100000000093</v>
      </c>
      <c r="AV23" s="736">
        <v>13.78</v>
      </c>
      <c r="AW23" s="736"/>
    </row>
    <row r="24" spans="1:49" s="124" customFormat="1" x14ac:dyDescent="0.25">
      <c r="A24" s="13">
        <v>16</v>
      </c>
      <c r="B24" s="573"/>
      <c r="C24" s="42" t="s">
        <v>38</v>
      </c>
      <c r="D24" s="13">
        <v>1981</v>
      </c>
      <c r="E24" s="36">
        <v>5</v>
      </c>
      <c r="F24" s="36">
        <v>60</v>
      </c>
      <c r="G24" s="151">
        <v>184</v>
      </c>
      <c r="H24" s="121">
        <v>3236.3</v>
      </c>
      <c r="I24" s="707">
        <v>49154.94</v>
      </c>
      <c r="J24" s="707">
        <v>56172.34</v>
      </c>
      <c r="K24" s="707">
        <v>3108.66</v>
      </c>
      <c r="L24" s="707">
        <v>3546.14</v>
      </c>
      <c r="M24" s="1699">
        <v>13794.48</v>
      </c>
      <c r="N24" s="1699">
        <v>15735.67</v>
      </c>
      <c r="O24" s="707">
        <v>34583.58</v>
      </c>
      <c r="P24" s="707">
        <v>39369.300000000003</v>
      </c>
      <c r="Q24" s="707">
        <v>408783.18</v>
      </c>
      <c r="R24" s="707">
        <v>382978.23</v>
      </c>
      <c r="S24" s="1365">
        <v>10001.65</v>
      </c>
      <c r="T24" s="1366">
        <v>9330.77</v>
      </c>
      <c r="U24" s="1367">
        <f t="shared" si="0"/>
        <v>519426.49</v>
      </c>
      <c r="V24" s="1367">
        <f t="shared" si="1"/>
        <v>507132.45</v>
      </c>
      <c r="W24" s="1492">
        <f t="shared" si="2"/>
        <v>486214.16241174482</v>
      </c>
      <c r="X24" s="1374">
        <v>16161.94</v>
      </c>
      <c r="Y24" s="1370">
        <f t="shared" si="3"/>
        <v>17341.427106291667</v>
      </c>
      <c r="Z24" s="1370">
        <f t="shared" si="4"/>
        <v>1788.9421189665534</v>
      </c>
      <c r="AA24" s="1370">
        <v>4231.5</v>
      </c>
      <c r="AB24" s="1370">
        <f t="shared" si="5"/>
        <v>1652.1281715163134</v>
      </c>
      <c r="AC24" s="1371"/>
      <c r="AD24" s="1371">
        <f t="shared" si="6"/>
        <v>9946.9453546584264</v>
      </c>
      <c r="AE24" s="1371">
        <f t="shared" si="7"/>
        <v>103282.12872135275</v>
      </c>
      <c r="AF24" s="1370">
        <f t="shared" si="8"/>
        <v>44832.516710213349</v>
      </c>
      <c r="AG24" s="1377">
        <v>6000</v>
      </c>
      <c r="AH24" s="1370">
        <f t="shared" si="17"/>
        <v>93773.823131765515</v>
      </c>
      <c r="AI24" s="1493">
        <f t="shared" si="9"/>
        <v>299011.35131476464</v>
      </c>
      <c r="AJ24" s="1414">
        <f t="shared" si="18"/>
        <v>1433.8516815338749</v>
      </c>
      <c r="AK24" s="1414">
        <v>1166.54</v>
      </c>
      <c r="AL24" s="1414">
        <f t="shared" si="19"/>
        <v>96656.273170232729</v>
      </c>
      <c r="AM24" s="1414"/>
      <c r="AN24" s="1494">
        <f t="shared" si="10"/>
        <v>99256.664851766604</v>
      </c>
      <c r="AO24" s="1373">
        <f t="shared" si="20"/>
        <v>18033.725256286187</v>
      </c>
      <c r="AP24" s="1374">
        <f t="shared" si="11"/>
        <v>5171.4785690061326</v>
      </c>
      <c r="AQ24" s="1365">
        <f t="shared" si="12"/>
        <v>64740.94241992123</v>
      </c>
      <c r="AR24" s="1375">
        <f t="shared" si="13"/>
        <v>33212.327588255168</v>
      </c>
      <c r="AS24" s="1368">
        <f t="shared" si="14"/>
        <v>97.633151131741485</v>
      </c>
      <c r="AT24" s="1376">
        <f t="shared" si="15"/>
        <v>12.519805601348885</v>
      </c>
      <c r="AU24" s="467">
        <f t="shared" si="16"/>
        <v>12294.039999999979</v>
      </c>
      <c r="AV24" s="736">
        <v>13.26</v>
      </c>
      <c r="AW24" s="736"/>
    </row>
    <row r="25" spans="1:49" s="124" customFormat="1" x14ac:dyDescent="0.25">
      <c r="A25" s="13">
        <v>17</v>
      </c>
      <c r="B25" s="573"/>
      <c r="C25" s="42" t="s">
        <v>39</v>
      </c>
      <c r="D25" s="13">
        <v>1987</v>
      </c>
      <c r="E25" s="36">
        <v>3</v>
      </c>
      <c r="F25" s="36">
        <v>27</v>
      </c>
      <c r="G25" s="225">
        <v>72</v>
      </c>
      <c r="H25" s="121">
        <v>1466.1</v>
      </c>
      <c r="I25" s="707">
        <v>22422.6</v>
      </c>
      <c r="J25" s="707">
        <v>26650.91</v>
      </c>
      <c r="K25" s="707">
        <v>1406.76</v>
      </c>
      <c r="L25" s="707">
        <v>1672.02</v>
      </c>
      <c r="M25" s="1699">
        <v>8353.7999999999993</v>
      </c>
      <c r="N25" s="1699">
        <v>9929.1200000000008</v>
      </c>
      <c r="O25" s="707">
        <v>15651.54</v>
      </c>
      <c r="P25" s="707">
        <v>18602.919999999998</v>
      </c>
      <c r="Q25" s="707">
        <v>198545.94</v>
      </c>
      <c r="R25" s="707">
        <v>189879.05</v>
      </c>
      <c r="S25" s="1365">
        <v>7092.11</v>
      </c>
      <c r="T25" s="1366">
        <v>6832.11</v>
      </c>
      <c r="U25" s="1367">
        <f t="shared" si="0"/>
        <v>253472.75</v>
      </c>
      <c r="V25" s="1367">
        <f t="shared" si="1"/>
        <v>253566.12999999998</v>
      </c>
      <c r="W25" s="1492">
        <f t="shared" si="2"/>
        <v>227718.47522413215</v>
      </c>
      <c r="X25" s="1374">
        <v>4507.87</v>
      </c>
      <c r="Y25" s="1370">
        <f t="shared" si="3"/>
        <v>7855.9670860347342</v>
      </c>
      <c r="Z25" s="1370">
        <f t="shared" si="4"/>
        <v>810.42179050670939</v>
      </c>
      <c r="AA25" s="1370">
        <v>8513.26</v>
      </c>
      <c r="AB25" s="1370">
        <f t="shared" si="5"/>
        <v>748.44270069525896</v>
      </c>
      <c r="AC25" s="1371">
        <v>6280.56</v>
      </c>
      <c r="AD25" s="1371">
        <f t="shared" si="6"/>
        <v>4506.1386720837745</v>
      </c>
      <c r="AE25" s="1371">
        <f t="shared" si="7"/>
        <v>46788.594666247023</v>
      </c>
      <c r="AF25" s="1370">
        <f t="shared" si="8"/>
        <v>20309.907223942089</v>
      </c>
      <c r="AG25" s="1377"/>
      <c r="AH25" s="1370">
        <f t="shared" si="17"/>
        <v>42481.167411389979</v>
      </c>
      <c r="AI25" s="1493">
        <f t="shared" si="9"/>
        <v>142802.32955089957</v>
      </c>
      <c r="AJ25" s="1414">
        <f t="shared" si="18"/>
        <v>649.55966699527653</v>
      </c>
      <c r="AK25" s="1414">
        <v>638.49</v>
      </c>
      <c r="AL25" s="1414">
        <f t="shared" si="19"/>
        <v>43786.967244964369</v>
      </c>
      <c r="AM25" s="1414"/>
      <c r="AN25" s="1494">
        <f t="shared" si="10"/>
        <v>45075.016911959647</v>
      </c>
      <c r="AO25" s="1373">
        <f t="shared" si="20"/>
        <v>8169.5901487010397</v>
      </c>
      <c r="AP25" s="1374">
        <f t="shared" si="11"/>
        <v>2342.7694373265426</v>
      </c>
      <c r="AQ25" s="1365">
        <f t="shared" si="12"/>
        <v>29328.769175245343</v>
      </c>
      <c r="AR25" s="1375">
        <f t="shared" si="13"/>
        <v>25754.274775867845</v>
      </c>
      <c r="AS25" s="1368">
        <f t="shared" si="14"/>
        <v>100.03684025205864</v>
      </c>
      <c r="AT25" s="1376">
        <f t="shared" si="15"/>
        <v>12.943550645938894</v>
      </c>
      <c r="AU25" s="467">
        <f t="shared" si="16"/>
        <v>-93.379999999975553</v>
      </c>
      <c r="AV25" s="736">
        <v>14.38</v>
      </c>
      <c r="AW25" s="736"/>
    </row>
    <row r="26" spans="1:49" s="124" customFormat="1" x14ac:dyDescent="0.25">
      <c r="A26" s="13">
        <v>18</v>
      </c>
      <c r="B26" s="573"/>
      <c r="C26" s="42" t="s">
        <v>40</v>
      </c>
      <c r="D26" s="13">
        <v>1989</v>
      </c>
      <c r="E26" s="36">
        <v>3</v>
      </c>
      <c r="F26" s="36">
        <v>27</v>
      </c>
      <c r="G26" s="151">
        <v>78</v>
      </c>
      <c r="H26" s="121">
        <v>1468.1</v>
      </c>
      <c r="I26" s="707">
        <v>22473.15</v>
      </c>
      <c r="J26" s="707">
        <v>27706.89</v>
      </c>
      <c r="K26" s="707">
        <v>1409.97</v>
      </c>
      <c r="L26" s="707">
        <v>1738.36</v>
      </c>
      <c r="M26" s="1699">
        <v>0</v>
      </c>
      <c r="N26" s="1699">
        <v>0</v>
      </c>
      <c r="O26" s="707">
        <v>15686.89</v>
      </c>
      <c r="P26" s="707">
        <v>19238.52</v>
      </c>
      <c r="Q26" s="707">
        <v>188866.54</v>
      </c>
      <c r="R26" s="707">
        <v>181862.53</v>
      </c>
      <c r="S26" s="1365">
        <v>5690.98</v>
      </c>
      <c r="T26" s="1366">
        <v>5397.61</v>
      </c>
      <c r="U26" s="1367">
        <f t="shared" si="0"/>
        <v>234127.53000000003</v>
      </c>
      <c r="V26" s="1367">
        <f t="shared" si="1"/>
        <v>235943.90999999997</v>
      </c>
      <c r="W26" s="1492">
        <f t="shared" si="2"/>
        <v>207455.7139705616</v>
      </c>
      <c r="X26" s="1374">
        <v>3947.97</v>
      </c>
      <c r="Y26" s="1370">
        <f t="shared" si="3"/>
        <v>7866.6839090154781</v>
      </c>
      <c r="Z26" s="1370">
        <f t="shared" si="4"/>
        <v>811.52733827358304</v>
      </c>
      <c r="AA26" s="1370">
        <v>2877.35</v>
      </c>
      <c r="AB26" s="1370">
        <f t="shared" si="5"/>
        <v>749.46369885458682</v>
      </c>
      <c r="AC26" s="1371"/>
      <c r="AD26" s="1371">
        <f t="shared" si="6"/>
        <v>4512.2857816562228</v>
      </c>
      <c r="AE26" s="1371">
        <f t="shared" si="7"/>
        <v>46852.421955881087</v>
      </c>
      <c r="AF26" s="1370">
        <f t="shared" si="8"/>
        <v>20337.613256578257</v>
      </c>
      <c r="AG26" s="1377"/>
      <c r="AH26" s="1370">
        <f t="shared" si="17"/>
        <v>42539.118666299459</v>
      </c>
      <c r="AI26" s="1493">
        <f t="shared" si="9"/>
        <v>130494.43460655867</v>
      </c>
      <c r="AJ26" s="1414">
        <f t="shared" si="18"/>
        <v>650.44577253650198</v>
      </c>
      <c r="AK26" s="1414">
        <v>749.39</v>
      </c>
      <c r="AL26" s="1414">
        <f t="shared" si="19"/>
        <v>43846.699824249496</v>
      </c>
      <c r="AM26" s="1414"/>
      <c r="AN26" s="1494">
        <f t="shared" si="10"/>
        <v>45246.535596785994</v>
      </c>
      <c r="AO26" s="1373"/>
      <c r="AP26" s="1374">
        <f t="shared" si="11"/>
        <v>2345.9653577103181</v>
      </c>
      <c r="AQ26" s="1365">
        <f t="shared" si="12"/>
        <v>29368.778409506642</v>
      </c>
      <c r="AR26" s="1375">
        <f t="shared" si="13"/>
        <v>26671.816029438429</v>
      </c>
      <c r="AS26" s="1368">
        <f t="shared" si="14"/>
        <v>100.77580795389586</v>
      </c>
      <c r="AT26" s="1376">
        <f t="shared" si="15"/>
        <v>11.775748357886703</v>
      </c>
      <c r="AU26" s="467">
        <f t="shared" si="16"/>
        <v>-1816.3799999999464</v>
      </c>
      <c r="AV26" s="736">
        <v>13.3</v>
      </c>
      <c r="AW26" s="736"/>
    </row>
    <row r="27" spans="1:49" s="124" customFormat="1" x14ac:dyDescent="0.25">
      <c r="A27" s="13">
        <v>19</v>
      </c>
      <c r="B27" s="573"/>
      <c r="C27" s="42" t="s">
        <v>240</v>
      </c>
      <c r="D27" s="13">
        <v>1961</v>
      </c>
      <c r="E27" s="36">
        <v>1</v>
      </c>
      <c r="F27" s="36">
        <v>5</v>
      </c>
      <c r="G27" s="36">
        <v>11</v>
      </c>
      <c r="H27" s="462">
        <v>180.6</v>
      </c>
      <c r="I27" s="1378"/>
      <c r="J27" s="1378"/>
      <c r="K27" s="1378">
        <v>173.4</v>
      </c>
      <c r="L27" s="1378">
        <v>226.83</v>
      </c>
      <c r="M27" s="1378">
        <v>0</v>
      </c>
      <c r="N27" s="1378">
        <v>0</v>
      </c>
      <c r="O27" s="1378">
        <v>617.70000000000005</v>
      </c>
      <c r="P27" s="1378">
        <v>788.51</v>
      </c>
      <c r="Q27" s="1378">
        <v>11031.06</v>
      </c>
      <c r="R27" s="1378">
        <v>10173.15</v>
      </c>
      <c r="S27" s="1365">
        <v>0</v>
      </c>
      <c r="T27" s="1366">
        <v>0</v>
      </c>
      <c r="U27" s="1367">
        <f t="shared" si="0"/>
        <v>11822.16</v>
      </c>
      <c r="V27" s="1367">
        <f t="shared" si="1"/>
        <v>11188.49</v>
      </c>
      <c r="W27" s="1492">
        <f t="shared" si="2"/>
        <v>13881.724672140997</v>
      </c>
      <c r="X27" s="1374"/>
      <c r="Y27" s="1370">
        <f t="shared" si="3"/>
        <v>967.72911516122565</v>
      </c>
      <c r="Z27" s="1370">
        <f t="shared" si="4"/>
        <v>99.830963348688158</v>
      </c>
      <c r="AA27" s="1370"/>
      <c r="AB27" s="1370">
        <f t="shared" si="5"/>
        <v>92.196133787302216</v>
      </c>
      <c r="AC27" s="1371"/>
      <c r="AD27" s="1371">
        <f t="shared" si="6"/>
        <v>555.08399439214895</v>
      </c>
      <c r="AE27" s="1371">
        <f t="shared" si="7"/>
        <v>5763.6042539555374</v>
      </c>
      <c r="AF27" s="1370">
        <f t="shared" si="8"/>
        <v>2501.8547470458643</v>
      </c>
      <c r="AG27" s="1377"/>
      <c r="AH27" s="1370"/>
      <c r="AI27" s="1493">
        <f t="shared" si="9"/>
        <v>9980.2992076907667</v>
      </c>
      <c r="AJ27" s="1414"/>
      <c r="AK27" s="1414"/>
      <c r="AL27" s="1414"/>
      <c r="AM27" s="1414"/>
      <c r="AN27" s="1494">
        <f t="shared" si="10"/>
        <v>0</v>
      </c>
      <c r="AO27" s="1373"/>
      <c r="AP27" s="1374">
        <f t="shared" si="11"/>
        <v>288.59161065491691</v>
      </c>
      <c r="AQ27" s="1365">
        <f t="shared" si="12"/>
        <v>3612.8338537953136</v>
      </c>
      <c r="AR27" s="1375">
        <f t="shared" si="13"/>
        <v>-2059.5646721409976</v>
      </c>
      <c r="AS27" s="1368">
        <f t="shared" si="14"/>
        <v>94.639981187870916</v>
      </c>
      <c r="AT27" s="1376">
        <f t="shared" si="15"/>
        <v>6.4053731414456436</v>
      </c>
      <c r="AU27" s="467">
        <f t="shared" si="16"/>
        <v>633.67000000000007</v>
      </c>
      <c r="AV27" s="736">
        <v>5.6</v>
      </c>
      <c r="AW27" s="736"/>
    </row>
    <row r="28" spans="1:49" s="124" customFormat="1" x14ac:dyDescent="0.25">
      <c r="A28" s="13">
        <v>21</v>
      </c>
      <c r="B28" s="573"/>
      <c r="C28" s="42" t="s">
        <v>41</v>
      </c>
      <c r="D28" s="13">
        <v>1958</v>
      </c>
      <c r="E28" s="36">
        <v>1</v>
      </c>
      <c r="F28" s="36">
        <v>2</v>
      </c>
      <c r="G28" s="36">
        <v>1</v>
      </c>
      <c r="H28" s="462">
        <v>82.9</v>
      </c>
      <c r="I28" s="1378"/>
      <c r="J28" s="1378"/>
      <c r="K28" s="1378">
        <v>45.72</v>
      </c>
      <c r="L28" s="1378">
        <v>0</v>
      </c>
      <c r="M28" s="1378">
        <v>0</v>
      </c>
      <c r="N28" s="1378">
        <v>0</v>
      </c>
      <c r="O28" s="1378">
        <v>162.78</v>
      </c>
      <c r="P28" s="1378">
        <v>0</v>
      </c>
      <c r="Q28" s="1378">
        <v>2907.42</v>
      </c>
      <c r="R28" s="1378">
        <v>0</v>
      </c>
      <c r="S28" s="1365">
        <v>0</v>
      </c>
      <c r="T28" s="1366">
        <v>0</v>
      </c>
      <c r="U28" s="1367">
        <f t="shared" si="0"/>
        <v>3115.92</v>
      </c>
      <c r="V28" s="1367">
        <f t="shared" si="1"/>
        <v>0</v>
      </c>
      <c r="W28" s="1492">
        <f t="shared" si="2"/>
        <v>6372.0652011101256</v>
      </c>
      <c r="X28" s="1374"/>
      <c r="Y28" s="1370">
        <f t="shared" si="3"/>
        <v>444.21231255185836</v>
      </c>
      <c r="Z28" s="1370">
        <f t="shared" si="4"/>
        <v>45.824954936911681</v>
      </c>
      <c r="AA28" s="1370"/>
      <c r="AB28" s="1370">
        <f t="shared" si="5"/>
        <v>42.320373704138177</v>
      </c>
      <c r="AC28" s="1371"/>
      <c r="AD28" s="1371">
        <f t="shared" si="6"/>
        <v>254.79769177801305</v>
      </c>
      <c r="AE28" s="1371">
        <f t="shared" si="7"/>
        <v>2645.6411553317503</v>
      </c>
      <c r="AF28" s="1370">
        <f t="shared" si="8"/>
        <v>1148.4150527691149</v>
      </c>
      <c r="AG28" s="1377"/>
      <c r="AH28" s="1370"/>
      <c r="AI28" s="1493">
        <f t="shared" si="9"/>
        <v>4581.2115410717861</v>
      </c>
      <c r="AJ28" s="1414"/>
      <c r="AK28" s="1414"/>
      <c r="AL28" s="1414"/>
      <c r="AM28" s="1414"/>
      <c r="AN28" s="1494">
        <f t="shared" si="10"/>
        <v>0</v>
      </c>
      <c r="AO28" s="1373"/>
      <c r="AP28" s="1374">
        <f t="shared" si="11"/>
        <v>132.47089990748955</v>
      </c>
      <c r="AQ28" s="1365">
        <f t="shared" si="12"/>
        <v>1658.3827601308501</v>
      </c>
      <c r="AR28" s="1375">
        <f t="shared" si="13"/>
        <v>-3256.1452011101255</v>
      </c>
      <c r="AS28" s="1368">
        <f t="shared" si="14"/>
        <v>0</v>
      </c>
      <c r="AT28" s="1376">
        <f t="shared" si="15"/>
        <v>6.4053731414456427</v>
      </c>
      <c r="AU28" s="467">
        <f t="shared" si="16"/>
        <v>3115.92</v>
      </c>
      <c r="AV28" s="736">
        <v>5.6</v>
      </c>
      <c r="AW28" s="736"/>
    </row>
    <row r="29" spans="1:49" s="124" customFormat="1" x14ac:dyDescent="0.25">
      <c r="A29" s="13">
        <v>22</v>
      </c>
      <c r="B29" s="574">
        <v>42461</v>
      </c>
      <c r="C29" s="42" t="s">
        <v>42</v>
      </c>
      <c r="D29" s="13">
        <v>1962</v>
      </c>
      <c r="E29" s="36">
        <v>1</v>
      </c>
      <c r="F29" s="36">
        <v>2</v>
      </c>
      <c r="G29" s="36">
        <v>8</v>
      </c>
      <c r="H29" s="462">
        <v>79.400000000000006</v>
      </c>
      <c r="I29" s="1378"/>
      <c r="J29" s="1378"/>
      <c r="K29" s="1378">
        <v>76.2</v>
      </c>
      <c r="L29" s="1378">
        <v>95.26</v>
      </c>
      <c r="M29" s="1378">
        <v>0</v>
      </c>
      <c r="N29" s="1378">
        <v>0</v>
      </c>
      <c r="O29" s="1378">
        <v>543.12</v>
      </c>
      <c r="P29" s="1378">
        <v>678.94</v>
      </c>
      <c r="Q29" s="1378">
        <v>5135.6400000000003</v>
      </c>
      <c r="R29" s="1378">
        <v>4942.91</v>
      </c>
      <c r="S29" s="1365">
        <v>0</v>
      </c>
      <c r="T29" s="1366">
        <v>0</v>
      </c>
      <c r="U29" s="1367">
        <f t="shared" si="0"/>
        <v>5754.96</v>
      </c>
      <c r="V29" s="1367">
        <f t="shared" si="1"/>
        <v>5717.11</v>
      </c>
      <c r="W29" s="1492">
        <f t="shared" si="2"/>
        <v>6103.0395291694094</v>
      </c>
      <c r="X29" s="1374"/>
      <c r="Y29" s="1370">
        <f t="shared" si="3"/>
        <v>425.45787233555552</v>
      </c>
      <c r="Z29" s="1370">
        <f t="shared" si="4"/>
        <v>43.89024634488284</v>
      </c>
      <c r="AA29" s="1370"/>
      <c r="AB29" s="1370">
        <f t="shared" si="5"/>
        <v>40.533626925314486</v>
      </c>
      <c r="AC29" s="1371"/>
      <c r="AD29" s="1371">
        <f t="shared" si="6"/>
        <v>244.0402500262272</v>
      </c>
      <c r="AE29" s="1371">
        <f t="shared" si="7"/>
        <v>2533.9433984721468</v>
      </c>
      <c r="AF29" s="1370">
        <f t="shared" si="8"/>
        <v>1099.9294956558231</v>
      </c>
      <c r="AG29" s="1377"/>
      <c r="AH29" s="1370"/>
      <c r="AI29" s="1493">
        <f t="shared" si="9"/>
        <v>4387.7948897599499</v>
      </c>
      <c r="AJ29" s="1414"/>
      <c r="AK29" s="1414"/>
      <c r="AL29" s="1414"/>
      <c r="AM29" s="1414"/>
      <c r="AN29" s="1494">
        <f t="shared" si="10"/>
        <v>0</v>
      </c>
      <c r="AO29" s="1373"/>
      <c r="AP29" s="1374">
        <f t="shared" si="11"/>
        <v>126.87803923588262</v>
      </c>
      <c r="AQ29" s="1365">
        <f t="shared" si="12"/>
        <v>1588.3666001735767</v>
      </c>
      <c r="AR29" s="1375">
        <f t="shared" si="13"/>
        <v>-348.0795291694094</v>
      </c>
      <c r="AS29" s="1368">
        <f t="shared" si="14"/>
        <v>99.342306462599211</v>
      </c>
      <c r="AT29" s="1376">
        <f t="shared" si="15"/>
        <v>6.4053731414456436</v>
      </c>
      <c r="AU29" s="467">
        <f t="shared" si="16"/>
        <v>37.850000000000364</v>
      </c>
      <c r="AV29" s="736">
        <v>6.2</v>
      </c>
      <c r="AW29" s="736"/>
    </row>
    <row r="30" spans="1:49" s="124" customFormat="1" x14ac:dyDescent="0.25">
      <c r="A30" s="13">
        <v>23</v>
      </c>
      <c r="B30" s="574">
        <v>42461</v>
      </c>
      <c r="C30" s="42" t="s">
        <v>43</v>
      </c>
      <c r="D30" s="13">
        <v>1955</v>
      </c>
      <c r="E30" s="36">
        <v>1</v>
      </c>
      <c r="F30" s="36">
        <v>4</v>
      </c>
      <c r="G30" s="36">
        <v>6</v>
      </c>
      <c r="H30" s="462">
        <v>121.87</v>
      </c>
      <c r="I30" s="1378"/>
      <c r="J30" s="1378"/>
      <c r="K30" s="1378">
        <v>117</v>
      </c>
      <c r="L30" s="1378">
        <v>136.5</v>
      </c>
      <c r="M30" s="1378">
        <v>0</v>
      </c>
      <c r="N30" s="1378">
        <v>0</v>
      </c>
      <c r="O30" s="1378">
        <v>833.58</v>
      </c>
      <c r="P30" s="1378">
        <v>972.51</v>
      </c>
      <c r="Q30" s="1378">
        <v>7882.56</v>
      </c>
      <c r="R30" s="1378">
        <v>7499.14</v>
      </c>
      <c r="S30" s="1365">
        <v>0</v>
      </c>
      <c r="T30" s="1366">
        <v>0</v>
      </c>
      <c r="U30" s="1367">
        <f t="shared" si="0"/>
        <v>8833.1400000000012</v>
      </c>
      <c r="V30" s="1367">
        <f t="shared" si="1"/>
        <v>8608.15</v>
      </c>
      <c r="W30" s="1492">
        <f t="shared" si="2"/>
        <v>9367.4738969757673</v>
      </c>
      <c r="X30" s="1374"/>
      <c r="Y30" s="1370">
        <f t="shared" si="3"/>
        <v>653.02960833166435</v>
      </c>
      <c r="Z30" s="1370">
        <f t="shared" si="4"/>
        <v>67.366553174444221</v>
      </c>
      <c r="AA30" s="1370"/>
      <c r="AB30" s="1370">
        <f t="shared" si="5"/>
        <v>62.214522838640761</v>
      </c>
      <c r="AC30" s="1371"/>
      <c r="AD30" s="1371">
        <f t="shared" si="6"/>
        <v>374.57412179718273</v>
      </c>
      <c r="AE30" s="1371">
        <f t="shared" si="7"/>
        <v>3889.3158938513916</v>
      </c>
      <c r="AF30" s="1370">
        <f t="shared" si="8"/>
        <v>1688.2670986848254</v>
      </c>
      <c r="AG30" s="1377"/>
      <c r="AH30" s="1370"/>
      <c r="AI30" s="1493">
        <f t="shared" si="9"/>
        <v>6734.7677986781491</v>
      </c>
      <c r="AJ30" s="1414"/>
      <c r="AK30" s="1414"/>
      <c r="AL30" s="1414"/>
      <c r="AM30" s="1414"/>
      <c r="AN30" s="1494">
        <f t="shared" si="10"/>
        <v>0</v>
      </c>
      <c r="AO30" s="1373"/>
      <c r="AP30" s="1374">
        <f t="shared" si="11"/>
        <v>194.74340858535285</v>
      </c>
      <c r="AQ30" s="1365">
        <f t="shared" si="12"/>
        <v>2437.9626897122644</v>
      </c>
      <c r="AR30" s="1375">
        <f t="shared" si="13"/>
        <v>-534.33389697576604</v>
      </c>
      <c r="AS30" s="1368">
        <f t="shared" si="14"/>
        <v>97.452887648106994</v>
      </c>
      <c r="AT30" s="1376">
        <f t="shared" si="15"/>
        <v>6.4053731414456436</v>
      </c>
      <c r="AU30" s="467">
        <f t="shared" si="16"/>
        <v>224.9900000000016</v>
      </c>
      <c r="AV30" s="736">
        <v>6.2</v>
      </c>
      <c r="AW30" s="736"/>
    </row>
    <row r="31" spans="1:49" s="124" customFormat="1" x14ac:dyDescent="0.25">
      <c r="A31" s="13">
        <v>24</v>
      </c>
      <c r="B31" s="573"/>
      <c r="C31" s="42" t="s">
        <v>44</v>
      </c>
      <c r="D31" s="13">
        <v>1976</v>
      </c>
      <c r="E31" s="36">
        <v>2</v>
      </c>
      <c r="F31" s="36">
        <v>4</v>
      </c>
      <c r="G31" s="36">
        <v>22</v>
      </c>
      <c r="H31" s="121">
        <v>266.82</v>
      </c>
      <c r="I31" s="707"/>
      <c r="J31" s="707"/>
      <c r="K31" s="707">
        <v>256.14</v>
      </c>
      <c r="L31" s="707">
        <v>295.36</v>
      </c>
      <c r="M31" s="707">
        <v>0</v>
      </c>
      <c r="N31" s="707">
        <v>0</v>
      </c>
      <c r="O31" s="707">
        <v>1825.08</v>
      </c>
      <c r="P31" s="707">
        <v>2104.5100000000002</v>
      </c>
      <c r="Q31" s="707">
        <v>24302.04</v>
      </c>
      <c r="R31" s="707">
        <v>23869.65</v>
      </c>
      <c r="S31" s="1365">
        <v>0</v>
      </c>
      <c r="T31" s="1366">
        <v>0</v>
      </c>
      <c r="U31" s="1367">
        <f t="shared" si="0"/>
        <v>26383.260000000002</v>
      </c>
      <c r="V31" s="1367">
        <f t="shared" si="1"/>
        <v>26269.52</v>
      </c>
      <c r="W31" s="1492">
        <f t="shared" si="2"/>
        <v>28300.536856679253</v>
      </c>
      <c r="X31" s="1374">
        <v>60.28</v>
      </c>
      <c r="Y31" s="1370">
        <f t="shared" si="3"/>
        <v>1429.7313538611199</v>
      </c>
      <c r="Z31" s="1370">
        <f t="shared" si="4"/>
        <v>147.49112757861005</v>
      </c>
      <c r="AA31" s="1370"/>
      <c r="AB31" s="1370">
        <f t="shared" si="5"/>
        <v>136.21136443592457</v>
      </c>
      <c r="AC31" s="1371"/>
      <c r="AD31" s="1371">
        <f t="shared" si="6"/>
        <v>820.08588806042746</v>
      </c>
      <c r="AE31" s="1371">
        <f t="shared" si="7"/>
        <v>8515.1987100798251</v>
      </c>
      <c r="AF31" s="1370">
        <f t="shared" si="8"/>
        <v>3696.261813991016</v>
      </c>
      <c r="AG31" s="1377"/>
      <c r="AH31" s="1370">
        <f t="shared" ref="AH31:AH32" si="21">725943.78/25053.6*H31</f>
        <v>7731.2769174729392</v>
      </c>
      <c r="AI31" s="1493">
        <f t="shared" si="9"/>
        <v>22536.537175479862</v>
      </c>
      <c r="AJ31" s="1414"/>
      <c r="AK31" s="1414"/>
      <c r="AL31" s="1414"/>
      <c r="AM31" s="1414"/>
      <c r="AN31" s="1494">
        <f t="shared" si="10"/>
        <v>0</v>
      </c>
      <c r="AO31" s="1373"/>
      <c r="AP31" s="1374">
        <f t="shared" si="11"/>
        <v>426.36773839947358</v>
      </c>
      <c r="AQ31" s="1365">
        <f t="shared" si="12"/>
        <v>5337.6319427999206</v>
      </c>
      <c r="AR31" s="1375">
        <f t="shared" si="13"/>
        <v>-1917.2768566792511</v>
      </c>
      <c r="AS31" s="1368">
        <f t="shared" si="14"/>
        <v>99.56889330583104</v>
      </c>
      <c r="AT31" s="1376">
        <f t="shared" si="15"/>
        <v>8.8388354373357991</v>
      </c>
      <c r="AU31" s="467">
        <f t="shared" si="16"/>
        <v>113.7400000000016</v>
      </c>
      <c r="AV31" s="736">
        <v>8.24</v>
      </c>
      <c r="AW31" s="736"/>
    </row>
    <row r="32" spans="1:49" s="124" customFormat="1" x14ac:dyDescent="0.25">
      <c r="A32" s="13">
        <v>25</v>
      </c>
      <c r="B32" s="573"/>
      <c r="C32" s="42" t="s">
        <v>45</v>
      </c>
      <c r="D32" s="13">
        <v>1976</v>
      </c>
      <c r="E32" s="36">
        <v>2</v>
      </c>
      <c r="F32" s="36">
        <v>4</v>
      </c>
      <c r="G32" s="36">
        <v>12</v>
      </c>
      <c r="H32" s="121">
        <v>266.56</v>
      </c>
      <c r="I32" s="707"/>
      <c r="J32" s="707"/>
      <c r="K32" s="707">
        <v>255.9</v>
      </c>
      <c r="L32" s="707">
        <v>277.93</v>
      </c>
      <c r="M32" s="707">
        <v>0</v>
      </c>
      <c r="N32" s="707">
        <v>0</v>
      </c>
      <c r="O32" s="707">
        <v>1823.22</v>
      </c>
      <c r="P32" s="707">
        <v>1919.11</v>
      </c>
      <c r="Q32" s="707">
        <v>24982</v>
      </c>
      <c r="R32" s="707">
        <v>21508.59</v>
      </c>
      <c r="S32" s="1365">
        <v>0</v>
      </c>
      <c r="T32" s="1366">
        <v>0</v>
      </c>
      <c r="U32" s="1367">
        <f t="shared" si="0"/>
        <v>27061.119999999999</v>
      </c>
      <c r="V32" s="1367">
        <f t="shared" si="1"/>
        <v>23705.63</v>
      </c>
      <c r="W32" s="1492">
        <f t="shared" si="2"/>
        <v>28212.738429339708</v>
      </c>
      <c r="X32" s="1374"/>
      <c r="Y32" s="1370">
        <f t="shared" si="3"/>
        <v>1428.3381668736231</v>
      </c>
      <c r="Z32" s="1370">
        <f t="shared" si="4"/>
        <v>147.3474063689165</v>
      </c>
      <c r="AA32" s="1370"/>
      <c r="AB32" s="1370">
        <f t="shared" si="5"/>
        <v>136.07863467521196</v>
      </c>
      <c r="AC32" s="1371"/>
      <c r="AD32" s="1371">
        <f t="shared" si="6"/>
        <v>819.28676381600906</v>
      </c>
      <c r="AE32" s="1371">
        <f t="shared" si="7"/>
        <v>8506.9011624273971</v>
      </c>
      <c r="AF32" s="1370">
        <f t="shared" si="8"/>
        <v>3692.6600297483146</v>
      </c>
      <c r="AG32" s="1377"/>
      <c r="AH32" s="1370">
        <f t="shared" si="21"/>
        <v>7723.7432543347077</v>
      </c>
      <c r="AI32" s="1493">
        <f t="shared" si="9"/>
        <v>22454.355418244177</v>
      </c>
      <c r="AJ32" s="1414"/>
      <c r="AK32" s="1414"/>
      <c r="AL32" s="1414"/>
      <c r="AM32" s="1414"/>
      <c r="AN32" s="1494">
        <f t="shared" si="10"/>
        <v>0</v>
      </c>
      <c r="AO32" s="1373"/>
      <c r="AP32" s="1374">
        <f t="shared" si="11"/>
        <v>425.95226874958274</v>
      </c>
      <c r="AQ32" s="1365">
        <f t="shared" si="12"/>
        <v>5332.4307423459513</v>
      </c>
      <c r="AR32" s="1375">
        <f t="shared" si="13"/>
        <v>-1151.6184293397091</v>
      </c>
      <c r="AS32" s="1368">
        <f t="shared" si="14"/>
        <v>87.600328441690522</v>
      </c>
      <c r="AT32" s="1376">
        <f t="shared" si="15"/>
        <v>8.8200087626737282</v>
      </c>
      <c r="AU32" s="467">
        <f t="shared" si="16"/>
        <v>3355.489999999998</v>
      </c>
      <c r="AV32" s="736">
        <v>8.68</v>
      </c>
      <c r="AW32" s="736"/>
    </row>
    <row r="33" spans="1:49" s="124" customFormat="1" x14ac:dyDescent="0.25">
      <c r="A33" s="13">
        <v>26</v>
      </c>
      <c r="B33" s="573"/>
      <c r="C33" s="42" t="s">
        <v>46</v>
      </c>
      <c r="D33" s="13">
        <v>1958</v>
      </c>
      <c r="E33" s="36">
        <v>1</v>
      </c>
      <c r="F33" s="36">
        <v>2</v>
      </c>
      <c r="G33" s="36">
        <v>2</v>
      </c>
      <c r="H33" s="462">
        <v>68.42</v>
      </c>
      <c r="I33" s="1378"/>
      <c r="J33" s="1378"/>
      <c r="K33" s="1378">
        <v>65.64</v>
      </c>
      <c r="L33" s="1378">
        <v>76.58</v>
      </c>
      <c r="M33" s="1378">
        <v>0</v>
      </c>
      <c r="N33" s="1378">
        <v>0</v>
      </c>
      <c r="O33" s="1378">
        <v>234</v>
      </c>
      <c r="P33" s="1378">
        <v>273</v>
      </c>
      <c r="Q33" s="1378">
        <v>4179.0600000000004</v>
      </c>
      <c r="R33" s="1378">
        <v>4109.2700000000004</v>
      </c>
      <c r="S33" s="1365">
        <v>0</v>
      </c>
      <c r="T33" s="1366">
        <v>0</v>
      </c>
      <c r="U33" s="1367">
        <f t="shared" si="0"/>
        <v>4478.7000000000007</v>
      </c>
      <c r="V33" s="1367">
        <f t="shared" si="1"/>
        <v>4458.8500000000004</v>
      </c>
      <c r="W33" s="1492">
        <f t="shared" si="2"/>
        <v>5259.0675640525305</v>
      </c>
      <c r="X33" s="1374"/>
      <c r="Y33" s="1370">
        <f t="shared" si="3"/>
        <v>366.62251417126834</v>
      </c>
      <c r="Z33" s="1370">
        <f t="shared" si="4"/>
        <v>37.820789104746645</v>
      </c>
      <c r="AA33" s="1370"/>
      <c r="AB33" s="1370">
        <f t="shared" si="5"/>
        <v>34.928347030604748</v>
      </c>
      <c r="AC33" s="1371"/>
      <c r="AD33" s="1371">
        <f t="shared" si="6"/>
        <v>210.29261847348192</v>
      </c>
      <c r="AE33" s="1371">
        <f t="shared" si="7"/>
        <v>2183.531578381162</v>
      </c>
      <c r="AF33" s="1370">
        <f t="shared" si="8"/>
        <v>947.82337648326711</v>
      </c>
      <c r="AG33" s="1377"/>
      <c r="AH33" s="1370"/>
      <c r="AI33" s="1493">
        <f t="shared" si="9"/>
        <v>3781.0192236445309</v>
      </c>
      <c r="AJ33" s="1414"/>
      <c r="AK33" s="1414"/>
      <c r="AL33" s="1414"/>
      <c r="AM33" s="1414"/>
      <c r="AN33" s="1494">
        <f t="shared" si="10"/>
        <v>0</v>
      </c>
      <c r="AO33" s="1373"/>
      <c r="AP33" s="1374">
        <f t="shared" si="11"/>
        <v>109.33243632895578</v>
      </c>
      <c r="AQ33" s="1365">
        <f t="shared" si="12"/>
        <v>1368.7159040790441</v>
      </c>
      <c r="AR33" s="1375">
        <f t="shared" si="13"/>
        <v>-780.36756405252981</v>
      </c>
      <c r="AS33" s="1368">
        <f t="shared" si="14"/>
        <v>99.556791033112276</v>
      </c>
      <c r="AT33" s="1376">
        <f t="shared" si="15"/>
        <v>6.4053731414456427</v>
      </c>
      <c r="AU33" s="467">
        <f t="shared" si="16"/>
        <v>19.850000000000364</v>
      </c>
      <c r="AV33" s="736">
        <v>5.6</v>
      </c>
      <c r="AW33" s="736"/>
    </row>
    <row r="34" spans="1:49" s="124" customFormat="1" x14ac:dyDescent="0.25">
      <c r="A34" s="13">
        <v>27</v>
      </c>
      <c r="B34" s="573"/>
      <c r="C34" s="42" t="s">
        <v>47</v>
      </c>
      <c r="D34" s="13">
        <v>1970</v>
      </c>
      <c r="E34" s="36">
        <v>2</v>
      </c>
      <c r="F34" s="36">
        <v>9</v>
      </c>
      <c r="G34" s="36">
        <v>2</v>
      </c>
      <c r="H34" s="121">
        <v>393.8</v>
      </c>
      <c r="I34" s="707"/>
      <c r="J34" s="707"/>
      <c r="K34" s="707">
        <v>295.38</v>
      </c>
      <c r="L34" s="707">
        <v>263.55</v>
      </c>
      <c r="M34" s="707">
        <v>0</v>
      </c>
      <c r="N34" s="707">
        <v>0</v>
      </c>
      <c r="O34" s="707">
        <v>685.8</v>
      </c>
      <c r="P34" s="707">
        <v>477.49</v>
      </c>
      <c r="Q34" s="707">
        <v>21822.06</v>
      </c>
      <c r="R34" s="707">
        <v>15306.62</v>
      </c>
      <c r="S34" s="1365">
        <v>1208.72</v>
      </c>
      <c r="T34" s="1366">
        <v>796.52</v>
      </c>
      <c r="U34" s="1367">
        <f t="shared" si="0"/>
        <v>24011.960000000003</v>
      </c>
      <c r="V34" s="1367">
        <f t="shared" si="1"/>
        <v>16844.18</v>
      </c>
      <c r="W34" s="1492">
        <f t="shared" si="2"/>
        <v>43677.353408890987</v>
      </c>
      <c r="X34" s="1374"/>
      <c r="Y34" s="1370">
        <f t="shared" si="3"/>
        <v>2110.1424449085862</v>
      </c>
      <c r="Z34" s="1370">
        <f t="shared" si="4"/>
        <v>217.68235529741639</v>
      </c>
      <c r="AA34" s="1370">
        <v>1997.52</v>
      </c>
      <c r="AB34" s="1370">
        <f t="shared" si="5"/>
        <v>201.03453757164792</v>
      </c>
      <c r="AC34" s="1371"/>
      <c r="AD34" s="1371">
        <f t="shared" si="6"/>
        <v>1210.3658748152175</v>
      </c>
      <c r="AE34" s="1371">
        <f t="shared" si="7"/>
        <v>12567.593328946239</v>
      </c>
      <c r="AF34" s="1370">
        <f t="shared" si="8"/>
        <v>5455.3178260612476</v>
      </c>
      <c r="AG34" s="1377"/>
      <c r="AH34" s="1370">
        <f t="shared" ref="AH34:AH35" si="22">725943.78/25053.6*H34</f>
        <v>11410.60209167545</v>
      </c>
      <c r="AI34" s="1493">
        <f t="shared" si="9"/>
        <v>35170.258459275807</v>
      </c>
      <c r="AJ34" s="1414"/>
      <c r="AK34" s="1414"/>
      <c r="AL34" s="1414"/>
      <c r="AM34" s="1414"/>
      <c r="AN34" s="1494">
        <f t="shared" si="10"/>
        <v>0</v>
      </c>
      <c r="AO34" s="1373"/>
      <c r="AP34" s="1374">
        <f t="shared" si="11"/>
        <v>629.27672356537255</v>
      </c>
      <c r="AQ34" s="1365">
        <f t="shared" si="12"/>
        <v>7877.8182260498043</v>
      </c>
      <c r="AR34" s="1375">
        <f t="shared" si="13"/>
        <v>-19665.393408890985</v>
      </c>
      <c r="AS34" s="1368">
        <f t="shared" si="14"/>
        <v>70.149125685699957</v>
      </c>
      <c r="AT34" s="1376">
        <f t="shared" si="15"/>
        <v>9.2427106418001923</v>
      </c>
      <c r="AU34" s="467">
        <f t="shared" si="16"/>
        <v>7167.7800000000025</v>
      </c>
      <c r="AV34" s="736">
        <v>7.06</v>
      </c>
      <c r="AW34" s="736"/>
    </row>
    <row r="35" spans="1:49" s="124" customFormat="1" x14ac:dyDescent="0.25">
      <c r="A35" s="13">
        <v>28</v>
      </c>
      <c r="B35" s="573"/>
      <c r="C35" s="42" t="s">
        <v>48</v>
      </c>
      <c r="D35" s="13">
        <v>1970</v>
      </c>
      <c r="E35" s="36">
        <v>2</v>
      </c>
      <c r="F35" s="36">
        <v>12</v>
      </c>
      <c r="G35" s="36">
        <v>25</v>
      </c>
      <c r="H35" s="121">
        <v>462.1</v>
      </c>
      <c r="I35" s="707"/>
      <c r="J35" s="707"/>
      <c r="K35" s="707">
        <v>443.58</v>
      </c>
      <c r="L35" s="707">
        <v>322.04000000000002</v>
      </c>
      <c r="M35" s="707">
        <v>0</v>
      </c>
      <c r="N35" s="707">
        <v>0</v>
      </c>
      <c r="O35" s="707">
        <v>3160.8</v>
      </c>
      <c r="P35" s="707">
        <v>3612.89</v>
      </c>
      <c r="Q35" s="707">
        <v>32772.06</v>
      </c>
      <c r="R35" s="707">
        <v>24794.39</v>
      </c>
      <c r="S35" s="1365">
        <v>1626.5</v>
      </c>
      <c r="T35" s="1366">
        <v>1123.5</v>
      </c>
      <c r="U35" s="1367">
        <f t="shared" si="0"/>
        <v>38002.939999999995</v>
      </c>
      <c r="V35" s="1367">
        <f t="shared" si="1"/>
        <v>29852.82</v>
      </c>
      <c r="W35" s="1492">
        <f t="shared" si="2"/>
        <v>51126.312590778369</v>
      </c>
      <c r="X35" s="1374"/>
      <c r="Y35" s="1370">
        <f t="shared" si="3"/>
        <v>2476.1219497010102</v>
      </c>
      <c r="Z35" s="1370">
        <f t="shared" si="4"/>
        <v>255.43681153615063</v>
      </c>
      <c r="AA35" s="1370">
        <v>2217.6</v>
      </c>
      <c r="AB35" s="1370">
        <f t="shared" si="5"/>
        <v>235.90162471269301</v>
      </c>
      <c r="AC35" s="1371"/>
      <c r="AD35" s="1371">
        <f t="shared" si="6"/>
        <v>1420.2896667143525</v>
      </c>
      <c r="AE35" s="1371">
        <f t="shared" si="7"/>
        <v>14747.295269949358</v>
      </c>
      <c r="AF35" s="1370">
        <f t="shared" si="8"/>
        <v>6401.4788405863455</v>
      </c>
      <c r="AG35" s="1377"/>
      <c r="AH35" s="1370">
        <f t="shared" si="22"/>
        <v>13389.637446833991</v>
      </c>
      <c r="AI35" s="1493">
        <f t="shared" si="9"/>
        <v>41143.761610033893</v>
      </c>
      <c r="AJ35" s="1414"/>
      <c r="AK35" s="1414"/>
      <c r="AL35" s="1414"/>
      <c r="AM35" s="1414"/>
      <c r="AN35" s="1494">
        <f t="shared" si="10"/>
        <v>0</v>
      </c>
      <c r="AO35" s="1373"/>
      <c r="AP35" s="1374">
        <f t="shared" si="11"/>
        <v>738.41740467130182</v>
      </c>
      <c r="AQ35" s="1365">
        <f t="shared" si="12"/>
        <v>9244.1335760731708</v>
      </c>
      <c r="AR35" s="1375">
        <f t="shared" si="13"/>
        <v>-13123.372590778374</v>
      </c>
      <c r="AS35" s="1368">
        <f t="shared" si="14"/>
        <v>78.553975034563123</v>
      </c>
      <c r="AT35" s="1376">
        <f t="shared" si="15"/>
        <v>9.2199222013233726</v>
      </c>
      <c r="AU35" s="467">
        <f t="shared" si="16"/>
        <v>8150.1199999999953</v>
      </c>
      <c r="AV35" s="736">
        <v>7.06</v>
      </c>
      <c r="AW35" s="736"/>
    </row>
    <row r="36" spans="1:49" s="124" customFormat="1" x14ac:dyDescent="0.25">
      <c r="A36" s="13">
        <v>29</v>
      </c>
      <c r="B36" s="573"/>
      <c r="C36" s="42" t="s">
        <v>49</v>
      </c>
      <c r="D36" s="13">
        <v>1951</v>
      </c>
      <c r="E36" s="36">
        <v>1</v>
      </c>
      <c r="F36" s="36">
        <v>2</v>
      </c>
      <c r="G36" s="36">
        <v>5</v>
      </c>
      <c r="H36" s="462">
        <v>46.6</v>
      </c>
      <c r="I36" s="1378"/>
      <c r="J36" s="1378"/>
      <c r="K36" s="1378">
        <v>44.76</v>
      </c>
      <c r="L36" s="1378">
        <v>0</v>
      </c>
      <c r="M36" s="1378">
        <v>0</v>
      </c>
      <c r="N36" s="1378">
        <v>0</v>
      </c>
      <c r="O36" s="1378">
        <v>318.72000000000003</v>
      </c>
      <c r="P36" s="1378">
        <v>0</v>
      </c>
      <c r="Q36" s="1378">
        <v>3014.04</v>
      </c>
      <c r="R36" s="1378">
        <v>0</v>
      </c>
      <c r="S36" s="1365">
        <v>0</v>
      </c>
      <c r="T36" s="1366">
        <v>0</v>
      </c>
      <c r="U36" s="1367">
        <f t="shared" si="0"/>
        <v>3377.52</v>
      </c>
      <c r="V36" s="1367">
        <f t="shared" si="1"/>
        <v>0</v>
      </c>
      <c r="W36" s="1492">
        <f t="shared" si="2"/>
        <v>3581.8846606964034</v>
      </c>
      <c r="X36" s="1374"/>
      <c r="Y36" s="1370">
        <f t="shared" si="3"/>
        <v>249.70197545134619</v>
      </c>
      <c r="Z36" s="1370">
        <f t="shared" si="4"/>
        <v>25.759262968155419</v>
      </c>
      <c r="AA36" s="1370"/>
      <c r="AB36" s="1370">
        <f t="shared" si="5"/>
        <v>23.789257112338227</v>
      </c>
      <c r="AC36" s="1371"/>
      <c r="AD36" s="1371">
        <f t="shared" si="6"/>
        <v>143.22765303806281</v>
      </c>
      <c r="AE36" s="1371">
        <f t="shared" si="7"/>
        <v>1487.1758484735772</v>
      </c>
      <c r="AF36" s="1370">
        <f t="shared" si="8"/>
        <v>645.550560422687</v>
      </c>
      <c r="AG36" s="1377"/>
      <c r="AH36" s="1370"/>
      <c r="AI36" s="1493">
        <f t="shared" si="9"/>
        <v>2575.204557466167</v>
      </c>
      <c r="AJ36" s="1414"/>
      <c r="AK36" s="1414"/>
      <c r="AL36" s="1414"/>
      <c r="AM36" s="1414"/>
      <c r="AN36" s="1494">
        <f t="shared" si="10"/>
        <v>0</v>
      </c>
      <c r="AO36" s="1373"/>
      <c r="AP36" s="1374">
        <f t="shared" si="11"/>
        <v>74.46494494196638</v>
      </c>
      <c r="AQ36" s="1365">
        <f t="shared" si="12"/>
        <v>932.21515828827035</v>
      </c>
      <c r="AR36" s="1375">
        <f t="shared" si="13"/>
        <v>-204.36466069640346</v>
      </c>
      <c r="AS36" s="1368">
        <f t="shared" si="14"/>
        <v>0</v>
      </c>
      <c r="AT36" s="1376">
        <f t="shared" si="15"/>
        <v>6.4053731414456427</v>
      </c>
      <c r="AU36" s="467">
        <f t="shared" si="16"/>
        <v>3377.52</v>
      </c>
      <c r="AV36" s="736">
        <v>6.2</v>
      </c>
      <c r="AW36" s="736"/>
    </row>
    <row r="37" spans="1:49" s="124" customFormat="1" x14ac:dyDescent="0.25">
      <c r="A37" s="13">
        <v>30</v>
      </c>
      <c r="B37" s="573"/>
      <c r="C37" s="42" t="s">
        <v>241</v>
      </c>
      <c r="D37" s="13">
        <v>1955</v>
      </c>
      <c r="E37" s="36">
        <v>1</v>
      </c>
      <c r="F37" s="36">
        <v>2</v>
      </c>
      <c r="G37" s="36">
        <v>3</v>
      </c>
      <c r="H37" s="462">
        <v>76</v>
      </c>
      <c r="I37" s="1378"/>
      <c r="J37" s="1378"/>
      <c r="K37" s="1378">
        <v>72.959999999999994</v>
      </c>
      <c r="L37" s="1378">
        <v>48.8</v>
      </c>
      <c r="M37" s="1378">
        <v>0</v>
      </c>
      <c r="N37" s="1378">
        <v>0</v>
      </c>
      <c r="O37" s="1378">
        <v>519.84</v>
      </c>
      <c r="P37" s="1378">
        <v>392.23</v>
      </c>
      <c r="Q37" s="1378">
        <v>4915.68</v>
      </c>
      <c r="R37" s="1378">
        <v>2290.41</v>
      </c>
      <c r="S37" s="1365">
        <v>0</v>
      </c>
      <c r="T37" s="1366">
        <v>0</v>
      </c>
      <c r="U37" s="1367">
        <f t="shared" si="0"/>
        <v>5508.4800000000005</v>
      </c>
      <c r="V37" s="1367">
        <f t="shared" si="1"/>
        <v>2731.44</v>
      </c>
      <c r="W37" s="1492">
        <f t="shared" si="2"/>
        <v>5841.700304998426</v>
      </c>
      <c r="X37" s="1374"/>
      <c r="Y37" s="1370">
        <f t="shared" si="3"/>
        <v>407.23927326828988</v>
      </c>
      <c r="Z37" s="1370">
        <f t="shared" si="4"/>
        <v>42.010815141197675</v>
      </c>
      <c r="AA37" s="1370"/>
      <c r="AB37" s="1370">
        <f t="shared" si="5"/>
        <v>38.79793005445719</v>
      </c>
      <c r="AC37" s="1371"/>
      <c r="AD37" s="1371">
        <f t="shared" si="6"/>
        <v>233.59016375306382</v>
      </c>
      <c r="AE37" s="1371">
        <f t="shared" si="7"/>
        <v>2425.437006094246</v>
      </c>
      <c r="AF37" s="1370">
        <f t="shared" si="8"/>
        <v>1052.8292401743392</v>
      </c>
      <c r="AG37" s="1377"/>
      <c r="AH37" s="1370"/>
      <c r="AI37" s="1493">
        <f t="shared" si="9"/>
        <v>4199.9044284855936</v>
      </c>
      <c r="AJ37" s="1414"/>
      <c r="AK37" s="1414"/>
      <c r="AL37" s="1414"/>
      <c r="AM37" s="1414"/>
      <c r="AN37" s="1494">
        <f t="shared" si="10"/>
        <v>0</v>
      </c>
      <c r="AO37" s="1373"/>
      <c r="AP37" s="1374">
        <f t="shared" si="11"/>
        <v>121.44497458346447</v>
      </c>
      <c r="AQ37" s="1365">
        <f t="shared" si="12"/>
        <v>1520.3509019293679</v>
      </c>
      <c r="AR37" s="1375">
        <f t="shared" si="13"/>
        <v>-333.22030499842549</v>
      </c>
      <c r="AS37" s="1368">
        <f t="shared" si="14"/>
        <v>49.586092715231786</v>
      </c>
      <c r="AT37" s="1376">
        <f t="shared" si="15"/>
        <v>6.4053731414456427</v>
      </c>
      <c r="AU37" s="467">
        <f t="shared" si="16"/>
        <v>2777.0400000000004</v>
      </c>
      <c r="AV37" s="736">
        <v>6.2</v>
      </c>
      <c r="AW37" s="736"/>
    </row>
    <row r="38" spans="1:49" s="124" customFormat="1" x14ac:dyDescent="0.25">
      <c r="A38" s="13">
        <v>31</v>
      </c>
      <c r="B38" s="573"/>
      <c r="C38" s="42" t="s">
        <v>242</v>
      </c>
      <c r="D38" s="13">
        <v>1955</v>
      </c>
      <c r="E38" s="36">
        <v>1</v>
      </c>
      <c r="F38" s="36">
        <v>2</v>
      </c>
      <c r="G38" s="36">
        <v>2</v>
      </c>
      <c r="H38" s="462">
        <v>86.1</v>
      </c>
      <c r="I38" s="1378"/>
      <c r="J38" s="1378"/>
      <c r="K38" s="1378">
        <v>82.62</v>
      </c>
      <c r="L38" s="1378">
        <v>96.39</v>
      </c>
      <c r="M38" s="1378">
        <v>0</v>
      </c>
      <c r="N38" s="1378">
        <v>0</v>
      </c>
      <c r="O38" s="1378">
        <v>294.48</v>
      </c>
      <c r="P38" s="1378">
        <v>343.56</v>
      </c>
      <c r="Q38" s="1700">
        <v>5109.18</v>
      </c>
      <c r="R38" s="1378">
        <v>5046.33</v>
      </c>
      <c r="S38" s="1365">
        <v>0</v>
      </c>
      <c r="T38" s="1366">
        <v>0</v>
      </c>
      <c r="U38" s="1367">
        <f t="shared" si="0"/>
        <v>5486.2800000000007</v>
      </c>
      <c r="V38" s="1367">
        <f t="shared" si="1"/>
        <v>5486.28</v>
      </c>
      <c r="W38" s="1492">
        <f t="shared" si="2"/>
        <v>6618.0315297416382</v>
      </c>
      <c r="X38" s="1374"/>
      <c r="Y38" s="1370">
        <f t="shared" si="3"/>
        <v>461.35922932104944</v>
      </c>
      <c r="Z38" s="1370">
        <f t="shared" si="4"/>
        <v>47.593831363909473</v>
      </c>
      <c r="AA38" s="1370"/>
      <c r="AB38" s="1370">
        <f t="shared" si="5"/>
        <v>43.953970759062685</v>
      </c>
      <c r="AC38" s="1371"/>
      <c r="AD38" s="1371">
        <f t="shared" si="6"/>
        <v>264.63306709393146</v>
      </c>
      <c r="AE38" s="1371">
        <f t="shared" si="7"/>
        <v>2747.7648187462441</v>
      </c>
      <c r="AF38" s="1370">
        <f t="shared" si="8"/>
        <v>1192.7447049869818</v>
      </c>
      <c r="AG38" s="1377"/>
      <c r="AH38" s="1370"/>
      <c r="AI38" s="1493">
        <f t="shared" si="9"/>
        <v>4758.0496222711799</v>
      </c>
      <c r="AJ38" s="1414"/>
      <c r="AK38" s="1414"/>
      <c r="AL38" s="1414"/>
      <c r="AM38" s="1414"/>
      <c r="AN38" s="1494">
        <f t="shared" si="10"/>
        <v>0</v>
      </c>
      <c r="AO38" s="1373"/>
      <c r="AP38" s="1374">
        <f t="shared" si="11"/>
        <v>137.58437252153013</v>
      </c>
      <c r="AQ38" s="1365">
        <f t="shared" si="12"/>
        <v>1722.3975349489285</v>
      </c>
      <c r="AR38" s="1375">
        <f t="shared" si="13"/>
        <v>-1131.7515297416376</v>
      </c>
      <c r="AS38" s="1368">
        <f t="shared" si="14"/>
        <v>99.999999999999986</v>
      </c>
      <c r="AT38" s="1376">
        <f t="shared" si="15"/>
        <v>6.4053731414456436</v>
      </c>
      <c r="AU38" s="467">
        <f t="shared" si="16"/>
        <v>0</v>
      </c>
      <c r="AV38" s="736">
        <v>5.31</v>
      </c>
      <c r="AW38" s="736"/>
    </row>
    <row r="39" spans="1:49" s="124" customFormat="1" x14ac:dyDescent="0.25">
      <c r="A39" s="13">
        <v>32</v>
      </c>
      <c r="B39" s="573"/>
      <c r="C39" s="42" t="s">
        <v>50</v>
      </c>
      <c r="D39" s="13">
        <v>1970</v>
      </c>
      <c r="E39" s="36">
        <v>2</v>
      </c>
      <c r="F39" s="36">
        <v>12</v>
      </c>
      <c r="G39" s="36">
        <v>30</v>
      </c>
      <c r="H39" s="121">
        <v>462.9</v>
      </c>
      <c r="I39" s="707"/>
      <c r="J39" s="707"/>
      <c r="K39" s="707">
        <v>413.76</v>
      </c>
      <c r="L39" s="707">
        <v>417.73</v>
      </c>
      <c r="M39" s="707">
        <v>0</v>
      </c>
      <c r="N39" s="707">
        <v>0</v>
      </c>
      <c r="O39" s="707">
        <v>1474.08</v>
      </c>
      <c r="P39" s="707">
        <v>1488.23</v>
      </c>
      <c r="Q39" s="707">
        <v>29092.560000000001</v>
      </c>
      <c r="R39" s="707">
        <v>22986.76</v>
      </c>
      <c r="S39" s="1365">
        <v>1528.03</v>
      </c>
      <c r="T39" s="1366">
        <v>1229.02</v>
      </c>
      <c r="U39" s="1367">
        <f t="shared" si="0"/>
        <v>32508.43</v>
      </c>
      <c r="V39" s="1367">
        <f t="shared" si="1"/>
        <v>26121.739999999998</v>
      </c>
      <c r="W39" s="1492">
        <f t="shared" si="2"/>
        <v>51195.444674900027</v>
      </c>
      <c r="X39" s="1374"/>
      <c r="Y39" s="1370">
        <f t="shared" si="3"/>
        <v>2480.4086788933078</v>
      </c>
      <c r="Z39" s="1370">
        <f t="shared" si="4"/>
        <v>255.87903064290006</v>
      </c>
      <c r="AA39" s="1370">
        <v>2202.06</v>
      </c>
      <c r="AB39" s="1370">
        <f t="shared" si="5"/>
        <v>236.31002397642411</v>
      </c>
      <c r="AC39" s="1371"/>
      <c r="AD39" s="1371">
        <f t="shared" si="6"/>
        <v>1422.748510543332</v>
      </c>
      <c r="AE39" s="1371">
        <f t="shared" si="7"/>
        <v>14772.82618580298</v>
      </c>
      <c r="AF39" s="1370">
        <f t="shared" si="8"/>
        <v>6412.5612536408116</v>
      </c>
      <c r="AG39" s="1377"/>
      <c r="AH39" s="1370">
        <f t="shared" ref="AH39:AH40" si="23">725943.78/25053.6*H39</f>
        <v>13412.817948797778</v>
      </c>
      <c r="AI39" s="1493">
        <f t="shared" si="9"/>
        <v>41195.611632297529</v>
      </c>
      <c r="AJ39" s="1414"/>
      <c r="AK39" s="1414"/>
      <c r="AL39" s="1414"/>
      <c r="AM39" s="1414"/>
      <c r="AN39" s="1494">
        <f t="shared" si="10"/>
        <v>0</v>
      </c>
      <c r="AO39" s="1373"/>
      <c r="AP39" s="1374">
        <f t="shared" si="11"/>
        <v>739.69577282481191</v>
      </c>
      <c r="AQ39" s="1365">
        <f t="shared" si="12"/>
        <v>9260.1372697776897</v>
      </c>
      <c r="AR39" s="1375">
        <f t="shared" si="13"/>
        <v>-18687.014674900027</v>
      </c>
      <c r="AS39" s="1368">
        <f t="shared" si="14"/>
        <v>80.353742090897654</v>
      </c>
      <c r="AT39" s="1376">
        <f t="shared" si="15"/>
        <v>9.2164334764347995</v>
      </c>
      <c r="AU39" s="467">
        <f t="shared" si="16"/>
        <v>6386.6900000000023</v>
      </c>
      <c r="AV39" s="736">
        <v>6.49</v>
      </c>
      <c r="AW39" s="736"/>
    </row>
    <row r="40" spans="1:49" s="124" customFormat="1" x14ac:dyDescent="0.25">
      <c r="A40" s="187">
        <v>33</v>
      </c>
      <c r="B40" s="576"/>
      <c r="C40" s="202" t="s">
        <v>51</v>
      </c>
      <c r="D40" s="187">
        <v>1971</v>
      </c>
      <c r="E40" s="187">
        <v>2</v>
      </c>
      <c r="F40" s="187">
        <v>11</v>
      </c>
      <c r="G40" s="187">
        <v>34</v>
      </c>
      <c r="H40" s="233">
        <v>464.6</v>
      </c>
      <c r="I40" s="1379"/>
      <c r="J40" s="1379"/>
      <c r="K40" s="1379">
        <v>437.54</v>
      </c>
      <c r="L40" s="1379">
        <v>457.62</v>
      </c>
      <c r="M40" s="1379">
        <v>0</v>
      </c>
      <c r="N40" s="1379">
        <v>0</v>
      </c>
      <c r="O40" s="1379">
        <v>1558.46</v>
      </c>
      <c r="P40" s="1379">
        <v>1470.63</v>
      </c>
      <c r="Q40" s="1379">
        <v>31553.63</v>
      </c>
      <c r="R40" s="1379">
        <v>24531.46</v>
      </c>
      <c r="S40" s="1380">
        <v>1527.43</v>
      </c>
      <c r="T40" s="1381">
        <v>1120.21</v>
      </c>
      <c r="U40" s="1367">
        <f t="shared" si="0"/>
        <v>35077.060000000005</v>
      </c>
      <c r="V40" s="1367">
        <f t="shared" si="1"/>
        <v>27579.919999999998</v>
      </c>
      <c r="W40" s="1492">
        <f t="shared" si="2"/>
        <v>54198.012853658583</v>
      </c>
      <c r="X40" s="1078">
        <v>2822.64</v>
      </c>
      <c r="Y40" s="1370">
        <f t="shared" si="3"/>
        <v>2489.5179784269408</v>
      </c>
      <c r="Z40" s="1370">
        <f t="shared" si="4"/>
        <v>256.81874624474267</v>
      </c>
      <c r="AA40" s="1382">
        <v>2202.06</v>
      </c>
      <c r="AB40" s="1370">
        <f t="shared" si="5"/>
        <v>237.17787241185277</v>
      </c>
      <c r="AC40" s="1371"/>
      <c r="AD40" s="1371">
        <f t="shared" si="6"/>
        <v>1427.9735536799139</v>
      </c>
      <c r="AE40" s="1371">
        <f t="shared" si="7"/>
        <v>14827.079381991931</v>
      </c>
      <c r="AF40" s="1370">
        <f t="shared" si="8"/>
        <v>6436.1113813815537</v>
      </c>
      <c r="AG40" s="1377"/>
      <c r="AH40" s="1370">
        <f t="shared" si="23"/>
        <v>13462.076515470833</v>
      </c>
      <c r="AI40" s="1493">
        <f t="shared" si="9"/>
        <v>44161.455429607769</v>
      </c>
      <c r="AJ40" s="1414"/>
      <c r="AK40" s="1414"/>
      <c r="AL40" s="1414"/>
      <c r="AM40" s="1414"/>
      <c r="AN40" s="1494">
        <f t="shared" si="10"/>
        <v>0</v>
      </c>
      <c r="AO40" s="1373"/>
      <c r="AP40" s="1374">
        <f t="shared" si="11"/>
        <v>742.41230515102097</v>
      </c>
      <c r="AQ40" s="1365">
        <f t="shared" si="12"/>
        <v>9294.1451188997944</v>
      </c>
      <c r="AR40" s="1375">
        <f t="shared" si="13"/>
        <v>-19120.952853658579</v>
      </c>
      <c r="AS40" s="1368">
        <f t="shared" si="14"/>
        <v>78.626657992431504</v>
      </c>
      <c r="AT40" s="1376">
        <f t="shared" si="15"/>
        <v>9.7212679103276258</v>
      </c>
      <c r="AU40" s="467">
        <f t="shared" si="16"/>
        <v>7497.1400000000067</v>
      </c>
      <c r="AV40" s="736">
        <v>6.49</v>
      </c>
      <c r="AW40" s="736"/>
    </row>
    <row r="41" spans="1:49" s="124" customFormat="1" x14ac:dyDescent="0.25">
      <c r="A41" s="7"/>
      <c r="B41" s="578"/>
      <c r="C41" s="457" t="s">
        <v>52</v>
      </c>
      <c r="D41" s="7"/>
      <c r="E41" s="7"/>
      <c r="F41" s="1737">
        <f>SUM(F9:F40)</f>
        <v>543</v>
      </c>
      <c r="G41" s="1737">
        <f>SUM(G9:G40)</f>
        <v>1407</v>
      </c>
      <c r="H41" s="1656">
        <f>SUM(H9:H40)</f>
        <v>26213.249999999989</v>
      </c>
      <c r="I41" s="1656">
        <f t="shared" ref="I41:J41" si="24">SUM(I8:I40)</f>
        <v>254472.75</v>
      </c>
      <c r="J41" s="1656">
        <f t="shared" si="24"/>
        <v>297380.45</v>
      </c>
      <c r="K41" s="1418">
        <f t="shared" ref="K41:AJ41" si="25">SUM(K8:K40)</f>
        <v>25010.99</v>
      </c>
      <c r="L41" s="1418">
        <f t="shared" si="25"/>
        <v>28695.37</v>
      </c>
      <c r="M41" s="1418">
        <f t="shared" si="25"/>
        <v>61711.81</v>
      </c>
      <c r="N41" s="1418">
        <f t="shared" si="25"/>
        <v>72106.98</v>
      </c>
      <c r="O41" s="1418">
        <f t="shared" si="25"/>
        <v>261364.65999999995</v>
      </c>
      <c r="P41" s="1418">
        <f t="shared" si="25"/>
        <v>300709.50799999997</v>
      </c>
      <c r="Q41" s="1418">
        <f t="shared" si="25"/>
        <v>3047182.2200000007</v>
      </c>
      <c r="R41" s="1418">
        <f t="shared" si="25"/>
        <v>2815759.6599999997</v>
      </c>
      <c r="S41" s="1418">
        <f>SUM(S9:S40)</f>
        <v>82790.589999999982</v>
      </c>
      <c r="T41" s="1418">
        <f>SUM(T9:T40)</f>
        <v>74220.630000000019</v>
      </c>
      <c r="U41" s="1418">
        <f t="shared" si="25"/>
        <v>3732533.02</v>
      </c>
      <c r="V41" s="1418">
        <f t="shared" si="25"/>
        <v>3588872.5980000002</v>
      </c>
      <c r="W41" s="1828">
        <f t="shared" si="25"/>
        <v>3528269.0600000005</v>
      </c>
      <c r="X41" s="1656">
        <f t="shared" si="25"/>
        <v>96387.82</v>
      </c>
      <c r="Y41" s="1656">
        <f t="shared" si="25"/>
        <v>140461.38</v>
      </c>
      <c r="Z41" s="1656">
        <f t="shared" si="25"/>
        <v>14490</v>
      </c>
      <c r="AA41" s="1656">
        <f t="shared" si="25"/>
        <v>73468.009999999995</v>
      </c>
      <c r="AB41" s="1656">
        <f t="shared" si="25"/>
        <v>13381.840000000002</v>
      </c>
      <c r="AC41" s="1656">
        <f t="shared" si="25"/>
        <v>16404.96</v>
      </c>
      <c r="AD41" s="1656">
        <f t="shared" si="25"/>
        <v>80567.859999999986</v>
      </c>
      <c r="AE41" s="1656">
        <f t="shared" si="25"/>
        <v>836560.34999999974</v>
      </c>
      <c r="AF41" s="1656">
        <f t="shared" si="25"/>
        <v>363132.58000000007</v>
      </c>
      <c r="AG41" s="1656">
        <f t="shared" si="25"/>
        <v>10800</v>
      </c>
      <c r="AH41" s="1656">
        <f t="shared" si="25"/>
        <v>725943.78000000014</v>
      </c>
      <c r="AI41" s="1828">
        <f t="shared" si="25"/>
        <v>2371598.58</v>
      </c>
      <c r="AJ41" s="1656">
        <f t="shared" si="25"/>
        <v>7406.4600000000009</v>
      </c>
      <c r="AK41" s="1688">
        <f t="shared" ref="AK41:AR41" si="26">SUM(AK9:AK40)</f>
        <v>6793.76</v>
      </c>
      <c r="AL41" s="1688">
        <f t="shared" si="26"/>
        <v>499271.18</v>
      </c>
      <c r="AM41" s="1688">
        <f t="shared" si="26"/>
        <v>0</v>
      </c>
      <c r="AN41" s="1827">
        <f t="shared" si="26"/>
        <v>513471.4</v>
      </c>
      <c r="AO41" s="1688">
        <f t="shared" si="26"/>
        <v>76925.320000000022</v>
      </c>
      <c r="AP41" s="1688">
        <f t="shared" si="26"/>
        <v>41887.729999999996</v>
      </c>
      <c r="AQ41" s="1688">
        <f t="shared" si="26"/>
        <v>524386.03</v>
      </c>
      <c r="AR41" s="1688">
        <f t="shared" si="26"/>
        <v>204263.95999999967</v>
      </c>
      <c r="AS41" s="1830">
        <f t="shared" si="14"/>
        <v>96.151127900805562</v>
      </c>
      <c r="AT41" s="1831">
        <f t="shared" si="15"/>
        <v>11.216557339004773</v>
      </c>
      <c r="AU41" s="1831">
        <f>SUM(AU9:AU40)</f>
        <v>143660.42200000005</v>
      </c>
      <c r="AV41" s="736"/>
      <c r="AW41" s="736"/>
    </row>
    <row r="42" spans="1:49" x14ac:dyDescent="0.25">
      <c r="K42" t="s">
        <v>180</v>
      </c>
      <c r="M42" t="s">
        <v>180</v>
      </c>
      <c r="O42" t="s">
        <v>180</v>
      </c>
      <c r="Q42" t="s">
        <v>180</v>
      </c>
      <c r="S42" t="s">
        <v>180</v>
      </c>
      <c r="W42" t="s">
        <v>180</v>
      </c>
      <c r="X42" s="1067">
        <f>X41+Y41+Z41</f>
        <v>251339.2</v>
      </c>
      <c r="AA42" t="s">
        <v>180</v>
      </c>
      <c r="AB42" t="s">
        <v>180</v>
      </c>
      <c r="AC42" t="s">
        <v>180</v>
      </c>
      <c r="AD42" t="s">
        <v>180</v>
      </c>
      <c r="AE42" t="s">
        <v>180</v>
      </c>
      <c r="AF42" t="s">
        <v>180</v>
      </c>
      <c r="AG42" s="1068"/>
      <c r="AH42" t="s">
        <v>180</v>
      </c>
      <c r="AI42" t="s">
        <v>180</v>
      </c>
      <c r="AN42" t="s">
        <v>180</v>
      </c>
      <c r="AO42" t="s">
        <v>180</v>
      </c>
      <c r="AP42" t="s">
        <v>180</v>
      </c>
      <c r="AQ42" t="s">
        <v>180</v>
      </c>
      <c r="AU42" s="250"/>
      <c r="AV42" s="250"/>
    </row>
    <row r="43" spans="1:49" x14ac:dyDescent="0.25">
      <c r="A43" s="9"/>
      <c r="B43" s="9"/>
      <c r="C43" s="295" t="s">
        <v>861</v>
      </c>
      <c r="D43" s="9"/>
      <c r="E43" s="9"/>
      <c r="F43" s="9"/>
      <c r="G43" s="9"/>
      <c r="H43" s="1829">
        <f>H10+H11+H12+H13+H15+H16+H17+H18+H19+H20+H21+H22+H23+H24+H25+H26+H31+H32+H34+H35+H39+H40</f>
        <v>25053.599999999995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412" t="s">
        <v>180</v>
      </c>
      <c r="Y43" s="9"/>
      <c r="Z43" s="9"/>
      <c r="AA43" s="9"/>
      <c r="AB43" s="9"/>
      <c r="AC43" s="9"/>
      <c r="AD43" s="9"/>
      <c r="AE43" s="9"/>
      <c r="AF43" s="9"/>
      <c r="AG43" s="1448"/>
      <c r="AH43" s="9"/>
      <c r="AI43" s="9"/>
      <c r="AJ43" s="351">
        <f>AJ41+AK41</f>
        <v>14200.220000000001</v>
      </c>
      <c r="AK43" s="9"/>
      <c r="AL43" s="1449">
        <f>AL41+AM41</f>
        <v>499271.18</v>
      </c>
      <c r="AM43" s="9"/>
      <c r="AN43" s="9"/>
      <c r="AO43" s="9"/>
      <c r="AP43" s="9"/>
      <c r="AQ43" s="9"/>
      <c r="AR43" s="9"/>
      <c r="AS43" s="9"/>
      <c r="AT43" s="9"/>
      <c r="AU43" s="9"/>
      <c r="AV43" s="86"/>
    </row>
    <row r="44" spans="1:49" x14ac:dyDescent="0.25">
      <c r="A44" s="9"/>
      <c r="B44" s="9"/>
      <c r="C44" s="295" t="s">
        <v>752</v>
      </c>
      <c r="D44" s="9"/>
      <c r="E44" s="9"/>
      <c r="F44" s="9"/>
      <c r="G44" s="9"/>
      <c r="H44" s="1829">
        <f>H15+H21+H22+H23+H24+H25+H26</f>
        <v>16716.88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412"/>
      <c r="Y44" s="9"/>
      <c r="Z44" s="9"/>
      <c r="AA44" s="9"/>
      <c r="AB44" s="9"/>
      <c r="AC44" s="9"/>
      <c r="AD44" s="9"/>
      <c r="AE44" s="9"/>
      <c r="AF44" s="9"/>
      <c r="AG44" s="1448"/>
      <c r="AH44" s="9"/>
      <c r="AI44" s="9"/>
      <c r="AJ44" s="351"/>
      <c r="AK44" s="9"/>
      <c r="AL44" s="1449"/>
      <c r="AM44" s="9"/>
      <c r="AN44" s="9"/>
      <c r="AO44" s="9"/>
      <c r="AP44" s="9"/>
      <c r="AQ44" s="9"/>
      <c r="AR44" s="9"/>
      <c r="AS44" s="9"/>
      <c r="AT44" s="9"/>
      <c r="AU44" s="9"/>
      <c r="AV44" s="86"/>
    </row>
    <row r="45" spans="1:49" x14ac:dyDescent="0.25">
      <c r="A45" s="9"/>
      <c r="B45" s="9"/>
      <c r="C45" s="295"/>
      <c r="D45" s="9"/>
      <c r="E45" s="9"/>
      <c r="F45" s="9"/>
      <c r="G45" s="9"/>
      <c r="H45" s="86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412"/>
      <c r="Y45" s="9"/>
      <c r="Z45" s="9"/>
      <c r="AA45" s="9"/>
      <c r="AB45" s="9"/>
      <c r="AC45" s="9"/>
      <c r="AD45" s="9"/>
      <c r="AE45" s="9"/>
      <c r="AF45" s="9"/>
      <c r="AG45" s="1448"/>
      <c r="AH45" s="9"/>
      <c r="AI45" s="9"/>
      <c r="AJ45" s="351"/>
      <c r="AK45" s="9"/>
      <c r="AL45" s="1449"/>
      <c r="AM45" s="9"/>
      <c r="AN45" s="9"/>
      <c r="AO45" s="9"/>
      <c r="AP45" s="9"/>
      <c r="AQ45" s="9"/>
      <c r="AR45" s="9"/>
      <c r="AS45" s="9"/>
      <c r="AT45" s="9"/>
      <c r="AU45" s="9"/>
      <c r="AV45" s="86"/>
    </row>
    <row r="46" spans="1:49" s="124" customFormat="1" ht="15" customHeight="1" x14ac:dyDescent="0.25">
      <c r="A46" s="1693"/>
      <c r="B46" s="1693"/>
      <c r="C46" s="1693"/>
      <c r="D46" s="1693"/>
      <c r="E46" s="1693"/>
      <c r="F46" s="1693"/>
      <c r="G46" s="1693"/>
      <c r="H46" s="1693"/>
      <c r="I46" s="1693"/>
      <c r="J46" s="1693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296"/>
      <c r="AN46" s="296"/>
      <c r="AO46" s="296"/>
      <c r="AP46" s="296"/>
      <c r="AQ46" s="296"/>
      <c r="AR46" s="296"/>
      <c r="AS46" s="296"/>
      <c r="AT46" s="223"/>
      <c r="AU46" s="223"/>
      <c r="AV46" s="35"/>
    </row>
    <row r="47" spans="1:49" s="124" customFormat="1" ht="15" customHeight="1" x14ac:dyDescent="0.25">
      <c r="A47" s="1693"/>
      <c r="B47" s="1693"/>
      <c r="C47" s="1693"/>
      <c r="D47" s="1693"/>
      <c r="E47" s="1693"/>
      <c r="F47" s="1693"/>
      <c r="G47" s="1693"/>
      <c r="H47" s="1693"/>
      <c r="I47" s="1693"/>
      <c r="J47" s="1693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296"/>
      <c r="AN47" s="296"/>
      <c r="AO47" s="296"/>
      <c r="AP47" s="296"/>
      <c r="AQ47" s="296"/>
      <c r="AR47" s="296"/>
      <c r="AS47" s="296"/>
      <c r="AT47" s="223"/>
      <c r="AU47" s="223"/>
      <c r="AV47" s="35"/>
    </row>
    <row r="48" spans="1:49" s="124" customFormat="1" ht="15" customHeight="1" x14ac:dyDescent="0.25">
      <c r="A48" s="296"/>
      <c r="B48" s="296"/>
      <c r="C48" s="222" t="s">
        <v>808</v>
      </c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11"/>
      <c r="O48" s="11"/>
      <c r="P48" s="11"/>
      <c r="Q48"/>
      <c r="R48"/>
      <c r="S48"/>
      <c r="T48"/>
      <c r="U48"/>
      <c r="V48" s="223"/>
      <c r="W48" s="223"/>
      <c r="X48" s="223"/>
      <c r="Y48" s="223"/>
      <c r="Z48" s="223"/>
      <c r="AA48" s="223"/>
      <c r="AB48" s="223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296"/>
      <c r="AN48" s="296"/>
      <c r="AO48" s="296"/>
      <c r="AP48" s="296"/>
      <c r="AQ48" s="296"/>
      <c r="AR48" s="296"/>
      <c r="AS48" s="296"/>
      <c r="AT48" s="223"/>
      <c r="AU48" s="223"/>
      <c r="AV48" s="35"/>
    </row>
    <row r="49" spans="1:48" s="124" customFormat="1" ht="15" customHeight="1" x14ac:dyDescent="0.25">
      <c r="A49" s="296"/>
      <c r="B49" s="296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/>
      <c r="R49"/>
      <c r="S49"/>
      <c r="T49"/>
      <c r="U49"/>
      <c r="V49" s="223"/>
      <c r="W49" s="223"/>
      <c r="X49" s="223"/>
      <c r="Y49" s="223"/>
      <c r="Z49" s="223"/>
      <c r="AA49" s="223"/>
      <c r="AB49" s="223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6"/>
      <c r="AS49" s="296"/>
      <c r="AT49" s="223"/>
      <c r="AU49" s="223"/>
      <c r="AV49" s="35"/>
    </row>
    <row r="50" spans="1:48" s="124" customFormat="1" ht="15" customHeight="1" x14ac:dyDescent="0.25">
      <c r="A50" s="1452"/>
      <c r="B50" s="296"/>
      <c r="C50" s="2278" t="s">
        <v>184</v>
      </c>
      <c r="D50" s="2017" t="s">
        <v>54</v>
      </c>
      <c r="E50" s="2017" t="s">
        <v>55</v>
      </c>
      <c r="F50" s="2017" t="s">
        <v>56</v>
      </c>
      <c r="G50" s="2017" t="s">
        <v>57</v>
      </c>
      <c r="H50" s="2017" t="s">
        <v>6</v>
      </c>
      <c r="I50" s="1832"/>
      <c r="J50" s="1832"/>
      <c r="K50" s="1989" t="s">
        <v>284</v>
      </c>
      <c r="L50" s="1990"/>
      <c r="M50" s="2041" t="s">
        <v>457</v>
      </c>
      <c r="N50" s="2147" t="s">
        <v>921</v>
      </c>
      <c r="O50" s="2179" t="s">
        <v>375</v>
      </c>
      <c r="P50" s="2179" t="s">
        <v>606</v>
      </c>
      <c r="Q50" s="2179" t="s">
        <v>314</v>
      </c>
      <c r="R50" s="2179" t="s">
        <v>860</v>
      </c>
      <c r="S50" s="2041" t="s">
        <v>372</v>
      </c>
      <c r="T50" s="2274" t="s">
        <v>616</v>
      </c>
      <c r="U50" s="2041" t="s">
        <v>890</v>
      </c>
      <c r="V50" s="2134" t="s">
        <v>904</v>
      </c>
      <c r="W50" s="2043" t="s">
        <v>922</v>
      </c>
      <c r="X50" s="2043" t="s">
        <v>923</v>
      </c>
      <c r="Y50" s="2045" t="s">
        <v>906</v>
      </c>
      <c r="Z50" s="2045" t="s">
        <v>924</v>
      </c>
      <c r="AA50" s="2043" t="s">
        <v>925</v>
      </c>
      <c r="AB50" s="2041" t="s">
        <v>735</v>
      </c>
      <c r="AC50" s="2134" t="s">
        <v>724</v>
      </c>
      <c r="AD50" s="2043" t="s">
        <v>846</v>
      </c>
      <c r="AE50" s="2045" t="s">
        <v>716</v>
      </c>
      <c r="AF50" s="2284"/>
      <c r="AG50" s="296"/>
      <c r="AH50" s="296"/>
      <c r="AI50" s="296"/>
      <c r="AJ50" s="296"/>
      <c r="AK50" s="296"/>
      <c r="AL50" s="296"/>
      <c r="AM50" s="296"/>
      <c r="AN50" s="296"/>
      <c r="AO50" s="296"/>
      <c r="AP50" s="296"/>
      <c r="AQ50" s="296"/>
      <c r="AR50" s="296"/>
      <c r="AS50" s="296"/>
      <c r="AT50" s="223"/>
      <c r="AU50" s="223"/>
      <c r="AV50" s="35"/>
    </row>
    <row r="51" spans="1:48" s="124" customFormat="1" ht="63.75" customHeight="1" x14ac:dyDescent="0.25">
      <c r="A51" s="1452"/>
      <c r="B51" s="296"/>
      <c r="C51" s="2278"/>
      <c r="D51" s="2017"/>
      <c r="E51" s="2017"/>
      <c r="F51" s="2017"/>
      <c r="G51" s="2017"/>
      <c r="H51" s="2017"/>
      <c r="I51" s="1833"/>
      <c r="J51" s="1833"/>
      <c r="K51" s="150" t="s">
        <v>15</v>
      </c>
      <c r="L51" s="1679" t="s">
        <v>16</v>
      </c>
      <c r="M51" s="2042"/>
      <c r="N51" s="2147"/>
      <c r="O51" s="2180"/>
      <c r="P51" s="2180"/>
      <c r="Q51" s="2180"/>
      <c r="R51" s="2180"/>
      <c r="S51" s="2042"/>
      <c r="T51" s="2274"/>
      <c r="U51" s="2042"/>
      <c r="V51" s="2135"/>
      <c r="W51" s="2044"/>
      <c r="X51" s="2044"/>
      <c r="Y51" s="2046"/>
      <c r="Z51" s="2046"/>
      <c r="AA51" s="2044"/>
      <c r="AB51" s="2042"/>
      <c r="AC51" s="2135"/>
      <c r="AD51" s="2044"/>
      <c r="AE51" s="2046"/>
      <c r="AF51" s="2284"/>
      <c r="AG51" s="296"/>
      <c r="AH51" s="296"/>
      <c r="AI51" s="296"/>
      <c r="AJ51" s="296"/>
      <c r="AK51" s="296"/>
      <c r="AL51" s="296"/>
      <c r="AM51" s="296"/>
      <c r="AN51" s="296"/>
      <c r="AO51" s="296"/>
      <c r="AP51" s="296"/>
      <c r="AQ51" s="296"/>
      <c r="AR51" s="296"/>
      <c r="AS51" s="296"/>
      <c r="AT51" s="223"/>
      <c r="AU51" s="223"/>
      <c r="AV51" s="35"/>
    </row>
    <row r="52" spans="1:48" s="124" customFormat="1" ht="15" customHeight="1" x14ac:dyDescent="0.25">
      <c r="A52" s="1853">
        <v>1</v>
      </c>
      <c r="B52" s="296"/>
      <c r="C52" s="330" t="s">
        <v>306</v>
      </c>
      <c r="D52" s="119">
        <v>1962</v>
      </c>
      <c r="E52" s="119">
        <v>1</v>
      </c>
      <c r="F52" s="119">
        <v>6</v>
      </c>
      <c r="G52" s="119">
        <v>11</v>
      </c>
      <c r="H52" s="264">
        <v>288.2</v>
      </c>
      <c r="I52" s="1834"/>
      <c r="J52" s="1834"/>
      <c r="K52" s="592">
        <v>6916.8</v>
      </c>
      <c r="L52" s="592">
        <v>6524.53</v>
      </c>
      <c r="M52" s="1004">
        <f>N52+O52+P52+Q52+R52+S52+T52+U52+V52+W52+X52+Y52+Z52+AA52</f>
        <v>0</v>
      </c>
      <c r="N52" s="1841"/>
      <c r="O52" s="1842"/>
      <c r="P52" s="1842"/>
      <c r="Q52" s="1694"/>
      <c r="R52" s="1695"/>
      <c r="S52" s="1696"/>
      <c r="T52" s="1073"/>
      <c r="U52" s="1072"/>
      <c r="V52" s="1521"/>
      <c r="W52" s="1521"/>
      <c r="X52" s="1521"/>
      <c r="Y52" s="1521"/>
      <c r="Z52" s="467"/>
      <c r="AA52" s="467"/>
      <c r="AB52" s="467">
        <f>K52-M52</f>
        <v>6916.8</v>
      </c>
      <c r="AC52" s="1871">
        <f>L52/K52*100</f>
        <v>94.328735831598422</v>
      </c>
      <c r="AD52" s="1871">
        <f>K52-L52</f>
        <v>392.27000000000044</v>
      </c>
      <c r="AE52" s="1871">
        <v>2</v>
      </c>
      <c r="AF52" s="1452"/>
      <c r="AG52" s="296"/>
      <c r="AH52" s="296"/>
      <c r="AI52" s="296"/>
      <c r="AJ52" s="296"/>
      <c r="AK52" s="296"/>
      <c r="AL52" s="296"/>
      <c r="AM52" s="296"/>
      <c r="AN52" s="296"/>
      <c r="AO52" s="296"/>
      <c r="AP52" s="296"/>
      <c r="AQ52" s="296"/>
      <c r="AR52" s="296"/>
      <c r="AS52" s="296"/>
      <c r="AT52" s="223"/>
      <c r="AU52" s="223"/>
      <c r="AV52" s="35"/>
    </row>
    <row r="53" spans="1:48" s="124" customFormat="1" ht="15" customHeight="1" x14ac:dyDescent="0.25">
      <c r="A53" s="1853">
        <v>2</v>
      </c>
      <c r="B53" s="296"/>
      <c r="C53" s="330" t="s">
        <v>24</v>
      </c>
      <c r="D53" s="112">
        <v>1966</v>
      </c>
      <c r="E53" s="112">
        <v>2</v>
      </c>
      <c r="F53" s="112">
        <v>16</v>
      </c>
      <c r="G53" s="30">
        <v>34</v>
      </c>
      <c r="H53" s="289">
        <v>627.76</v>
      </c>
      <c r="I53" s="1835"/>
      <c r="J53" s="1835"/>
      <c r="K53" s="1697">
        <v>25611.96</v>
      </c>
      <c r="L53" s="1697">
        <v>22172.63</v>
      </c>
      <c r="M53" s="1004">
        <f t="shared" ref="M53:M76" si="27">N53+O53+P53+Q53+R53+S53+T53+U53+V53+W53+X53+Y53+Z53+AA53</f>
        <v>6392.67</v>
      </c>
      <c r="N53" s="1843">
        <v>4399.83</v>
      </c>
      <c r="O53" s="1844"/>
      <c r="P53" s="1844"/>
      <c r="Q53" s="1694"/>
      <c r="R53" s="1076"/>
      <c r="S53" s="1696"/>
      <c r="T53" s="1074"/>
      <c r="U53" s="1072"/>
      <c r="V53" s="1521"/>
      <c r="W53" s="1521"/>
      <c r="X53" s="1521"/>
      <c r="Y53" s="1521">
        <v>1992.84</v>
      </c>
      <c r="Z53" s="467"/>
      <c r="AA53" s="467"/>
      <c r="AB53" s="467">
        <f t="shared" ref="AB53:AB76" si="28">K53-M53</f>
        <v>19219.29</v>
      </c>
      <c r="AC53" s="1871">
        <f t="shared" ref="AC53:AC77" si="29">L53/K53*100</f>
        <v>86.571390865829883</v>
      </c>
      <c r="AD53" s="1871">
        <f t="shared" ref="AD53:AD76" si="30">K53-L53</f>
        <v>3439.3299999999981</v>
      </c>
      <c r="AE53" s="1871">
        <v>3.4</v>
      </c>
      <c r="AF53" s="1452"/>
      <c r="AG53" s="296"/>
      <c r="AH53" s="296"/>
      <c r="AI53" s="296"/>
      <c r="AJ53" s="296"/>
      <c r="AK53" s="296"/>
      <c r="AL53" s="296"/>
      <c r="AM53" s="296"/>
      <c r="AN53" s="296"/>
      <c r="AO53" s="296"/>
      <c r="AP53" s="296"/>
      <c r="AQ53" s="296"/>
      <c r="AR53" s="296"/>
      <c r="AS53" s="296"/>
      <c r="AT53" s="223"/>
      <c r="AU53" s="223"/>
      <c r="AV53" s="35"/>
    </row>
    <row r="54" spans="1:48" s="124" customFormat="1" ht="15" customHeight="1" x14ac:dyDescent="0.25">
      <c r="A54" s="1853">
        <v>3</v>
      </c>
      <c r="B54" s="296"/>
      <c r="C54" s="332" t="s">
        <v>25</v>
      </c>
      <c r="D54" s="13">
        <v>1966</v>
      </c>
      <c r="E54" s="13">
        <v>2</v>
      </c>
      <c r="F54" s="13">
        <v>16</v>
      </c>
      <c r="G54" s="177">
        <v>35</v>
      </c>
      <c r="H54" s="290">
        <v>626.47</v>
      </c>
      <c r="I54" s="1836"/>
      <c r="J54" s="1836"/>
      <c r="K54" s="677">
        <v>24432.720000000001</v>
      </c>
      <c r="L54" s="677">
        <v>24773.55</v>
      </c>
      <c r="M54" s="1004">
        <f t="shared" si="27"/>
        <v>0</v>
      </c>
      <c r="N54" s="1843"/>
      <c r="O54" s="1844"/>
      <c r="P54" s="1844"/>
      <c r="Q54" s="1694"/>
      <c r="R54" s="1076"/>
      <c r="S54" s="1696"/>
      <c r="T54" s="1074"/>
      <c r="U54" s="1072"/>
      <c r="V54" s="1521"/>
      <c r="W54" s="1521"/>
      <c r="X54" s="1521"/>
      <c r="Y54" s="1852"/>
      <c r="Z54" s="391"/>
      <c r="AA54" s="467"/>
      <c r="AB54" s="467">
        <f t="shared" si="28"/>
        <v>24432.720000000001</v>
      </c>
      <c r="AC54" s="1871">
        <f t="shared" si="29"/>
        <v>101.39497362553165</v>
      </c>
      <c r="AD54" s="1871">
        <f t="shared" si="30"/>
        <v>-340.82999999999811</v>
      </c>
      <c r="AE54" s="1871">
        <v>3.25</v>
      </c>
      <c r="AF54" s="1452"/>
      <c r="AG54" s="296"/>
      <c r="AH54" s="296"/>
      <c r="AI54" s="296"/>
      <c r="AJ54" s="296"/>
      <c r="AK54" s="296"/>
      <c r="AL54" s="296"/>
      <c r="AM54" s="296"/>
      <c r="AN54" s="296"/>
      <c r="AO54" s="296"/>
      <c r="AP54" s="296"/>
      <c r="AQ54" s="296"/>
      <c r="AR54" s="296"/>
      <c r="AS54" s="296"/>
      <c r="AT54" s="223"/>
      <c r="AU54" s="223"/>
      <c r="AV54" s="35"/>
    </row>
    <row r="55" spans="1:48" s="124" customFormat="1" ht="15" customHeight="1" x14ac:dyDescent="0.25">
      <c r="A55" s="1853">
        <v>4</v>
      </c>
      <c r="B55" s="296"/>
      <c r="C55" s="332" t="s">
        <v>26</v>
      </c>
      <c r="D55" s="13">
        <v>1961</v>
      </c>
      <c r="E55" s="13">
        <v>2</v>
      </c>
      <c r="F55" s="13">
        <v>12</v>
      </c>
      <c r="G55" s="30">
        <v>39</v>
      </c>
      <c r="H55" s="290">
        <v>456.5</v>
      </c>
      <c r="I55" s="1836"/>
      <c r="J55" s="1836"/>
      <c r="K55" s="677">
        <v>19227.84</v>
      </c>
      <c r="L55" s="677">
        <v>18922.080000000002</v>
      </c>
      <c r="M55" s="1004">
        <f t="shared" si="27"/>
        <v>69503.740000000005</v>
      </c>
      <c r="N55" s="1843"/>
      <c r="O55" s="1844">
        <v>64249.85</v>
      </c>
      <c r="P55" s="1844">
        <v>3000</v>
      </c>
      <c r="Q55" s="1694"/>
      <c r="R55" s="1076"/>
      <c r="S55" s="1696"/>
      <c r="T55" s="1074"/>
      <c r="U55" s="1072"/>
      <c r="V55" s="1521"/>
      <c r="W55" s="1521"/>
      <c r="X55" s="1521">
        <v>2253.89</v>
      </c>
      <c r="Y55" s="1852"/>
      <c r="Z55" s="391"/>
      <c r="AA55" s="467"/>
      <c r="AB55" s="467">
        <f t="shared" si="28"/>
        <v>-50275.900000000009</v>
      </c>
      <c r="AC55" s="1871">
        <f t="shared" si="29"/>
        <v>98.409805781616669</v>
      </c>
      <c r="AD55" s="1871">
        <f t="shared" si="30"/>
        <v>305.7599999999984</v>
      </c>
      <c r="AE55" s="1871">
        <v>3.51</v>
      </c>
      <c r="AF55" s="1452"/>
      <c r="AG55" s="296"/>
      <c r="AH55" s="296"/>
      <c r="AI55" s="296"/>
      <c r="AJ55" s="296"/>
      <c r="AK55" s="296"/>
      <c r="AL55" s="296"/>
      <c r="AM55" s="296"/>
      <c r="AN55" s="296"/>
      <c r="AO55" s="296"/>
      <c r="AP55" s="296"/>
      <c r="AQ55" s="296"/>
      <c r="AR55" s="296"/>
      <c r="AS55" s="296"/>
      <c r="AT55" s="223"/>
      <c r="AU55" s="223"/>
      <c r="AV55" s="35"/>
    </row>
    <row r="56" spans="1:48" s="124" customFormat="1" ht="15" customHeight="1" x14ac:dyDescent="0.25">
      <c r="A56" s="1853">
        <v>5</v>
      </c>
      <c r="B56" s="296"/>
      <c r="C56" s="332" t="s">
        <v>27</v>
      </c>
      <c r="D56" s="13">
        <v>1961</v>
      </c>
      <c r="E56" s="13">
        <v>2</v>
      </c>
      <c r="F56" s="13">
        <v>12</v>
      </c>
      <c r="G56" s="177">
        <v>35</v>
      </c>
      <c r="H56" s="290">
        <v>459.7</v>
      </c>
      <c r="I56" s="1836"/>
      <c r="J56" s="1836"/>
      <c r="K56" s="677">
        <v>18369.72</v>
      </c>
      <c r="L56" s="677">
        <v>17350.38</v>
      </c>
      <c r="M56" s="1004">
        <f t="shared" si="27"/>
        <v>69308.7</v>
      </c>
      <c r="N56" s="1843"/>
      <c r="O56" s="1844">
        <v>67054.81</v>
      </c>
      <c r="P56" s="1844"/>
      <c r="Q56" s="1694"/>
      <c r="R56" s="1076"/>
      <c r="S56" s="1696"/>
      <c r="T56" s="1074"/>
      <c r="U56" s="1072"/>
      <c r="V56" s="1521"/>
      <c r="W56" s="1521"/>
      <c r="X56" s="1521">
        <v>2253.89</v>
      </c>
      <c r="Y56" s="1852"/>
      <c r="Z56" s="391"/>
      <c r="AA56" s="467"/>
      <c r="AB56" s="467">
        <f t="shared" si="28"/>
        <v>-50938.979999999996</v>
      </c>
      <c r="AC56" s="1871">
        <f t="shared" si="29"/>
        <v>94.450976933780154</v>
      </c>
      <c r="AD56" s="1871">
        <f t="shared" si="30"/>
        <v>1019.3400000000001</v>
      </c>
      <c r="AE56" s="1871">
        <v>3.33</v>
      </c>
      <c r="AF56" s="1452"/>
      <c r="AG56" s="296"/>
      <c r="AH56" s="296"/>
      <c r="AI56" s="296"/>
      <c r="AJ56" s="296"/>
      <c r="AK56" s="296"/>
      <c r="AL56" s="296"/>
      <c r="AM56" s="296"/>
      <c r="AN56" s="296"/>
      <c r="AO56" s="296"/>
      <c r="AP56" s="296"/>
      <c r="AQ56" s="296"/>
      <c r="AR56" s="296"/>
      <c r="AS56" s="296"/>
      <c r="AT56" s="223"/>
      <c r="AU56" s="223"/>
      <c r="AV56" s="35"/>
    </row>
    <row r="57" spans="1:48" s="124" customFormat="1" ht="15" customHeight="1" x14ac:dyDescent="0.25">
      <c r="A57" s="1853">
        <v>6</v>
      </c>
      <c r="B57" s="296"/>
      <c r="C57" s="332" t="s">
        <v>28</v>
      </c>
      <c r="D57" s="13">
        <v>1960</v>
      </c>
      <c r="E57" s="13">
        <v>1</v>
      </c>
      <c r="F57" s="13">
        <v>6</v>
      </c>
      <c r="G57" s="30">
        <v>10</v>
      </c>
      <c r="H57" s="290">
        <v>129.56</v>
      </c>
      <c r="I57" s="1836"/>
      <c r="J57" s="1836"/>
      <c r="K57" s="677">
        <v>335.64</v>
      </c>
      <c r="L57" s="677">
        <v>276.27</v>
      </c>
      <c r="M57" s="1004">
        <f t="shared" si="27"/>
        <v>0</v>
      </c>
      <c r="N57" s="1843"/>
      <c r="O57" s="1844"/>
      <c r="P57" s="1844"/>
      <c r="Q57" s="1694"/>
      <c r="R57" s="1076"/>
      <c r="S57" s="1696"/>
      <c r="T57" s="1074"/>
      <c r="U57" s="1072"/>
      <c r="V57" s="1521"/>
      <c r="W57" s="1521"/>
      <c r="X57" s="1521"/>
      <c r="Y57" s="1852"/>
      <c r="Z57" s="391"/>
      <c r="AA57" s="467"/>
      <c r="AB57" s="467">
        <f t="shared" si="28"/>
        <v>335.64</v>
      </c>
      <c r="AC57" s="1871">
        <f t="shared" si="29"/>
        <v>82.31140507686807</v>
      </c>
      <c r="AD57" s="1871">
        <f t="shared" si="30"/>
        <v>59.370000000000005</v>
      </c>
      <c r="AE57" s="1871">
        <v>0.26</v>
      </c>
      <c r="AF57" s="1452"/>
      <c r="AG57" s="296"/>
      <c r="AH57" s="296"/>
      <c r="AI57" s="296"/>
      <c r="AJ57" s="296"/>
      <c r="AK57" s="296"/>
      <c r="AL57" s="296"/>
      <c r="AM57" s="296"/>
      <c r="AN57" s="296"/>
      <c r="AO57" s="296"/>
      <c r="AP57" s="296"/>
      <c r="AQ57" s="296"/>
      <c r="AR57" s="296"/>
      <c r="AS57" s="296"/>
      <c r="AT57" s="223"/>
      <c r="AU57" s="223"/>
      <c r="AV57" s="35"/>
    </row>
    <row r="58" spans="1:48" s="124" customFormat="1" ht="15" customHeight="1" x14ac:dyDescent="0.25">
      <c r="A58" s="1853">
        <v>7</v>
      </c>
      <c r="B58" s="296"/>
      <c r="C58" s="333" t="s">
        <v>29</v>
      </c>
      <c r="D58" s="36">
        <v>1985</v>
      </c>
      <c r="E58" s="36">
        <v>4</v>
      </c>
      <c r="F58" s="36">
        <v>48</v>
      </c>
      <c r="G58" s="225">
        <v>106</v>
      </c>
      <c r="H58" s="293">
        <v>2625.8</v>
      </c>
      <c r="I58" s="1836"/>
      <c r="J58" s="1836"/>
      <c r="K58" s="677">
        <v>86336.52</v>
      </c>
      <c r="L58" s="677">
        <v>83909.46</v>
      </c>
      <c r="M58" s="1004">
        <f t="shared" si="27"/>
        <v>40897.99</v>
      </c>
      <c r="N58" s="1843"/>
      <c r="O58" s="1844"/>
      <c r="P58" s="1844"/>
      <c r="Q58" s="1694">
        <v>11643</v>
      </c>
      <c r="R58" s="1374"/>
      <c r="S58" s="1696">
        <v>27693.75</v>
      </c>
      <c r="T58" s="1377"/>
      <c r="U58" s="1072">
        <v>1258.3800000000001</v>
      </c>
      <c r="V58" s="1521"/>
      <c r="W58" s="1521"/>
      <c r="X58" s="1521">
        <v>302.86</v>
      </c>
      <c r="Y58" s="1852"/>
      <c r="Z58" s="391"/>
      <c r="AA58" s="467"/>
      <c r="AB58" s="467">
        <f t="shared" si="28"/>
        <v>45438.530000000006</v>
      </c>
      <c r="AC58" s="1871">
        <f t="shared" si="29"/>
        <v>97.18883735411157</v>
      </c>
      <c r="AD58" s="1871">
        <f t="shared" si="30"/>
        <v>2427.0599999999977</v>
      </c>
      <c r="AE58" s="1871">
        <v>2.74</v>
      </c>
      <c r="AF58" s="1452"/>
      <c r="AG58" s="296"/>
      <c r="AH58" s="296"/>
      <c r="AI58" s="296"/>
      <c r="AJ58" s="296"/>
      <c r="AK58" s="296"/>
      <c r="AL58" s="296"/>
      <c r="AM58" s="296"/>
      <c r="AN58" s="296"/>
      <c r="AO58" s="296"/>
      <c r="AP58" s="296"/>
      <c r="AQ58" s="296"/>
      <c r="AR58" s="296"/>
      <c r="AS58" s="296"/>
      <c r="AT58" s="223"/>
      <c r="AU58" s="223"/>
      <c r="AV58" s="35"/>
    </row>
    <row r="59" spans="1:48" s="124" customFormat="1" ht="15" customHeight="1" x14ac:dyDescent="0.25">
      <c r="A59" s="1853">
        <v>8</v>
      </c>
      <c r="B59" s="296"/>
      <c r="C59" s="332" t="s">
        <v>30</v>
      </c>
      <c r="D59" s="13">
        <v>1968</v>
      </c>
      <c r="E59" s="13">
        <v>2</v>
      </c>
      <c r="F59" s="13">
        <v>22</v>
      </c>
      <c r="G59" s="30">
        <v>60</v>
      </c>
      <c r="H59" s="290">
        <v>857.42</v>
      </c>
      <c r="I59" s="1836"/>
      <c r="J59" s="1836"/>
      <c r="K59" s="677">
        <v>36629.879999999997</v>
      </c>
      <c r="L59" s="677">
        <v>36937.599999999999</v>
      </c>
      <c r="M59" s="1004">
        <f t="shared" si="27"/>
        <v>47496.5</v>
      </c>
      <c r="N59" s="1843"/>
      <c r="O59" s="1844">
        <v>41813</v>
      </c>
      <c r="P59" s="1844">
        <v>3000</v>
      </c>
      <c r="Q59" s="1694"/>
      <c r="R59" s="1076"/>
      <c r="S59" s="1696"/>
      <c r="T59" s="1074"/>
      <c r="U59" s="1072">
        <v>2341.5</v>
      </c>
      <c r="V59" s="1521"/>
      <c r="W59" s="1521"/>
      <c r="X59" s="1521">
        <v>342</v>
      </c>
      <c r="Y59" s="1852"/>
      <c r="Z59" s="391"/>
      <c r="AA59" s="467"/>
      <c r="AB59" s="467">
        <f t="shared" si="28"/>
        <v>-10866.620000000003</v>
      </c>
      <c r="AC59" s="1871">
        <f t="shared" si="29"/>
        <v>100.84007919217864</v>
      </c>
      <c r="AD59" s="1871">
        <f t="shared" si="30"/>
        <v>-307.72000000000116</v>
      </c>
      <c r="AE59" s="1871">
        <v>3.56</v>
      </c>
      <c r="AF59" s="1452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23"/>
      <c r="AU59" s="223"/>
      <c r="AV59" s="35"/>
    </row>
    <row r="60" spans="1:48" s="124" customFormat="1" ht="15" customHeight="1" x14ac:dyDescent="0.25">
      <c r="A60" s="1853">
        <v>9</v>
      </c>
      <c r="B60" s="296"/>
      <c r="C60" s="333" t="s">
        <v>31</v>
      </c>
      <c r="D60" s="36">
        <v>1969</v>
      </c>
      <c r="E60" s="36">
        <v>2</v>
      </c>
      <c r="F60" s="36">
        <v>22</v>
      </c>
      <c r="G60" s="225">
        <v>55</v>
      </c>
      <c r="H60" s="293">
        <v>805.1</v>
      </c>
      <c r="I60" s="1836"/>
      <c r="J60" s="1836"/>
      <c r="K60" s="677">
        <v>36795.269999999997</v>
      </c>
      <c r="L60" s="677">
        <v>35038.42</v>
      </c>
      <c r="M60" s="1004">
        <f t="shared" si="27"/>
        <v>56603.98</v>
      </c>
      <c r="N60" s="1843"/>
      <c r="O60" s="1844">
        <v>50961.91</v>
      </c>
      <c r="P60" s="1844">
        <v>3000</v>
      </c>
      <c r="Q60" s="1694"/>
      <c r="R60" s="1374"/>
      <c r="S60" s="1696"/>
      <c r="T60" s="1377"/>
      <c r="U60" s="1072">
        <v>2642.07</v>
      </c>
      <c r="V60" s="1521"/>
      <c r="W60" s="1521"/>
      <c r="X60" s="1521"/>
      <c r="Y60" s="1852"/>
      <c r="Z60" s="391"/>
      <c r="AA60" s="467"/>
      <c r="AB60" s="467">
        <f t="shared" si="28"/>
        <v>-19808.710000000006</v>
      </c>
      <c r="AC60" s="1871">
        <f t="shared" si="29"/>
        <v>95.225337387115246</v>
      </c>
      <c r="AD60" s="1871">
        <f t="shared" si="30"/>
        <v>1756.8499999999985</v>
      </c>
      <c r="AE60" s="1871">
        <v>3.66</v>
      </c>
      <c r="AF60" s="1452"/>
      <c r="AG60" s="296"/>
      <c r="AH60" s="296"/>
      <c r="AI60" s="296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23"/>
      <c r="AU60" s="223"/>
      <c r="AV60" s="35"/>
    </row>
    <row r="61" spans="1:48" s="124" customFormat="1" ht="15" customHeight="1" x14ac:dyDescent="0.25">
      <c r="A61" s="1853">
        <v>10</v>
      </c>
      <c r="B61" s="296"/>
      <c r="C61" s="332" t="s">
        <v>32</v>
      </c>
      <c r="D61" s="13">
        <v>1963</v>
      </c>
      <c r="E61" s="13">
        <v>2</v>
      </c>
      <c r="F61" s="13">
        <v>16</v>
      </c>
      <c r="G61" s="30">
        <v>25</v>
      </c>
      <c r="H61" s="290">
        <v>636.21</v>
      </c>
      <c r="I61" s="1836"/>
      <c r="J61" s="1836"/>
      <c r="K61" s="677">
        <v>26647.68</v>
      </c>
      <c r="L61" s="677">
        <v>27044.63</v>
      </c>
      <c r="M61" s="1004">
        <f t="shared" si="27"/>
        <v>67186.59</v>
      </c>
      <c r="N61" s="1843"/>
      <c r="O61" s="1844">
        <v>61818.39</v>
      </c>
      <c r="P61" s="1844"/>
      <c r="Q61" s="1694"/>
      <c r="R61" s="1076"/>
      <c r="S61" s="1696"/>
      <c r="T61" s="1074"/>
      <c r="U61" s="1072"/>
      <c r="V61" s="1521">
        <v>4739.2299999999996</v>
      </c>
      <c r="W61" s="1521"/>
      <c r="X61" s="1521">
        <v>628.97</v>
      </c>
      <c r="Y61" s="1852"/>
      <c r="Z61" s="391"/>
      <c r="AA61" s="467"/>
      <c r="AB61" s="467">
        <f t="shared" si="28"/>
        <v>-40538.909999999996</v>
      </c>
      <c r="AC61" s="1871">
        <f t="shared" si="29"/>
        <v>101.4896231116555</v>
      </c>
      <c r="AD61" s="1871">
        <f t="shared" si="30"/>
        <v>-396.95000000000073</v>
      </c>
      <c r="AE61" s="1871">
        <v>3.49</v>
      </c>
      <c r="AF61" s="1452"/>
      <c r="AG61" s="296"/>
      <c r="AH61" s="296"/>
      <c r="AI61" s="296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23"/>
      <c r="AU61" s="223"/>
      <c r="AV61" s="35"/>
    </row>
    <row r="62" spans="1:48" s="124" customFormat="1" ht="15" customHeight="1" x14ac:dyDescent="0.25">
      <c r="A62" s="1853">
        <v>11</v>
      </c>
      <c r="B62" s="296"/>
      <c r="C62" s="332" t="s">
        <v>33</v>
      </c>
      <c r="D62" s="13">
        <v>1972</v>
      </c>
      <c r="E62" s="13">
        <v>2</v>
      </c>
      <c r="F62" s="13">
        <v>18</v>
      </c>
      <c r="G62" s="177">
        <v>44</v>
      </c>
      <c r="H62" s="290">
        <v>779.26</v>
      </c>
      <c r="I62" s="1836"/>
      <c r="J62" s="1836"/>
      <c r="K62" s="677">
        <v>23005.32</v>
      </c>
      <c r="L62" s="677">
        <v>18218.21</v>
      </c>
      <c r="M62" s="1004">
        <f t="shared" si="27"/>
        <v>35503.1</v>
      </c>
      <c r="N62" s="1843"/>
      <c r="O62" s="1844"/>
      <c r="P62" s="1844"/>
      <c r="Q62" s="1694">
        <v>9314.7999999999993</v>
      </c>
      <c r="R62" s="1076"/>
      <c r="S62" s="1696">
        <v>19692.97</v>
      </c>
      <c r="T62" s="1074"/>
      <c r="U62" s="1072"/>
      <c r="V62" s="1521"/>
      <c r="W62" s="1521"/>
      <c r="X62" s="1521">
        <v>6495.33</v>
      </c>
      <c r="Y62" s="1521"/>
      <c r="Z62" s="391"/>
      <c r="AA62" s="467"/>
      <c r="AB62" s="467">
        <f t="shared" si="28"/>
        <v>-12497.779999999999</v>
      </c>
      <c r="AC62" s="1871">
        <f t="shared" si="29"/>
        <v>79.191291405640087</v>
      </c>
      <c r="AD62" s="1871">
        <f t="shared" si="30"/>
        <v>4787.1100000000006</v>
      </c>
      <c r="AE62" s="1871">
        <v>3</v>
      </c>
      <c r="AF62" s="1452"/>
      <c r="AG62" s="296"/>
      <c r="AH62" s="296"/>
      <c r="AI62" s="296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23"/>
      <c r="AU62" s="223"/>
      <c r="AV62" s="35"/>
    </row>
    <row r="63" spans="1:48" s="124" customFormat="1" ht="15" customHeight="1" x14ac:dyDescent="0.25">
      <c r="A63" s="1853">
        <v>12</v>
      </c>
      <c r="B63" s="296"/>
      <c r="C63" s="332" t="s">
        <v>34</v>
      </c>
      <c r="D63" s="13">
        <v>1972</v>
      </c>
      <c r="E63" s="13">
        <v>2</v>
      </c>
      <c r="F63" s="13">
        <v>18</v>
      </c>
      <c r="G63" s="30">
        <v>44</v>
      </c>
      <c r="H63" s="290">
        <v>771.52</v>
      </c>
      <c r="I63" s="1836"/>
      <c r="J63" s="1836"/>
      <c r="K63" s="677">
        <v>18142.71</v>
      </c>
      <c r="L63" s="677">
        <v>16698.43</v>
      </c>
      <c r="M63" s="1004">
        <f t="shared" si="27"/>
        <v>11059.48</v>
      </c>
      <c r="N63" s="1843"/>
      <c r="O63" s="1844"/>
      <c r="P63" s="1844"/>
      <c r="Q63" s="1694"/>
      <c r="R63" s="1076"/>
      <c r="S63" s="1696">
        <v>1738</v>
      </c>
      <c r="T63" s="1074"/>
      <c r="U63" s="1072">
        <v>3280.61</v>
      </c>
      <c r="V63" s="1521"/>
      <c r="W63" s="1521"/>
      <c r="X63" s="1521">
        <v>6040.87</v>
      </c>
      <c r="Y63" s="1852"/>
      <c r="Z63" s="391"/>
      <c r="AA63" s="467"/>
      <c r="AB63" s="467">
        <f t="shared" si="28"/>
        <v>7083.23</v>
      </c>
      <c r="AC63" s="1871">
        <f t="shared" si="29"/>
        <v>92.039337011945861</v>
      </c>
      <c r="AD63" s="1871">
        <f t="shared" si="30"/>
        <v>1444.2799999999988</v>
      </c>
      <c r="AE63" s="1871">
        <v>1.96</v>
      </c>
      <c r="AF63" s="1452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23"/>
      <c r="AU63" s="223"/>
      <c r="AV63" s="35"/>
    </row>
    <row r="64" spans="1:48" s="124" customFormat="1" ht="15" customHeight="1" x14ac:dyDescent="0.25">
      <c r="A64" s="1853">
        <v>13</v>
      </c>
      <c r="B64" s="296"/>
      <c r="C64" s="332" t="s">
        <v>35</v>
      </c>
      <c r="D64" s="13">
        <v>1978</v>
      </c>
      <c r="E64" s="13">
        <v>3</v>
      </c>
      <c r="F64" s="13">
        <v>24</v>
      </c>
      <c r="G64" s="177">
        <v>68</v>
      </c>
      <c r="H64" s="290">
        <v>1443.9</v>
      </c>
      <c r="I64" s="1836"/>
      <c r="J64" s="1836"/>
      <c r="K64" s="677">
        <v>44183.88</v>
      </c>
      <c r="L64" s="677">
        <v>42223</v>
      </c>
      <c r="M64" s="1004">
        <f t="shared" si="27"/>
        <v>6001.76</v>
      </c>
      <c r="N64" s="1843"/>
      <c r="O64" s="1844"/>
      <c r="P64" s="1844"/>
      <c r="Q64" s="1694">
        <v>2561.5700000000002</v>
      </c>
      <c r="R64" s="1076"/>
      <c r="S64" s="1696"/>
      <c r="T64" s="1074"/>
      <c r="U64" s="1072"/>
      <c r="V64" s="1521"/>
      <c r="W64" s="1521"/>
      <c r="X64" s="1521"/>
      <c r="Y64" s="1852"/>
      <c r="Z64" s="391"/>
      <c r="AA64" s="467">
        <v>3440.19</v>
      </c>
      <c r="AB64" s="467">
        <f t="shared" si="28"/>
        <v>38182.119999999995</v>
      </c>
      <c r="AC64" s="1871">
        <f t="shared" si="29"/>
        <v>95.562001345287015</v>
      </c>
      <c r="AD64" s="1871">
        <f t="shared" si="30"/>
        <v>1960.8799999999974</v>
      </c>
      <c r="AE64" s="1871">
        <v>2.5499999999999998</v>
      </c>
      <c r="AF64" s="1452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23"/>
      <c r="AU64" s="223"/>
      <c r="AV64" s="35"/>
    </row>
    <row r="65" spans="1:566" s="124" customFormat="1" ht="15" customHeight="1" x14ac:dyDescent="0.25">
      <c r="A65" s="1853">
        <v>14</v>
      </c>
      <c r="B65" s="296"/>
      <c r="C65" s="332" t="s">
        <v>36</v>
      </c>
      <c r="D65" s="13">
        <v>1979</v>
      </c>
      <c r="E65" s="13">
        <v>5</v>
      </c>
      <c r="F65" s="13">
        <v>60</v>
      </c>
      <c r="G65" s="30">
        <v>181</v>
      </c>
      <c r="H65" s="290">
        <v>3240.38</v>
      </c>
      <c r="I65" s="1836"/>
      <c r="J65" s="1836"/>
      <c r="K65" s="677">
        <v>93699.89</v>
      </c>
      <c r="L65" s="677">
        <v>91915.93</v>
      </c>
      <c r="M65" s="1004">
        <f t="shared" si="27"/>
        <v>89718.55</v>
      </c>
      <c r="N65" s="1843"/>
      <c r="O65" s="1844"/>
      <c r="P65" s="1844"/>
      <c r="Q65" s="1694"/>
      <c r="R65" s="1076"/>
      <c r="S65" s="1696">
        <v>86041.33</v>
      </c>
      <c r="T65" s="1074"/>
      <c r="U65" s="1072"/>
      <c r="V65" s="1521"/>
      <c r="W65" s="1521"/>
      <c r="X65" s="1521"/>
      <c r="Y65" s="1852"/>
      <c r="Z65" s="391">
        <v>444.39</v>
      </c>
      <c r="AA65" s="467">
        <v>3232.83</v>
      </c>
      <c r="AB65" s="467">
        <f t="shared" si="28"/>
        <v>3981.3399999999965</v>
      </c>
      <c r="AC65" s="1871">
        <f t="shared" si="29"/>
        <v>98.096091681644452</v>
      </c>
      <c r="AD65" s="1871">
        <f t="shared" si="30"/>
        <v>1783.9600000000064</v>
      </c>
      <c r="AE65" s="1871">
        <v>2.41</v>
      </c>
      <c r="AF65" s="1452"/>
      <c r="AG65" s="296"/>
      <c r="AH65" s="296"/>
      <c r="AI65" s="296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23"/>
      <c r="AU65" s="223"/>
      <c r="AV65" s="35"/>
    </row>
    <row r="66" spans="1:566" s="124" customFormat="1" ht="15" customHeight="1" x14ac:dyDescent="0.25">
      <c r="A66" s="1853">
        <v>15</v>
      </c>
      <c r="B66" s="296"/>
      <c r="C66" s="332" t="s">
        <v>37</v>
      </c>
      <c r="D66" s="13">
        <v>1981</v>
      </c>
      <c r="E66" s="13">
        <v>5</v>
      </c>
      <c r="F66" s="13">
        <v>60</v>
      </c>
      <c r="G66" s="177">
        <v>163</v>
      </c>
      <c r="H66" s="290">
        <v>3236.3</v>
      </c>
      <c r="I66" s="1836"/>
      <c r="J66" s="1836"/>
      <c r="K66" s="677">
        <v>90498.49</v>
      </c>
      <c r="L66" s="677">
        <v>89469.94</v>
      </c>
      <c r="M66" s="1004">
        <f t="shared" si="27"/>
        <v>51087.14</v>
      </c>
      <c r="N66" s="1843"/>
      <c r="O66" s="1844"/>
      <c r="P66" s="1844"/>
      <c r="Q66" s="1694"/>
      <c r="R66" s="1076"/>
      <c r="S66" s="1696"/>
      <c r="T66" s="1074">
        <v>50000</v>
      </c>
      <c r="U66" s="1072"/>
      <c r="V66" s="1521"/>
      <c r="W66" s="1521"/>
      <c r="X66" s="1521">
        <v>198.36</v>
      </c>
      <c r="Y66" s="1852"/>
      <c r="Z66" s="391">
        <v>888.78</v>
      </c>
      <c r="AA66" s="467"/>
      <c r="AB66" s="467">
        <f t="shared" si="28"/>
        <v>39411.350000000006</v>
      </c>
      <c r="AC66" s="1871">
        <f t="shared" si="29"/>
        <v>98.863461699747688</v>
      </c>
      <c r="AD66" s="1871">
        <f t="shared" si="30"/>
        <v>1028.5500000000029</v>
      </c>
      <c r="AE66" s="1871">
        <v>2.33</v>
      </c>
      <c r="AF66" s="1452"/>
      <c r="AG66" s="296"/>
      <c r="AH66" s="296"/>
      <c r="AI66" s="296"/>
      <c r="AJ66" s="296"/>
      <c r="AK66" s="296"/>
      <c r="AL66" s="296"/>
      <c r="AM66" s="296"/>
      <c r="AN66" s="296"/>
      <c r="AO66" s="296"/>
      <c r="AP66" s="296"/>
      <c r="AQ66" s="296"/>
      <c r="AR66" s="296"/>
      <c r="AS66" s="296"/>
      <c r="AT66" s="223"/>
      <c r="AU66" s="223"/>
      <c r="AV66" s="35"/>
    </row>
    <row r="67" spans="1:566" s="124" customFormat="1" ht="15" customHeight="1" x14ac:dyDescent="0.25">
      <c r="A67" s="1853">
        <v>16</v>
      </c>
      <c r="B67" s="296"/>
      <c r="C67" s="332" t="s">
        <v>38</v>
      </c>
      <c r="D67" s="13">
        <v>1981</v>
      </c>
      <c r="E67" s="13">
        <v>5</v>
      </c>
      <c r="F67" s="13">
        <v>60</v>
      </c>
      <c r="G67" s="30">
        <v>184</v>
      </c>
      <c r="H67" s="290">
        <v>3273.8</v>
      </c>
      <c r="I67" s="1836"/>
      <c r="J67" s="1836"/>
      <c r="K67" s="677">
        <v>126288.06</v>
      </c>
      <c r="L67" s="677">
        <v>121922.8</v>
      </c>
      <c r="M67" s="1004">
        <f t="shared" si="27"/>
        <v>8815.9500000000007</v>
      </c>
      <c r="N67" s="1843"/>
      <c r="O67" s="1844"/>
      <c r="P67" s="1844"/>
      <c r="Q67" s="1694"/>
      <c r="R67" s="1076"/>
      <c r="S67" s="1696"/>
      <c r="T67" s="1074"/>
      <c r="U67" s="1072"/>
      <c r="V67" s="1521"/>
      <c r="W67" s="1521">
        <v>6500.13</v>
      </c>
      <c r="X67" s="1521">
        <v>1130.78</v>
      </c>
      <c r="Y67" s="1852"/>
      <c r="Z67" s="391">
        <v>1185.04</v>
      </c>
      <c r="AA67" s="467"/>
      <c r="AB67" s="467">
        <f t="shared" si="28"/>
        <v>117472.11</v>
      </c>
      <c r="AC67" s="1871">
        <f t="shared" si="29"/>
        <v>96.543410358825682</v>
      </c>
      <c r="AD67" s="1871">
        <f t="shared" si="30"/>
        <v>4365.2599999999948</v>
      </c>
      <c r="AE67" s="1871">
        <v>3.5</v>
      </c>
      <c r="AF67" s="1452"/>
      <c r="AG67" s="296"/>
      <c r="AH67" s="296"/>
      <c r="AI67" s="296"/>
      <c r="AJ67" s="296"/>
      <c r="AK67" s="296"/>
      <c r="AL67" s="296"/>
      <c r="AM67" s="296"/>
      <c r="AN67" s="296"/>
      <c r="AO67" s="296"/>
      <c r="AP67" s="296"/>
      <c r="AQ67" s="296"/>
      <c r="AR67" s="296"/>
      <c r="AS67" s="296"/>
      <c r="AT67" s="223"/>
      <c r="AU67" s="223"/>
      <c r="AV67" s="35"/>
    </row>
    <row r="68" spans="1:566" s="124" customFormat="1" ht="15" customHeight="1" x14ac:dyDescent="0.25">
      <c r="A68" s="1853">
        <v>17</v>
      </c>
      <c r="B68" s="296"/>
      <c r="C68" s="332" t="s">
        <v>39</v>
      </c>
      <c r="D68" s="13">
        <v>1987</v>
      </c>
      <c r="E68" s="13">
        <v>3</v>
      </c>
      <c r="F68" s="13">
        <v>27</v>
      </c>
      <c r="G68" s="177">
        <v>72</v>
      </c>
      <c r="H68" s="290">
        <v>1466.1</v>
      </c>
      <c r="I68" s="1836"/>
      <c r="J68" s="1836"/>
      <c r="K68" s="677">
        <v>43437.24</v>
      </c>
      <c r="L68" s="677">
        <v>43708.79</v>
      </c>
      <c r="M68" s="1004">
        <f t="shared" si="27"/>
        <v>96575.27</v>
      </c>
      <c r="N68" s="1843"/>
      <c r="O68" s="1844"/>
      <c r="P68" s="1844"/>
      <c r="Q68" s="1694">
        <v>25615.7</v>
      </c>
      <c r="R68" s="1076"/>
      <c r="S68" s="1696">
        <v>57399.9</v>
      </c>
      <c r="T68" s="1074"/>
      <c r="U68" s="1072"/>
      <c r="V68" s="1521"/>
      <c r="W68" s="1521"/>
      <c r="X68" s="1521">
        <v>13559.67</v>
      </c>
      <c r="Y68" s="1852"/>
      <c r="Z68" s="391"/>
      <c r="AA68" s="467"/>
      <c r="AB68" s="467">
        <f t="shared" si="28"/>
        <v>-53138.030000000006</v>
      </c>
      <c r="AC68" s="1871">
        <f t="shared" si="29"/>
        <v>100.62515482107059</v>
      </c>
      <c r="AD68" s="1871">
        <f t="shared" si="30"/>
        <v>-271.55000000000291</v>
      </c>
      <c r="AE68" s="1871">
        <v>2.4700000000000002</v>
      </c>
      <c r="AF68" s="1452"/>
      <c r="AG68" s="296"/>
      <c r="AH68" s="296"/>
      <c r="AI68" s="296"/>
      <c r="AJ68" s="296"/>
      <c r="AK68" s="296"/>
      <c r="AL68" s="296"/>
      <c r="AM68" s="296"/>
      <c r="AN68" s="296"/>
      <c r="AO68" s="296"/>
      <c r="AP68" s="296"/>
      <c r="AQ68" s="296"/>
      <c r="AR68" s="296"/>
      <c r="AS68" s="296"/>
      <c r="AT68" s="466"/>
      <c r="AU68" s="466"/>
      <c r="AV68" s="35"/>
    </row>
    <row r="69" spans="1:566" s="124" customFormat="1" ht="15" customHeight="1" x14ac:dyDescent="0.25">
      <c r="A69" s="1853">
        <v>18</v>
      </c>
      <c r="B69" s="296"/>
      <c r="C69" s="335" t="s">
        <v>40</v>
      </c>
      <c r="D69" s="187">
        <v>1989</v>
      </c>
      <c r="E69" s="187">
        <v>3</v>
      </c>
      <c r="F69" s="187">
        <v>27</v>
      </c>
      <c r="G69" s="30">
        <v>78</v>
      </c>
      <c r="H69" s="291">
        <v>1468.1</v>
      </c>
      <c r="I69" s="1837"/>
      <c r="J69" s="1837"/>
      <c r="K69" s="1698">
        <v>44594.8</v>
      </c>
      <c r="L69" s="1698">
        <v>45280.95</v>
      </c>
      <c r="M69" s="1004">
        <f t="shared" si="27"/>
        <v>4756.58</v>
      </c>
      <c r="N69" s="1845"/>
      <c r="O69" s="1690"/>
      <c r="P69" s="1690"/>
      <c r="Q69" s="1694">
        <v>4657.3999999999996</v>
      </c>
      <c r="R69" s="1078"/>
      <c r="S69" s="1696"/>
      <c r="T69" s="1075"/>
      <c r="U69" s="1072"/>
      <c r="V69" s="1521"/>
      <c r="W69" s="1521"/>
      <c r="X69" s="1521">
        <v>99.18</v>
      </c>
      <c r="Y69" s="1852"/>
      <c r="Z69" s="391"/>
      <c r="AA69" s="467"/>
      <c r="AB69" s="467">
        <f t="shared" si="28"/>
        <v>39838.22</v>
      </c>
      <c r="AC69" s="1871">
        <f t="shared" si="29"/>
        <v>101.53863230690573</v>
      </c>
      <c r="AD69" s="1871">
        <f t="shared" si="30"/>
        <v>-686.14999999999418</v>
      </c>
      <c r="AE69" s="1871">
        <v>2.5299999999999998</v>
      </c>
      <c r="AF69" s="1452"/>
      <c r="AG69" s="296"/>
      <c r="AH69" s="296"/>
      <c r="AI69" s="296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466"/>
      <c r="AU69" s="466"/>
      <c r="AV69" s="35"/>
    </row>
    <row r="70" spans="1:566" s="124" customFormat="1" ht="15" customHeight="1" x14ac:dyDescent="0.25">
      <c r="A70" s="1853">
        <v>19</v>
      </c>
      <c r="B70" s="296"/>
      <c r="C70" s="332" t="s">
        <v>44</v>
      </c>
      <c r="D70" s="13">
        <v>1976</v>
      </c>
      <c r="E70" s="13">
        <v>2</v>
      </c>
      <c r="F70" s="13">
        <v>4</v>
      </c>
      <c r="G70" s="13">
        <v>22</v>
      </c>
      <c r="H70" s="14">
        <v>266.82</v>
      </c>
      <c r="I70" s="1838"/>
      <c r="J70" s="1838"/>
      <c r="K70" s="707">
        <v>2881.68</v>
      </c>
      <c r="L70" s="707">
        <v>2869.26</v>
      </c>
      <c r="M70" s="1004">
        <f t="shared" si="27"/>
        <v>2087.44</v>
      </c>
      <c r="N70" s="1690"/>
      <c r="O70" s="1690"/>
      <c r="P70" s="1690"/>
      <c r="Q70" s="1694"/>
      <c r="R70" s="1076"/>
      <c r="S70" s="1696">
        <v>2087.44</v>
      </c>
      <c r="T70" s="1076"/>
      <c r="U70" s="1072"/>
      <c r="V70" s="1521"/>
      <c r="W70" s="1521"/>
      <c r="X70" s="1521"/>
      <c r="Y70" s="1521"/>
      <c r="Z70" s="467"/>
      <c r="AA70" s="467"/>
      <c r="AB70" s="467">
        <f t="shared" si="28"/>
        <v>794.23999999999978</v>
      </c>
      <c r="AC70" s="1871">
        <f t="shared" si="29"/>
        <v>99.569001415840773</v>
      </c>
      <c r="AD70" s="1871">
        <f t="shared" si="30"/>
        <v>12.419999999999618</v>
      </c>
      <c r="AE70" s="1871">
        <v>0.9</v>
      </c>
      <c r="AF70" s="1452"/>
      <c r="AG70" s="296"/>
      <c r="AH70" s="296"/>
      <c r="AI70" s="296"/>
      <c r="AJ70" s="296"/>
      <c r="AK70" s="296"/>
      <c r="AL70" s="296"/>
      <c r="AM70" s="296"/>
      <c r="AN70" s="296"/>
      <c r="AO70" s="296"/>
      <c r="AP70" s="296"/>
      <c r="AQ70" s="296"/>
      <c r="AR70" s="296"/>
      <c r="AS70" s="296"/>
      <c r="AT70" s="466"/>
      <c r="AU70" s="466"/>
      <c r="AV70" s="35"/>
    </row>
    <row r="71" spans="1:566" s="124" customFormat="1" ht="15.75" customHeight="1" x14ac:dyDescent="0.25">
      <c r="A71" s="1853">
        <v>20</v>
      </c>
      <c r="B71" s="296"/>
      <c r="C71" s="335" t="s">
        <v>45</v>
      </c>
      <c r="D71" s="187">
        <v>1976</v>
      </c>
      <c r="E71" s="187">
        <v>2</v>
      </c>
      <c r="F71" s="187">
        <v>4</v>
      </c>
      <c r="G71" s="187">
        <v>12</v>
      </c>
      <c r="H71" s="233">
        <v>266.56</v>
      </c>
      <c r="I71" s="1839"/>
      <c r="J71" s="1839"/>
      <c r="K71" s="1099">
        <v>2878.92</v>
      </c>
      <c r="L71" s="1099">
        <v>2533.9</v>
      </c>
      <c r="M71" s="1004">
        <f t="shared" si="27"/>
        <v>2087.4499999999998</v>
      </c>
      <c r="N71" s="1846"/>
      <c r="O71" s="1847"/>
      <c r="P71" s="1847"/>
      <c r="Q71" s="1694"/>
      <c r="R71" s="1078"/>
      <c r="S71" s="1696">
        <v>2087.4499999999998</v>
      </c>
      <c r="T71" s="1078"/>
      <c r="U71" s="1072"/>
      <c r="V71" s="1521"/>
      <c r="W71" s="1521"/>
      <c r="X71" s="1521"/>
      <c r="Y71" s="1521"/>
      <c r="Z71" s="467"/>
      <c r="AA71" s="467"/>
      <c r="AB71" s="467">
        <f t="shared" si="28"/>
        <v>791.47000000000025</v>
      </c>
      <c r="AC71" s="1871">
        <f t="shared" si="29"/>
        <v>88.015644755672255</v>
      </c>
      <c r="AD71" s="1871">
        <f t="shared" si="30"/>
        <v>345.02</v>
      </c>
      <c r="AE71" s="1871">
        <v>0.9</v>
      </c>
      <c r="AF71" s="1452"/>
      <c r="AG71" s="296"/>
      <c r="AH71" s="296"/>
      <c r="AI71" s="296"/>
      <c r="AJ71" s="296"/>
      <c r="AK71" s="296"/>
      <c r="AL71" s="296"/>
      <c r="AM71" s="296"/>
      <c r="AN71" s="296"/>
      <c r="AO71" s="296"/>
      <c r="AP71" s="296"/>
      <c r="AQ71" s="296"/>
      <c r="AR71" s="296"/>
      <c r="AS71" s="296"/>
      <c r="AT71" s="466"/>
      <c r="AU71" s="466"/>
      <c r="AV71" s="35"/>
    </row>
    <row r="72" spans="1:566" s="124" customFormat="1" ht="15" customHeight="1" x14ac:dyDescent="0.25">
      <c r="A72" s="1853">
        <v>21</v>
      </c>
      <c r="B72" s="296"/>
      <c r="C72" s="335" t="s">
        <v>47</v>
      </c>
      <c r="D72" s="13">
        <v>1970</v>
      </c>
      <c r="E72" s="36">
        <v>2</v>
      </c>
      <c r="F72" s="36">
        <v>9</v>
      </c>
      <c r="G72" s="36">
        <v>2</v>
      </c>
      <c r="H72" s="121">
        <v>393.8</v>
      </c>
      <c r="I72" s="1838"/>
      <c r="J72" s="1838"/>
      <c r="K72" s="707">
        <v>25846.799999999999</v>
      </c>
      <c r="L72" s="707">
        <v>18932.900000000001</v>
      </c>
      <c r="M72" s="1004">
        <f t="shared" si="27"/>
        <v>34714.57</v>
      </c>
      <c r="N72" s="871"/>
      <c r="O72" s="871"/>
      <c r="P72" s="871"/>
      <c r="Q72" s="1694"/>
      <c r="R72" s="707">
        <v>24188</v>
      </c>
      <c r="S72" s="1696"/>
      <c r="T72" s="1078"/>
      <c r="U72" s="1072"/>
      <c r="V72" s="1521"/>
      <c r="W72" s="1521"/>
      <c r="X72" s="1521">
        <v>10526.57</v>
      </c>
      <c r="Y72" s="1521"/>
      <c r="Z72" s="467"/>
      <c r="AA72" s="467"/>
      <c r="AB72" s="467">
        <f t="shared" si="28"/>
        <v>-8867.77</v>
      </c>
      <c r="AC72" s="1871">
        <f t="shared" si="29"/>
        <v>73.250460405156545</v>
      </c>
      <c r="AD72" s="1871">
        <f t="shared" si="30"/>
        <v>6913.8999999999978</v>
      </c>
      <c r="AE72" s="1871">
        <v>7</v>
      </c>
      <c r="AF72" s="1452"/>
      <c r="AG72" s="296"/>
      <c r="AH72" s="296"/>
      <c r="AI72" s="296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466"/>
      <c r="AU72" s="466"/>
      <c r="AV72" s="35"/>
    </row>
    <row r="73" spans="1:566" s="124" customFormat="1" ht="15.75" customHeight="1" x14ac:dyDescent="0.25">
      <c r="A73" s="1853">
        <v>22</v>
      </c>
      <c r="B73" s="296"/>
      <c r="C73" s="335" t="s">
        <v>48</v>
      </c>
      <c r="D73" s="13">
        <v>1970</v>
      </c>
      <c r="E73" s="36">
        <v>2</v>
      </c>
      <c r="F73" s="36">
        <v>12</v>
      </c>
      <c r="G73" s="36">
        <v>25</v>
      </c>
      <c r="H73" s="121">
        <v>462.1</v>
      </c>
      <c r="I73" s="1838"/>
      <c r="J73" s="1838"/>
      <c r="K73" s="707">
        <v>38816.400000000001</v>
      </c>
      <c r="L73" s="707">
        <v>30736.58</v>
      </c>
      <c r="M73" s="1004">
        <f t="shared" si="27"/>
        <v>22622</v>
      </c>
      <c r="N73" s="871"/>
      <c r="O73" s="871"/>
      <c r="P73" s="871"/>
      <c r="Q73" s="1694"/>
      <c r="R73" s="707">
        <v>22622</v>
      </c>
      <c r="S73" s="1696"/>
      <c r="T73" s="1078"/>
      <c r="U73" s="1072"/>
      <c r="V73" s="1521"/>
      <c r="W73" s="1521"/>
      <c r="X73" s="1521"/>
      <c r="Y73" s="1521"/>
      <c r="Z73" s="467"/>
      <c r="AA73" s="467"/>
      <c r="AB73" s="467">
        <f t="shared" si="28"/>
        <v>16194.400000000001</v>
      </c>
      <c r="AC73" s="1871">
        <f t="shared" si="29"/>
        <v>79.184519945177811</v>
      </c>
      <c r="AD73" s="1871">
        <f t="shared" si="30"/>
        <v>8079.82</v>
      </c>
      <c r="AE73" s="1871">
        <v>7</v>
      </c>
      <c r="AF73" s="1452"/>
      <c r="AG73" s="296"/>
      <c r="AH73" s="296"/>
      <c r="AI73" s="296"/>
      <c r="AJ73" s="296"/>
      <c r="AK73" s="296"/>
      <c r="AL73" s="296"/>
      <c r="AM73" s="296"/>
      <c r="AN73" s="296"/>
      <c r="AO73" s="296"/>
      <c r="AP73" s="296"/>
      <c r="AQ73" s="296"/>
      <c r="AR73" s="296"/>
      <c r="AS73" s="296"/>
      <c r="AT73" s="466"/>
      <c r="AU73" s="466"/>
      <c r="AV73" s="35"/>
    </row>
    <row r="74" spans="1:566" s="124" customFormat="1" ht="15" customHeight="1" x14ac:dyDescent="0.25">
      <c r="A74" s="1853">
        <v>23</v>
      </c>
      <c r="B74" s="296"/>
      <c r="C74" s="42" t="s">
        <v>50</v>
      </c>
      <c r="D74" s="13">
        <v>1970</v>
      </c>
      <c r="E74" s="36">
        <v>2</v>
      </c>
      <c r="F74" s="36">
        <v>12</v>
      </c>
      <c r="G74" s="36">
        <v>30</v>
      </c>
      <c r="H74" s="121">
        <v>462.9</v>
      </c>
      <c r="I74" s="1838"/>
      <c r="J74" s="1838"/>
      <c r="K74" s="707">
        <v>36204</v>
      </c>
      <c r="L74" s="707">
        <v>29664.54</v>
      </c>
      <c r="M74" s="1004">
        <f t="shared" si="27"/>
        <v>0</v>
      </c>
      <c r="N74" s="871"/>
      <c r="O74" s="871"/>
      <c r="P74" s="871"/>
      <c r="Q74" s="1694"/>
      <c r="R74" s="707"/>
      <c r="S74" s="1696"/>
      <c r="T74" s="1078"/>
      <c r="U74" s="1072"/>
      <c r="V74" s="1521"/>
      <c r="W74" s="1521"/>
      <c r="X74" s="1521"/>
      <c r="Y74" s="1521"/>
      <c r="Z74" s="467"/>
      <c r="AA74" s="467"/>
      <c r="AB74" s="467">
        <f t="shared" si="28"/>
        <v>36204</v>
      </c>
      <c r="AC74" s="1871">
        <f t="shared" si="29"/>
        <v>81.937189260855163</v>
      </c>
      <c r="AD74" s="1871">
        <f t="shared" si="30"/>
        <v>6539.4599999999991</v>
      </c>
      <c r="AE74" s="1871">
        <v>7</v>
      </c>
      <c r="AF74" s="1452"/>
      <c r="AG74" s="296"/>
      <c r="AH74" s="296"/>
      <c r="AI74" s="296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466"/>
      <c r="AU74" s="466"/>
      <c r="AV74" s="466"/>
      <c r="AW74" s="466"/>
      <c r="AX74" s="466"/>
      <c r="AY74" s="466"/>
      <c r="AZ74" s="466"/>
      <c r="BA74" s="466"/>
      <c r="BB74" s="466"/>
      <c r="BC74" s="466"/>
      <c r="BD74" s="466"/>
      <c r="BE74" s="466"/>
      <c r="BF74" s="466"/>
      <c r="BG74" s="466"/>
      <c r="BH74" s="466"/>
      <c r="BI74" s="466"/>
      <c r="BJ74" s="466"/>
      <c r="BK74" s="466"/>
      <c r="BL74" s="466"/>
      <c r="BM74" s="466"/>
      <c r="BN74" s="466"/>
    </row>
    <row r="75" spans="1:566" s="124" customFormat="1" ht="14.25" customHeight="1" x14ac:dyDescent="0.25">
      <c r="A75" s="1853">
        <v>24</v>
      </c>
      <c r="B75" s="296"/>
      <c r="C75" s="202" t="s">
        <v>51</v>
      </c>
      <c r="D75" s="187">
        <v>1971</v>
      </c>
      <c r="E75" s="187">
        <v>2</v>
      </c>
      <c r="F75" s="187">
        <v>11</v>
      </c>
      <c r="G75" s="187">
        <v>34</v>
      </c>
      <c r="H75" s="233">
        <v>464.6</v>
      </c>
      <c r="I75" s="1839"/>
      <c r="J75" s="1839"/>
      <c r="K75" s="1099">
        <v>39134.79</v>
      </c>
      <c r="L75" s="1099">
        <v>31293.02</v>
      </c>
      <c r="M75" s="1004">
        <f t="shared" si="27"/>
        <v>0</v>
      </c>
      <c r="N75" s="871"/>
      <c r="O75" s="871"/>
      <c r="P75" s="871"/>
      <c r="Q75" s="1694"/>
      <c r="R75" s="707"/>
      <c r="S75" s="1696"/>
      <c r="T75" s="1078"/>
      <c r="U75" s="1072"/>
      <c r="V75" s="1521"/>
      <c r="W75" s="1521"/>
      <c r="X75" s="1521"/>
      <c r="Y75" s="1521"/>
      <c r="Z75" s="467"/>
      <c r="AA75" s="467"/>
      <c r="AB75" s="467">
        <f t="shared" si="28"/>
        <v>39134.79</v>
      </c>
      <c r="AC75" s="1871">
        <f t="shared" si="29"/>
        <v>79.962151323668778</v>
      </c>
      <c r="AD75" s="1871">
        <f t="shared" si="30"/>
        <v>7841.77</v>
      </c>
      <c r="AE75" s="1871">
        <v>7</v>
      </c>
      <c r="AF75" s="1452"/>
      <c r="AG75" s="296"/>
      <c r="AH75" s="296"/>
      <c r="AI75" s="296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466"/>
      <c r="AU75" s="466"/>
      <c r="AV75" s="466"/>
      <c r="AW75" s="466"/>
      <c r="AX75" s="466"/>
      <c r="AY75" s="466"/>
      <c r="AZ75" s="466"/>
      <c r="BA75" s="466"/>
      <c r="BB75" s="466"/>
      <c r="BC75" s="466"/>
      <c r="BD75" s="466"/>
      <c r="BE75" s="466"/>
      <c r="BF75" s="466"/>
      <c r="BG75" s="466"/>
      <c r="BH75" s="466"/>
      <c r="BI75" s="466"/>
      <c r="BJ75" s="466"/>
      <c r="BK75" s="466"/>
      <c r="BL75" s="466"/>
      <c r="BM75" s="466"/>
      <c r="BN75" s="466"/>
    </row>
    <row r="76" spans="1:566" s="124" customFormat="1" ht="14.25" customHeight="1" x14ac:dyDescent="0.25">
      <c r="A76" s="1853">
        <v>25</v>
      </c>
      <c r="B76" s="296"/>
      <c r="C76" s="42" t="s">
        <v>240</v>
      </c>
      <c r="D76" s="13">
        <v>1961</v>
      </c>
      <c r="E76" s="36">
        <v>1</v>
      </c>
      <c r="F76" s="36">
        <v>5</v>
      </c>
      <c r="G76" s="36">
        <v>11</v>
      </c>
      <c r="H76" s="462">
        <v>180.6</v>
      </c>
      <c r="I76" s="1839"/>
      <c r="J76" s="1839"/>
      <c r="K76" s="1099"/>
      <c r="L76" s="1099"/>
      <c r="M76" s="1004">
        <f t="shared" si="27"/>
        <v>4554.97</v>
      </c>
      <c r="N76" s="871"/>
      <c r="O76" s="871"/>
      <c r="P76" s="871"/>
      <c r="Q76" s="1694"/>
      <c r="R76" s="707"/>
      <c r="S76" s="1696"/>
      <c r="T76" s="1078"/>
      <c r="U76" s="1072"/>
      <c r="V76" s="1521"/>
      <c r="W76" s="1521"/>
      <c r="X76" s="1521">
        <v>4554.97</v>
      </c>
      <c r="Y76" s="1521"/>
      <c r="Z76" s="467"/>
      <c r="AA76" s="467"/>
      <c r="AB76" s="467">
        <f t="shared" si="28"/>
        <v>-4554.97</v>
      </c>
      <c r="AC76" s="1871">
        <v>0</v>
      </c>
      <c r="AD76" s="1871">
        <f t="shared" si="30"/>
        <v>0</v>
      </c>
      <c r="AE76" s="1871">
        <v>0</v>
      </c>
      <c r="AF76" s="1452"/>
      <c r="AG76" s="296"/>
      <c r="AH76" s="296"/>
      <c r="AI76" s="296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466"/>
      <c r="AU76" s="466"/>
      <c r="AV76" s="466"/>
      <c r="AW76" s="466"/>
      <c r="AX76" s="466"/>
      <c r="AY76" s="466"/>
      <c r="AZ76" s="466"/>
      <c r="BA76" s="466"/>
      <c r="BB76" s="466"/>
      <c r="BC76" s="466"/>
      <c r="BD76" s="466"/>
      <c r="BE76" s="466"/>
      <c r="BF76" s="466"/>
      <c r="BG76" s="466"/>
      <c r="BH76" s="466"/>
      <c r="BI76" s="466"/>
      <c r="BJ76" s="466"/>
      <c r="BK76" s="466"/>
      <c r="BL76" s="466"/>
      <c r="BM76" s="466"/>
      <c r="BN76" s="466"/>
    </row>
    <row r="77" spans="1:566" s="124" customFormat="1" ht="16.5" customHeight="1" x14ac:dyDescent="0.25">
      <c r="A77" s="1452"/>
      <c r="B77" s="296"/>
      <c r="C77" s="464" t="s">
        <v>52</v>
      </c>
      <c r="D77" s="1848">
        <v>1961</v>
      </c>
      <c r="E77" s="1848">
        <v>1</v>
      </c>
      <c r="F77" s="1848">
        <v>5</v>
      </c>
      <c r="G77" s="1848">
        <v>11</v>
      </c>
      <c r="H77" s="1849">
        <f>SUM(H52:H75)</f>
        <v>25508.859999999993</v>
      </c>
      <c r="I77" s="1840"/>
      <c r="J77" s="1840"/>
      <c r="K77" s="1426">
        <f>SUM(K52:K75)</f>
        <v>910917.01000000036</v>
      </c>
      <c r="L77" s="1426">
        <f>SUM(L52:L75)</f>
        <v>858417.80000000016</v>
      </c>
      <c r="M77" s="1426">
        <f>SUM(M52:M76)</f>
        <v>726974.42999999959</v>
      </c>
      <c r="N77" s="1426">
        <f>SUM(N52:N76)</f>
        <v>4399.83</v>
      </c>
      <c r="O77" s="1426">
        <f t="shared" ref="O77:AD77" si="31">SUM(O52:O76)</f>
        <v>285897.96000000002</v>
      </c>
      <c r="P77" s="1426">
        <f t="shared" si="31"/>
        <v>9000</v>
      </c>
      <c r="Q77" s="1426">
        <f t="shared" si="31"/>
        <v>53792.47</v>
      </c>
      <c r="R77" s="1426">
        <f t="shared" si="31"/>
        <v>46810</v>
      </c>
      <c r="S77" s="1426">
        <f t="shared" si="31"/>
        <v>196740.84</v>
      </c>
      <c r="T77" s="1426">
        <f t="shared" si="31"/>
        <v>50000</v>
      </c>
      <c r="U77" s="1426">
        <f t="shared" si="31"/>
        <v>9522.5600000000013</v>
      </c>
      <c r="V77" s="1426">
        <f t="shared" si="31"/>
        <v>4739.2299999999996</v>
      </c>
      <c r="W77" s="1426">
        <f t="shared" si="31"/>
        <v>6500.13</v>
      </c>
      <c r="X77" s="1426">
        <f t="shared" si="31"/>
        <v>48387.34</v>
      </c>
      <c r="Y77" s="1426">
        <f t="shared" si="31"/>
        <v>1992.84</v>
      </c>
      <c r="Z77" s="1426">
        <f t="shared" si="31"/>
        <v>2518.21</v>
      </c>
      <c r="AA77" s="1426">
        <f t="shared" si="31"/>
        <v>6673.02</v>
      </c>
      <c r="AB77" s="1426">
        <f t="shared" si="31"/>
        <v>183942.58</v>
      </c>
      <c r="AC77" s="1669">
        <f t="shared" si="29"/>
        <v>94.236663776868085</v>
      </c>
      <c r="AD77" s="1426">
        <f t="shared" si="31"/>
        <v>52499.209999999992</v>
      </c>
      <c r="AE77" s="1426"/>
      <c r="AF77" s="1452"/>
      <c r="AG77" s="296"/>
      <c r="AH77" s="296"/>
      <c r="AI77" s="296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466"/>
      <c r="AU77" s="466"/>
      <c r="AV77" s="466"/>
      <c r="AW77" s="466"/>
      <c r="AX77" s="466"/>
      <c r="AY77" s="466"/>
      <c r="AZ77" s="466"/>
      <c r="BA77" s="466"/>
      <c r="BB77" s="466"/>
      <c r="BC77" s="466"/>
      <c r="BD77" s="466"/>
      <c r="BE77" s="466"/>
      <c r="BF77" s="466"/>
      <c r="BG77" s="466"/>
      <c r="BH77" s="466"/>
      <c r="BI77" s="466"/>
      <c r="BJ77" s="466"/>
      <c r="BK77" s="466"/>
      <c r="BL77" s="466"/>
      <c r="BM77" s="466"/>
      <c r="BN77" s="466"/>
    </row>
    <row r="78" spans="1:566" ht="15" customHeight="1" x14ac:dyDescent="0.25">
      <c r="A78" s="296"/>
      <c r="B78" s="296"/>
      <c r="C78" s="466"/>
      <c r="D78" s="466"/>
      <c r="E78" s="466"/>
      <c r="F78" s="466"/>
      <c r="G78" s="466"/>
      <c r="H78" s="1850">
        <f>H77-H76</f>
        <v>25328.259999999995</v>
      </c>
      <c r="I78" s="466"/>
      <c r="J78" s="466"/>
      <c r="K78" s="466"/>
      <c r="L78" s="466"/>
      <c r="M78" s="466"/>
      <c r="N78" s="466"/>
      <c r="O78" s="466"/>
      <c r="P78" s="466"/>
      <c r="Q78" s="466"/>
      <c r="R78" s="466"/>
      <c r="S78" s="466"/>
      <c r="T78" s="466"/>
      <c r="U78" s="466"/>
      <c r="V78" s="466"/>
      <c r="W78" s="466"/>
      <c r="X78" s="466"/>
      <c r="Y78" s="466"/>
      <c r="Z78" s="466"/>
      <c r="AA78" s="466"/>
      <c r="AB78" s="46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466"/>
      <c r="AU78" s="466"/>
      <c r="AV78" s="466"/>
      <c r="AW78" s="466"/>
      <c r="AX78" s="466"/>
      <c r="AY78" s="466"/>
      <c r="AZ78" s="466"/>
      <c r="BA78" s="466"/>
      <c r="BB78" s="466"/>
      <c r="BC78" s="466"/>
      <c r="BD78" s="466"/>
      <c r="BE78" s="466"/>
      <c r="BF78" s="466"/>
      <c r="BG78" s="466"/>
      <c r="BH78" s="466"/>
      <c r="BI78" s="466"/>
      <c r="BJ78" s="466"/>
      <c r="BK78" s="466"/>
      <c r="BL78" s="466"/>
      <c r="BM78" s="466"/>
      <c r="BN78" s="466"/>
    </row>
    <row r="79" spans="1:566" s="34" customFormat="1" ht="15" customHeight="1" x14ac:dyDescent="0.25">
      <c r="A79" s="296"/>
      <c r="B79" s="296"/>
      <c r="C79" s="296"/>
      <c r="D79" s="296"/>
      <c r="E79" s="296"/>
      <c r="F79" s="296"/>
      <c r="G79" s="296"/>
      <c r="H79" s="296"/>
      <c r="I79" s="296"/>
      <c r="J79" s="296"/>
      <c r="K79" s="296"/>
      <c r="L79" s="296"/>
      <c r="M79" s="1911" t="s">
        <v>571</v>
      </c>
      <c r="N79" s="296"/>
      <c r="O79" s="1851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6"/>
      <c r="AU79" s="296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</row>
    <row r="80" spans="1:566" s="34" customFormat="1" ht="15" customHeight="1" x14ac:dyDescent="0.25">
      <c r="A80" s="296"/>
      <c r="B80" s="296"/>
      <c r="C80" s="1450" t="s">
        <v>728</v>
      </c>
      <c r="D80" s="296"/>
      <c r="E80" s="296"/>
      <c r="F80" s="296"/>
      <c r="G80" s="296"/>
      <c r="H80" s="1450" t="s">
        <v>730</v>
      </c>
      <c r="I80" s="1450"/>
      <c r="J80" s="1450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  <c r="AU80" s="296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</row>
    <row r="81" spans="1:566" s="34" customFormat="1" ht="15" customHeight="1" x14ac:dyDescent="0.25">
      <c r="A81" s="296"/>
      <c r="B81" s="296"/>
      <c r="C81" s="1450"/>
      <c r="D81" s="296"/>
      <c r="E81" s="296"/>
      <c r="F81" s="296"/>
      <c r="G81" s="296"/>
      <c r="H81" s="1450"/>
      <c r="I81" s="1450"/>
      <c r="J81" s="1450"/>
      <c r="K81" s="1450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</row>
    <row r="82" spans="1:566" s="34" customFormat="1" ht="15" customHeight="1" x14ac:dyDescent="0.25">
      <c r="A82" s="1853">
        <v>1</v>
      </c>
      <c r="B82" s="1452"/>
      <c r="C82" s="1453" t="s">
        <v>729</v>
      </c>
      <c r="D82" s="1452"/>
      <c r="E82" s="1452"/>
      <c r="F82" s="1452"/>
      <c r="G82" s="1452"/>
      <c r="H82" s="862">
        <v>2625.8</v>
      </c>
      <c r="I82" s="1450"/>
      <c r="J82" s="1450"/>
      <c r="K82" s="1450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</row>
    <row r="83" spans="1:566" s="34" customFormat="1" ht="15" customHeight="1" x14ac:dyDescent="0.25">
      <c r="A83" s="1853">
        <v>2</v>
      </c>
      <c r="B83" s="1452"/>
      <c r="C83" s="1453" t="s">
        <v>731</v>
      </c>
      <c r="D83" s="1452"/>
      <c r="E83" s="1452"/>
      <c r="F83" s="1452"/>
      <c r="G83" s="1452"/>
      <c r="H83" s="1454">
        <v>3240.38</v>
      </c>
      <c r="I83" s="1450"/>
      <c r="J83" s="1450"/>
      <c r="K83" s="1450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6"/>
      <c r="AU83" s="296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</row>
    <row r="84" spans="1:566" s="34" customFormat="1" ht="15" customHeight="1" x14ac:dyDescent="0.25">
      <c r="A84" s="1853">
        <v>3</v>
      </c>
      <c r="B84" s="1452"/>
      <c r="C84" s="1453" t="s">
        <v>732</v>
      </c>
      <c r="D84" s="1452"/>
      <c r="E84" s="1452"/>
      <c r="F84" s="1452"/>
      <c r="G84" s="1452"/>
      <c r="H84" s="1454">
        <v>3236.3</v>
      </c>
      <c r="I84" s="1450"/>
      <c r="J84" s="1450"/>
      <c r="K84" s="1450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</row>
    <row r="85" spans="1:566" s="34" customFormat="1" ht="15" customHeight="1" x14ac:dyDescent="0.25">
      <c r="A85" s="1853">
        <v>4</v>
      </c>
      <c r="B85" s="1452"/>
      <c r="C85" s="1453" t="s">
        <v>733</v>
      </c>
      <c r="D85" s="1452"/>
      <c r="E85" s="1452"/>
      <c r="F85" s="1452"/>
      <c r="G85" s="1452"/>
      <c r="H85" s="1454">
        <v>3236.3</v>
      </c>
      <c r="I85" s="1450"/>
      <c r="J85" s="1450"/>
      <c r="K85" s="1450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  <c r="AU85" s="296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</row>
    <row r="86" spans="1:566" s="34" customFormat="1" ht="15" customHeight="1" x14ac:dyDescent="0.25">
      <c r="A86" s="1853">
        <v>5</v>
      </c>
      <c r="B86" s="1452"/>
      <c r="C86" s="1453" t="s">
        <v>734</v>
      </c>
      <c r="D86" s="1452"/>
      <c r="E86" s="1452"/>
      <c r="F86" s="1452"/>
      <c r="G86" s="1452"/>
      <c r="H86" s="1454">
        <v>1466.1</v>
      </c>
      <c r="I86" s="1450"/>
      <c r="J86" s="1450"/>
      <c r="K86" s="1450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6"/>
      <c r="AU86" s="29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</row>
    <row r="87" spans="1:566" s="34" customFormat="1" ht="15" customHeight="1" x14ac:dyDescent="0.25">
      <c r="A87" s="1452"/>
      <c r="B87" s="1452"/>
      <c r="C87" s="1453"/>
      <c r="D87" s="1452"/>
      <c r="E87" s="1452"/>
      <c r="F87" s="1452"/>
      <c r="G87" s="1452"/>
      <c r="H87" s="862">
        <f>SUM(H82:H86)</f>
        <v>13804.88</v>
      </c>
      <c r="I87" s="1450"/>
      <c r="J87" s="1450"/>
      <c r="K87" s="1450"/>
      <c r="L87" s="296"/>
      <c r="M87" s="296"/>
      <c r="N87" s="296"/>
      <c r="O87" s="296"/>
      <c r="P87" s="296"/>
      <c r="Q87" s="296"/>
      <c r="R87" s="296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  <c r="AU87" s="296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</row>
    <row r="88" spans="1:566" s="34" customFormat="1" ht="15" customHeight="1" x14ac:dyDescent="0.25">
      <c r="A88" s="296"/>
      <c r="B88" s="296"/>
      <c r="C88" s="296"/>
      <c r="D88" s="296"/>
      <c r="E88" s="296"/>
      <c r="F88" s="296"/>
      <c r="G88" s="296"/>
      <c r="H88" s="296"/>
      <c r="I88" s="1450"/>
      <c r="J88" s="1450"/>
      <c r="K88" s="1450"/>
      <c r="L88" s="296"/>
      <c r="M88" s="296"/>
      <c r="N88" s="296"/>
      <c r="O88" s="296"/>
      <c r="P88" s="296"/>
      <c r="Q88" s="296"/>
      <c r="R88" s="296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  <c r="AU88" s="296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</row>
    <row r="89" spans="1:566" s="34" customFormat="1" ht="15" customHeight="1" x14ac:dyDescent="0.25">
      <c r="A89" s="296"/>
      <c r="B89" s="296"/>
      <c r="C89" s="296"/>
      <c r="D89" s="296"/>
      <c r="E89" s="296"/>
      <c r="F89" s="296"/>
      <c r="G89" s="296"/>
      <c r="H89" s="296"/>
      <c r="I89" s="1450"/>
      <c r="J89" s="1450"/>
      <c r="K89" s="1450"/>
      <c r="L89" s="296"/>
      <c r="M89" s="296"/>
      <c r="N89" s="296"/>
      <c r="O89" s="296"/>
      <c r="P89" s="296"/>
      <c r="Q89" s="296"/>
      <c r="R89" s="296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6"/>
      <c r="AU89" s="296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</row>
    <row r="90" spans="1:566" s="34" customFormat="1" ht="15" customHeight="1" x14ac:dyDescent="0.25">
      <c r="A90" s="296"/>
      <c r="B90" s="296"/>
      <c r="C90" s="296"/>
      <c r="D90" s="296"/>
      <c r="E90" s="296"/>
      <c r="F90" s="296"/>
      <c r="G90" s="296"/>
      <c r="H90" s="296"/>
      <c r="I90" s="1450"/>
      <c r="J90" s="1450"/>
      <c r="K90" s="1450"/>
      <c r="L90" s="296"/>
      <c r="M90" s="296"/>
      <c r="N90" s="296"/>
      <c r="O90" s="296"/>
      <c r="P90" s="296"/>
      <c r="Q90" s="296"/>
      <c r="R90" s="296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6"/>
      <c r="AU90" s="296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</row>
    <row r="91" spans="1:566" s="34" customFormat="1" ht="15" customHeight="1" x14ac:dyDescent="0.25">
      <c r="A91" s="296"/>
      <c r="B91" s="296"/>
      <c r="C91" s="296"/>
      <c r="D91" s="296"/>
      <c r="E91" s="296"/>
      <c r="F91" s="296"/>
      <c r="G91" s="296"/>
      <c r="H91" s="296"/>
      <c r="I91" s="1450"/>
      <c r="J91" s="1450"/>
      <c r="K91" s="1450"/>
      <c r="L91" s="296"/>
      <c r="M91" s="296"/>
      <c r="N91" s="296"/>
      <c r="O91" s="296"/>
      <c r="P91" s="296"/>
      <c r="Q91" s="296"/>
      <c r="R91" s="296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6"/>
      <c r="AU91" s="296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</row>
    <row r="92" spans="1:566" s="34" customFormat="1" ht="15" customHeight="1" x14ac:dyDescent="0.25">
      <c r="A92" s="296"/>
      <c r="B92" s="296"/>
      <c r="C92" s="296"/>
      <c r="D92" s="296"/>
      <c r="E92" s="296"/>
      <c r="F92" s="296"/>
      <c r="G92" s="296"/>
      <c r="H92" s="296"/>
      <c r="I92" s="296"/>
      <c r="J92" s="296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6"/>
      <c r="AU92" s="296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</row>
    <row r="93" spans="1:566" s="34" customFormat="1" ht="15" customHeight="1" x14ac:dyDescent="0.25">
      <c r="A93" s="296"/>
      <c r="B93" s="296"/>
      <c r="C93" s="296"/>
      <c r="D93" s="296"/>
      <c r="E93" s="296"/>
      <c r="F93" s="296"/>
      <c r="G93" s="296"/>
      <c r="H93" s="296"/>
      <c r="I93" s="296"/>
      <c r="J93" s="296"/>
      <c r="K93" s="296"/>
      <c r="L93" s="296"/>
      <c r="M93" s="296"/>
      <c r="N93" s="296"/>
      <c r="O93" s="296"/>
      <c r="P93" s="296"/>
      <c r="Q93" s="296"/>
      <c r="R93" s="296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296"/>
      <c r="AN93" s="296"/>
      <c r="AO93" s="296"/>
      <c r="AP93" s="296"/>
      <c r="AQ93" s="296"/>
      <c r="AR93" s="296"/>
      <c r="AS93" s="296"/>
      <c r="AT93" s="296"/>
      <c r="AU93" s="296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</row>
    <row r="94" spans="1:566" s="34" customFormat="1" ht="15" customHeight="1" x14ac:dyDescent="0.25">
      <c r="A94" s="296"/>
      <c r="B94" s="296"/>
      <c r="C94" s="296"/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296"/>
      <c r="AU94" s="296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</row>
    <row r="95" spans="1:566" s="34" customFormat="1" ht="15" customHeight="1" x14ac:dyDescent="0.25">
      <c r="A95" s="296"/>
      <c r="B95" s="296"/>
      <c r="C95" s="296"/>
      <c r="D95" s="296"/>
      <c r="E95" s="296"/>
      <c r="F95" s="296"/>
      <c r="G95" s="296"/>
      <c r="H95" s="296"/>
      <c r="I95" s="296"/>
      <c r="J95" s="296"/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  <c r="AU95" s="296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</row>
    <row r="96" spans="1:566" s="34" customFormat="1" ht="15" customHeight="1" x14ac:dyDescent="0.25">
      <c r="A96" s="296"/>
      <c r="B96" s="296"/>
      <c r="C96" s="296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  <c r="AU96" s="2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</row>
    <row r="97" spans="1:566" s="34" customFormat="1" ht="15" customHeight="1" x14ac:dyDescent="0.25">
      <c r="A97" s="296"/>
      <c r="B97" s="296"/>
      <c r="C97" s="296"/>
      <c r="D97" s="296"/>
      <c r="E97" s="296"/>
      <c r="F97" s="296"/>
      <c r="G97" s="296"/>
      <c r="H97" s="296"/>
      <c r="I97" s="296"/>
      <c r="J97" s="296"/>
      <c r="K97" s="296"/>
      <c r="L97" s="296"/>
      <c r="M97" s="296"/>
      <c r="N97" s="296"/>
      <c r="O97" s="296"/>
      <c r="P97" s="296"/>
      <c r="Q97" s="296"/>
      <c r="R97" s="296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296"/>
      <c r="AN97" s="296"/>
      <c r="AO97" s="296"/>
      <c r="AP97" s="296"/>
      <c r="AQ97" s="296"/>
      <c r="AR97" s="296"/>
      <c r="AS97" s="296"/>
      <c r="AT97" s="296"/>
      <c r="AU97" s="296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</row>
    <row r="98" spans="1:566" s="34" customFormat="1" ht="15" customHeight="1" x14ac:dyDescent="0.25">
      <c r="A98" s="296"/>
      <c r="B98" s="296"/>
      <c r="C98" s="296"/>
      <c r="D98" s="296"/>
      <c r="E98" s="296"/>
      <c r="F98" s="296"/>
      <c r="G98" s="296"/>
      <c r="H98" s="296"/>
      <c r="I98" s="296"/>
      <c r="J98" s="296"/>
      <c r="K98" s="296"/>
      <c r="L98" s="296"/>
      <c r="M98" s="296"/>
      <c r="N98" s="296"/>
      <c r="O98" s="296"/>
      <c r="P98" s="296"/>
      <c r="Q98" s="296"/>
      <c r="R98" s="296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296"/>
      <c r="AN98" s="296"/>
      <c r="AO98" s="296"/>
      <c r="AP98" s="296"/>
      <c r="AQ98" s="296"/>
      <c r="AR98" s="296"/>
      <c r="AS98" s="296"/>
      <c r="AT98" s="296"/>
      <c r="AU98" s="296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</row>
    <row r="99" spans="1:566" s="34" customFormat="1" ht="15" customHeight="1" x14ac:dyDescent="0.25">
      <c r="A99" s="296"/>
      <c r="B99" s="296"/>
      <c r="C99" s="296"/>
      <c r="D99" s="296"/>
      <c r="E99" s="296"/>
      <c r="F99" s="296"/>
      <c r="G99" s="296"/>
      <c r="H99" s="296"/>
      <c r="I99" s="296"/>
      <c r="J99" s="296"/>
      <c r="K99" s="296"/>
      <c r="L99" s="296"/>
      <c r="M99" s="296"/>
      <c r="N99" s="296"/>
      <c r="O99" s="296"/>
      <c r="P99" s="296"/>
      <c r="Q99" s="296"/>
      <c r="R99" s="296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  <c r="AU99" s="296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</row>
    <row r="100" spans="1:566" s="34" customFormat="1" ht="15" customHeight="1" x14ac:dyDescent="0.25">
      <c r="A100" s="296"/>
      <c r="B100" s="296"/>
      <c r="C100" s="296"/>
      <c r="D100" s="296"/>
      <c r="E100" s="296"/>
      <c r="F100" s="296"/>
      <c r="G100" s="296"/>
      <c r="H100" s="296"/>
      <c r="I100" s="296"/>
      <c r="J100" s="296"/>
      <c r="K100" s="296"/>
      <c r="L100" s="296"/>
      <c r="M100" s="296"/>
      <c r="N100" s="296"/>
      <c r="O100" s="296"/>
      <c r="P100" s="296"/>
      <c r="Q100" s="296"/>
      <c r="R100" s="296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296"/>
      <c r="AN100" s="296"/>
      <c r="AO100" s="296"/>
      <c r="AP100" s="296"/>
      <c r="AQ100" s="296"/>
      <c r="AR100" s="296"/>
      <c r="AS100" s="296"/>
      <c r="AT100" s="296"/>
      <c r="AU100" s="296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</row>
    <row r="101" spans="1:566" s="34" customFormat="1" ht="15" customHeight="1" x14ac:dyDescent="0.25">
      <c r="A101" s="296"/>
      <c r="B101" s="296"/>
      <c r="C101" s="296"/>
      <c r="D101" s="296"/>
      <c r="E101" s="296"/>
      <c r="F101" s="296"/>
      <c r="G101" s="296"/>
      <c r="H101" s="296"/>
      <c r="I101" s="296"/>
      <c r="J101" s="296"/>
      <c r="K101" s="296"/>
      <c r="L101" s="296"/>
      <c r="M101" s="296"/>
      <c r="N101" s="296"/>
      <c r="O101" s="296"/>
      <c r="P101" s="296"/>
      <c r="Q101" s="296"/>
      <c r="R101" s="296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296"/>
      <c r="AN101" s="296"/>
      <c r="AO101" s="296"/>
      <c r="AP101" s="296"/>
      <c r="AQ101" s="296"/>
      <c r="AR101" s="296"/>
      <c r="AS101" s="296"/>
      <c r="AT101" s="296"/>
      <c r="AU101" s="296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</row>
    <row r="102" spans="1:566" s="34" customFormat="1" ht="15" customHeight="1" x14ac:dyDescent="0.25">
      <c r="A102" s="296"/>
      <c r="B102" s="296"/>
      <c r="C102" s="296"/>
      <c r="D102" s="296"/>
      <c r="E102" s="296"/>
      <c r="F102" s="296"/>
      <c r="G102" s="296"/>
      <c r="H102" s="296"/>
      <c r="I102" s="296"/>
      <c r="J102" s="296"/>
      <c r="K102" s="296"/>
      <c r="L102" s="296"/>
      <c r="M102" s="296"/>
      <c r="N102" s="296"/>
      <c r="O102" s="296"/>
      <c r="P102" s="296"/>
      <c r="Q102" s="296"/>
      <c r="R102" s="296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  <c r="AU102" s="296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</row>
    <row r="103" spans="1:566" s="34" customFormat="1" ht="15" customHeight="1" x14ac:dyDescent="0.25">
      <c r="A103" s="296"/>
      <c r="B103" s="296"/>
      <c r="C103" s="296"/>
      <c r="D103" s="296"/>
      <c r="E103" s="296"/>
      <c r="F103" s="296"/>
      <c r="G103" s="296"/>
      <c r="H103" s="296"/>
      <c r="I103" s="296"/>
      <c r="J103" s="296"/>
      <c r="K103" s="296"/>
      <c r="L103" s="296"/>
      <c r="M103" s="296"/>
      <c r="N103" s="296"/>
      <c r="O103" s="296"/>
      <c r="P103" s="296"/>
      <c r="Q103" s="296"/>
      <c r="R103" s="296"/>
      <c r="S103" s="296"/>
      <c r="T103" s="296"/>
      <c r="U103" s="296"/>
      <c r="V103" s="296"/>
      <c r="W103" s="296"/>
      <c r="X103" s="296"/>
      <c r="Y103" s="296"/>
      <c r="Z103" s="296"/>
      <c r="AA103" s="296"/>
      <c r="AB103" s="296"/>
      <c r="AC103" s="296"/>
      <c r="AD103" s="296"/>
      <c r="AE103" s="296"/>
      <c r="AF103" s="296"/>
      <c r="AG103" s="296"/>
      <c r="AH103" s="296"/>
      <c r="AI103" s="296"/>
      <c r="AJ103" s="296"/>
      <c r="AK103" s="296"/>
      <c r="AL103" s="296"/>
      <c r="AM103" s="296"/>
      <c r="AN103" s="296"/>
      <c r="AO103" s="296"/>
      <c r="AP103" s="296"/>
      <c r="AQ103" s="296"/>
      <c r="AR103" s="296"/>
      <c r="AS103" s="296"/>
      <c r="AT103" s="296"/>
      <c r="AU103" s="296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</row>
    <row r="104" spans="1:566" s="34" customFormat="1" ht="15" customHeight="1" x14ac:dyDescent="0.25">
      <c r="A104" s="296"/>
      <c r="B104" s="296"/>
      <c r="C104" s="296"/>
      <c r="D104" s="296"/>
      <c r="E104" s="296"/>
      <c r="F104" s="296"/>
      <c r="G104" s="296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296"/>
      <c r="S104" s="296"/>
      <c r="T104" s="296"/>
      <c r="U104" s="296"/>
      <c r="V104" s="296"/>
      <c r="W104" s="296"/>
      <c r="X104" s="296"/>
      <c r="Y104" s="296"/>
      <c r="Z104" s="296"/>
      <c r="AA104" s="296"/>
      <c r="AB104" s="296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6"/>
      <c r="AU104" s="296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</row>
    <row r="105" spans="1:566" s="34" customFormat="1" ht="15" customHeight="1" x14ac:dyDescent="0.25">
      <c r="A105" s="296"/>
      <c r="B105" s="296"/>
      <c r="C105" s="296"/>
      <c r="D105" s="296"/>
      <c r="E105" s="296"/>
      <c r="F105" s="296"/>
      <c r="G105" s="296"/>
      <c r="H105" s="296"/>
      <c r="I105" s="296"/>
      <c r="J105" s="296"/>
      <c r="K105" s="296"/>
      <c r="L105" s="296"/>
      <c r="M105" s="296"/>
      <c r="N105" s="296"/>
      <c r="O105" s="296"/>
      <c r="P105" s="296"/>
      <c r="Q105" s="296"/>
      <c r="R105" s="296"/>
      <c r="S105" s="296"/>
      <c r="T105" s="296"/>
      <c r="U105" s="296"/>
      <c r="V105" s="296"/>
      <c r="W105" s="296"/>
      <c r="X105" s="296"/>
      <c r="Y105" s="296"/>
      <c r="Z105" s="296"/>
      <c r="AA105" s="296"/>
      <c r="AB105" s="296"/>
      <c r="AC105" s="296"/>
      <c r="AD105" s="296"/>
      <c r="AE105" s="296"/>
      <c r="AF105" s="296"/>
      <c r="AG105" s="296"/>
      <c r="AH105" s="296"/>
      <c r="AI105" s="296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  <c r="AU105" s="296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</row>
    <row r="106" spans="1:566" s="34" customFormat="1" ht="15" customHeight="1" x14ac:dyDescent="0.25">
      <c r="A106" s="296"/>
      <c r="B106" s="296"/>
      <c r="C106" s="296"/>
      <c r="D106" s="296"/>
      <c r="E106" s="296"/>
      <c r="F106" s="296"/>
      <c r="G106" s="296"/>
      <c r="H106" s="296"/>
      <c r="I106" s="296"/>
      <c r="J106" s="296"/>
      <c r="K106" s="296"/>
      <c r="L106" s="296"/>
      <c r="M106" s="296"/>
      <c r="N106" s="296"/>
      <c r="O106" s="296"/>
      <c r="P106" s="296"/>
      <c r="Q106" s="296"/>
      <c r="R106" s="296"/>
      <c r="S106" s="296"/>
      <c r="T106" s="296"/>
      <c r="U106" s="296"/>
      <c r="V106" s="296"/>
      <c r="W106" s="296"/>
      <c r="X106" s="296"/>
      <c r="Y106" s="296"/>
      <c r="Z106" s="296"/>
      <c r="AA106" s="296"/>
      <c r="AB106" s="296"/>
      <c r="AC106" s="296"/>
      <c r="AD106" s="296"/>
      <c r="AE106" s="296"/>
      <c r="AF106" s="296"/>
      <c r="AG106" s="296"/>
      <c r="AH106" s="296"/>
      <c r="AI106" s="296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6"/>
      <c r="AT106" s="296"/>
      <c r="AU106" s="29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</row>
    <row r="107" spans="1:566" s="34" customFormat="1" ht="15.75" customHeight="1" x14ac:dyDescent="0.25">
      <c r="A107" s="296"/>
      <c r="B107" s="296"/>
      <c r="C107" s="296"/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6"/>
      <c r="O107" s="296"/>
      <c r="P107" s="296"/>
      <c r="Q107" s="296"/>
      <c r="R107" s="296"/>
      <c r="S107" s="296"/>
      <c r="T107" s="296"/>
      <c r="U107" s="296"/>
      <c r="V107" s="296"/>
      <c r="W107" s="296"/>
      <c r="X107" s="296"/>
      <c r="Y107" s="296"/>
      <c r="Z107" s="296"/>
      <c r="AA107" s="296"/>
      <c r="AB107" s="296"/>
      <c r="AC107" s="296"/>
      <c r="AD107" s="296"/>
      <c r="AE107" s="296"/>
      <c r="AF107" s="296"/>
      <c r="AG107" s="296"/>
      <c r="AH107" s="296"/>
      <c r="AI107" s="296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  <c r="AU107" s="296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</row>
    <row r="108" spans="1:566" s="34" customFormat="1" ht="15.75" customHeight="1" x14ac:dyDescent="0.25">
      <c r="A108" s="296"/>
      <c r="B108" s="296"/>
      <c r="C108" s="296"/>
      <c r="D108" s="296"/>
      <c r="E108" s="296"/>
      <c r="F108" s="296"/>
      <c r="G108" s="296"/>
      <c r="H108" s="296"/>
      <c r="I108" s="296"/>
      <c r="J108" s="296"/>
      <c r="K108" s="296"/>
      <c r="L108" s="296"/>
      <c r="M108" s="296"/>
      <c r="N108" s="296"/>
      <c r="O108" s="296"/>
      <c r="P108" s="296"/>
      <c r="Q108" s="296"/>
      <c r="R108" s="296"/>
      <c r="S108" s="296"/>
      <c r="T108" s="296"/>
      <c r="U108" s="296"/>
      <c r="V108" s="296"/>
      <c r="W108" s="296"/>
      <c r="X108" s="296"/>
      <c r="Y108" s="296"/>
      <c r="Z108" s="296"/>
      <c r="AA108" s="296"/>
      <c r="AB108" s="296"/>
      <c r="AC108" s="296"/>
      <c r="AD108" s="296"/>
      <c r="AE108" s="296"/>
      <c r="AF108" s="296"/>
      <c r="AG108" s="296"/>
      <c r="AH108" s="296"/>
      <c r="AI108" s="296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  <c r="AU108" s="296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</row>
    <row r="109" spans="1:566" ht="15" customHeight="1" x14ac:dyDescent="0.25">
      <c r="A109" s="296"/>
      <c r="B109" s="296"/>
      <c r="C109" s="296"/>
      <c r="D109" s="296"/>
      <c r="E109" s="296"/>
      <c r="F109" s="296"/>
      <c r="G109" s="296"/>
      <c r="H109" s="296"/>
      <c r="I109" s="296"/>
      <c r="J109" s="296"/>
      <c r="K109" s="296"/>
      <c r="L109" s="296"/>
      <c r="M109" s="296"/>
      <c r="N109" s="296"/>
      <c r="O109" s="296"/>
      <c r="P109" s="296"/>
      <c r="Q109" s="296"/>
      <c r="R109" s="296"/>
      <c r="S109" s="296"/>
      <c r="T109" s="296"/>
      <c r="U109" s="296"/>
      <c r="V109" s="296"/>
      <c r="W109" s="296"/>
      <c r="X109" s="296"/>
      <c r="Y109" s="296"/>
      <c r="Z109" s="296"/>
      <c r="AA109" s="296"/>
      <c r="AB109" s="296"/>
      <c r="AC109" s="296"/>
      <c r="AD109" s="296"/>
      <c r="AE109" s="296"/>
      <c r="AF109" s="296"/>
      <c r="AG109" s="296"/>
      <c r="AH109" s="296"/>
      <c r="AI109" s="296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  <c r="AU109" s="296"/>
    </row>
    <row r="110" spans="1:566" ht="15" customHeight="1" x14ac:dyDescent="0.25">
      <c r="A110" s="296"/>
      <c r="B110" s="296"/>
      <c r="C110" s="296"/>
      <c r="D110" s="296"/>
      <c r="E110" s="296"/>
      <c r="F110" s="296"/>
      <c r="G110" s="296"/>
      <c r="H110" s="296"/>
      <c r="I110" s="296"/>
      <c r="J110" s="296"/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</row>
  </sheetData>
  <mergeCells count="69">
    <mergeCell ref="F7:F8"/>
    <mergeCell ref="A7:A8"/>
    <mergeCell ref="B7:B8"/>
    <mergeCell ref="C7:C8"/>
    <mergeCell ref="D7:D8"/>
    <mergeCell ref="E7:E8"/>
    <mergeCell ref="S7:T7"/>
    <mergeCell ref="U7:V7"/>
    <mergeCell ref="W7:W8"/>
    <mergeCell ref="X7:X8"/>
    <mergeCell ref="G7:G8"/>
    <mergeCell ref="H7:H8"/>
    <mergeCell ref="K7:L7"/>
    <mergeCell ref="M7:N7"/>
    <mergeCell ref="O7:P7"/>
    <mergeCell ref="Q7:R7"/>
    <mergeCell ref="I7:J7"/>
    <mergeCell ref="AE7:AE8"/>
    <mergeCell ref="AF7:AF8"/>
    <mergeCell ref="AG7:AG8"/>
    <mergeCell ref="AH7:AH8"/>
    <mergeCell ref="AI7:AI8"/>
    <mergeCell ref="Y7:Y8"/>
    <mergeCell ref="AA7:AA8"/>
    <mergeCell ref="AB7:AB8"/>
    <mergeCell ref="AC7:AC8"/>
    <mergeCell ref="AD7:AD8"/>
    <mergeCell ref="Z7:Z8"/>
    <mergeCell ref="AW7:AW8"/>
    <mergeCell ref="AQ7:AQ8"/>
    <mergeCell ref="AR7:AR8"/>
    <mergeCell ref="AS7:AS8"/>
    <mergeCell ref="AT7:AT8"/>
    <mergeCell ref="AU7:AU8"/>
    <mergeCell ref="AV7:AV8"/>
    <mergeCell ref="AP7:AP8"/>
    <mergeCell ref="AJ7:AJ8"/>
    <mergeCell ref="AK7:AK8"/>
    <mergeCell ref="AL7:AL8"/>
    <mergeCell ref="AM7:AM8"/>
    <mergeCell ref="AN7:AN8"/>
    <mergeCell ref="AO7:AO8"/>
    <mergeCell ref="Q50:Q51"/>
    <mergeCell ref="R50:R51"/>
    <mergeCell ref="S50:S51"/>
    <mergeCell ref="T50:T51"/>
    <mergeCell ref="C50:C51"/>
    <mergeCell ref="D50:D51"/>
    <mergeCell ref="E50:E51"/>
    <mergeCell ref="F50:F51"/>
    <mergeCell ref="G50:G51"/>
    <mergeCell ref="H50:H51"/>
    <mergeCell ref="K50:L50"/>
    <mergeCell ref="M50:M51"/>
    <mergeCell ref="N50:N51"/>
    <mergeCell ref="O50:O51"/>
    <mergeCell ref="P50:P51"/>
    <mergeCell ref="Y50:Y51"/>
    <mergeCell ref="AA50:AA51"/>
    <mergeCell ref="U50:U51"/>
    <mergeCell ref="V50:V51"/>
    <mergeCell ref="W50:W51"/>
    <mergeCell ref="X50:X51"/>
    <mergeCell ref="Z50:Z51"/>
    <mergeCell ref="AB50:AB51"/>
    <mergeCell ref="AC50:AC51"/>
    <mergeCell ref="AD50:AD51"/>
    <mergeCell ref="AE50:AE51"/>
    <mergeCell ref="AF50:AF51"/>
  </mergeCells>
  <pageMargins left="0.19" right="0.70866141732283472" top="0.17" bottom="0.16" header="0.17" footer="0.16"/>
  <pageSetup paperSize="9" orientation="landscape" verticalDpi="0" r:id="rId1"/>
  <ignoredErrors>
    <ignoredError sqref="H77" formulaRange="1"/>
    <ignoredError sqref="AC77" formula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9"/>
  <sheetViews>
    <sheetView topLeftCell="A67" zoomScaleNormal="100" workbookViewId="0">
      <selection activeCell="M124" sqref="M124"/>
    </sheetView>
  </sheetViews>
  <sheetFormatPr defaultRowHeight="15" x14ac:dyDescent="0.25"/>
  <cols>
    <col min="1" max="1" width="3.140625" customWidth="1"/>
    <col min="2" max="2" width="25.85546875" customWidth="1"/>
    <col min="3" max="3" width="10.7109375" customWidth="1"/>
    <col min="4" max="4" width="10.85546875" customWidth="1"/>
    <col min="5" max="5" width="11.42578125" customWidth="1"/>
    <col min="6" max="6" width="11.7109375" customWidth="1"/>
    <col min="7" max="7" width="12.42578125" customWidth="1"/>
    <col min="8" max="8" width="10.85546875" customWidth="1"/>
    <col min="9" max="9" width="13" customWidth="1"/>
    <col min="10" max="10" width="10.7109375" customWidth="1"/>
    <col min="11" max="11" width="11.42578125" customWidth="1"/>
    <col min="12" max="12" width="10.7109375" customWidth="1"/>
    <col min="13" max="13" width="10.85546875" customWidth="1"/>
    <col min="14" max="14" width="10.28515625" customWidth="1"/>
    <col min="15" max="15" width="11.42578125" customWidth="1"/>
    <col min="16" max="16" width="13.85546875" customWidth="1"/>
    <col min="17" max="17" width="12.140625" customWidth="1"/>
    <col min="18" max="18" width="10.85546875" customWidth="1"/>
    <col min="19" max="19" width="11.28515625" customWidth="1"/>
    <col min="20" max="20" width="13.85546875" customWidth="1"/>
    <col min="21" max="21" width="12.85546875" customWidth="1"/>
  </cols>
  <sheetData>
    <row r="1" spans="1:25" ht="18.75" customHeight="1" x14ac:dyDescent="0.25">
      <c r="A1" s="223"/>
      <c r="B1" s="286" t="s">
        <v>339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9"/>
    </row>
    <row r="2" spans="1:25" ht="34.5" customHeight="1" x14ac:dyDescent="0.25">
      <c r="A2" s="223"/>
      <c r="B2" s="223" t="s">
        <v>340</v>
      </c>
      <c r="C2" s="344">
        <v>1</v>
      </c>
      <c r="D2" s="344">
        <v>2</v>
      </c>
      <c r="E2" s="344">
        <v>3</v>
      </c>
      <c r="F2" s="345">
        <v>4</v>
      </c>
      <c r="G2" s="345">
        <v>5</v>
      </c>
      <c r="H2" s="345">
        <v>6</v>
      </c>
      <c r="I2" s="345">
        <v>7</v>
      </c>
      <c r="J2" s="345">
        <v>8</v>
      </c>
      <c r="K2" s="345">
        <v>9</v>
      </c>
      <c r="L2" s="345">
        <v>10</v>
      </c>
      <c r="M2" s="345">
        <v>11</v>
      </c>
      <c r="N2" s="345">
        <v>12</v>
      </c>
      <c r="O2" s="344" t="s">
        <v>23</v>
      </c>
      <c r="P2" s="347" t="s">
        <v>353</v>
      </c>
      <c r="Q2" s="348" t="s">
        <v>355</v>
      </c>
      <c r="R2" s="345" t="s">
        <v>357</v>
      </c>
      <c r="S2" s="345" t="s">
        <v>359</v>
      </c>
      <c r="T2" s="345" t="s">
        <v>361</v>
      </c>
      <c r="U2" s="223"/>
      <c r="V2" s="345" t="s">
        <v>368</v>
      </c>
      <c r="W2" s="223"/>
      <c r="X2" s="223"/>
      <c r="Y2" s="9"/>
    </row>
    <row r="3" spans="1:25" x14ac:dyDescent="0.25">
      <c r="A3" s="223">
        <v>1</v>
      </c>
      <c r="B3" s="223" t="s">
        <v>341</v>
      </c>
      <c r="C3" s="234">
        <v>40000</v>
      </c>
      <c r="D3" s="234">
        <v>41110</v>
      </c>
      <c r="E3" s="234">
        <v>40550</v>
      </c>
      <c r="F3" s="234">
        <v>34550</v>
      </c>
      <c r="G3" s="234">
        <v>40555</v>
      </c>
      <c r="H3" s="234">
        <v>40555</v>
      </c>
      <c r="I3" s="234">
        <v>41752</v>
      </c>
      <c r="J3" s="234">
        <v>40555</v>
      </c>
      <c r="K3" s="234">
        <v>40555</v>
      </c>
      <c r="L3" s="234">
        <v>40555</v>
      </c>
      <c r="M3" s="234"/>
      <c r="N3" s="234"/>
      <c r="O3" s="234">
        <f t="shared" ref="O3:O15" si="0">SUM(C3:N3)</f>
        <v>400737</v>
      </c>
      <c r="P3" s="349"/>
      <c r="Q3" s="349" t="s">
        <v>356</v>
      </c>
      <c r="R3" s="349" t="s">
        <v>358</v>
      </c>
      <c r="S3" s="349" t="s">
        <v>360</v>
      </c>
      <c r="T3" s="234">
        <v>155550</v>
      </c>
      <c r="U3" s="223"/>
      <c r="V3" s="223">
        <v>155550</v>
      </c>
      <c r="W3" s="223"/>
      <c r="X3" s="223"/>
      <c r="Y3" s="9"/>
    </row>
    <row r="4" spans="1:25" x14ac:dyDescent="0.25">
      <c r="A4" s="223">
        <v>2</v>
      </c>
      <c r="B4" s="223" t="s">
        <v>352</v>
      </c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>
        <v>10065</v>
      </c>
      <c r="N4" s="234">
        <v>37800</v>
      </c>
      <c r="O4" s="234">
        <f t="shared" si="0"/>
        <v>47865</v>
      </c>
      <c r="P4" s="349"/>
      <c r="Q4" s="349"/>
      <c r="R4" s="349"/>
      <c r="S4" s="349"/>
      <c r="T4" s="234"/>
      <c r="U4" s="223"/>
      <c r="V4" s="223"/>
      <c r="W4" s="223"/>
      <c r="X4" s="223"/>
      <c r="Y4" s="9"/>
    </row>
    <row r="5" spans="1:25" ht="15" customHeight="1" x14ac:dyDescent="0.25">
      <c r="A5" s="223">
        <v>3</v>
      </c>
      <c r="B5" s="343" t="s">
        <v>342</v>
      </c>
      <c r="C5" s="234">
        <v>15925</v>
      </c>
      <c r="D5" s="234">
        <v>17250</v>
      </c>
      <c r="E5" s="234">
        <v>17250</v>
      </c>
      <c r="F5" s="234">
        <v>19085</v>
      </c>
      <c r="G5" s="234">
        <v>16292</v>
      </c>
      <c r="H5" s="234">
        <v>17250</v>
      </c>
      <c r="I5" s="234">
        <v>15750</v>
      </c>
      <c r="J5" s="234">
        <v>17399</v>
      </c>
      <c r="K5" s="234">
        <v>20800</v>
      </c>
      <c r="L5" s="234">
        <v>23250</v>
      </c>
      <c r="M5" s="234">
        <v>23250</v>
      </c>
      <c r="N5" s="234">
        <v>23250</v>
      </c>
      <c r="O5" s="234">
        <f t="shared" si="0"/>
        <v>226751</v>
      </c>
      <c r="P5" s="350"/>
      <c r="Q5" s="349"/>
      <c r="R5" s="349"/>
      <c r="S5" s="349"/>
      <c r="T5" s="234"/>
      <c r="U5" s="223"/>
      <c r="V5" s="223"/>
      <c r="W5" s="223"/>
      <c r="X5" s="223"/>
      <c r="Y5" s="9"/>
    </row>
    <row r="6" spans="1:25" ht="14.25" customHeight="1" x14ac:dyDescent="0.25">
      <c r="A6" s="223">
        <v>4</v>
      </c>
      <c r="B6" s="343" t="s">
        <v>343</v>
      </c>
      <c r="C6" s="234">
        <v>17600</v>
      </c>
      <c r="D6" s="234">
        <v>16960</v>
      </c>
      <c r="E6" s="234">
        <v>0</v>
      </c>
      <c r="F6" s="234"/>
      <c r="G6" s="234"/>
      <c r="H6" s="234"/>
      <c r="I6" s="234"/>
      <c r="J6" s="234"/>
      <c r="K6" s="234"/>
      <c r="L6" s="234"/>
      <c r="M6" s="234"/>
      <c r="N6" s="234"/>
      <c r="O6" s="234">
        <f t="shared" si="0"/>
        <v>34560</v>
      </c>
      <c r="P6" s="350"/>
      <c r="Q6" s="349"/>
      <c r="R6" s="349"/>
      <c r="S6" s="350"/>
      <c r="T6" s="234">
        <v>34560</v>
      </c>
      <c r="U6" s="223"/>
      <c r="V6" s="223"/>
      <c r="W6" s="223"/>
      <c r="X6" s="223"/>
      <c r="Y6" s="9"/>
    </row>
    <row r="7" spans="1:25" x14ac:dyDescent="0.25">
      <c r="A7" s="343">
        <v>5</v>
      </c>
      <c r="B7" s="343" t="s">
        <v>344</v>
      </c>
      <c r="C7" s="234">
        <v>17000</v>
      </c>
      <c r="D7" s="234">
        <v>13710</v>
      </c>
      <c r="E7" s="234">
        <v>17000</v>
      </c>
      <c r="F7" s="234">
        <v>17000</v>
      </c>
      <c r="G7" s="234">
        <v>17000</v>
      </c>
      <c r="H7" s="234">
        <v>17000</v>
      </c>
      <c r="I7" s="234">
        <v>17626</v>
      </c>
      <c r="J7" s="234">
        <v>10523</v>
      </c>
      <c r="K7" s="234">
        <v>22096</v>
      </c>
      <c r="L7" s="234">
        <v>17000</v>
      </c>
      <c r="M7" s="234">
        <v>17000</v>
      </c>
      <c r="N7" s="234">
        <v>17000</v>
      </c>
      <c r="O7" s="234">
        <f t="shared" si="0"/>
        <v>199955</v>
      </c>
      <c r="P7" s="350"/>
      <c r="Q7" s="349"/>
      <c r="R7" s="349"/>
      <c r="S7" s="349"/>
      <c r="T7" s="234"/>
      <c r="U7" s="223"/>
      <c r="V7" s="223"/>
      <c r="W7" s="223"/>
      <c r="X7" s="223"/>
      <c r="Y7" s="9"/>
    </row>
    <row r="8" spans="1:25" x14ac:dyDescent="0.25">
      <c r="A8" s="343">
        <v>6</v>
      </c>
      <c r="B8" s="343" t="s">
        <v>345</v>
      </c>
      <c r="C8" s="234">
        <v>8600</v>
      </c>
      <c r="D8" s="360">
        <v>18037</v>
      </c>
      <c r="E8" s="360">
        <v>9350</v>
      </c>
      <c r="F8" s="360">
        <v>19125</v>
      </c>
      <c r="G8" s="234"/>
      <c r="H8" s="360">
        <v>18275</v>
      </c>
      <c r="I8" s="360">
        <v>17850</v>
      </c>
      <c r="J8" s="360">
        <v>11900</v>
      </c>
      <c r="K8" s="234"/>
      <c r="L8" s="360">
        <v>40525</v>
      </c>
      <c r="M8" s="234"/>
      <c r="N8" s="234"/>
      <c r="O8" s="234">
        <f t="shared" si="0"/>
        <v>143662</v>
      </c>
      <c r="P8" s="350"/>
      <c r="Q8" s="349"/>
      <c r="R8" s="349"/>
      <c r="S8" s="349"/>
      <c r="T8" s="234">
        <v>143662</v>
      </c>
      <c r="U8" s="223"/>
      <c r="V8" s="223"/>
      <c r="W8" s="223"/>
      <c r="X8" s="223"/>
      <c r="Y8" s="9"/>
    </row>
    <row r="9" spans="1:25" x14ac:dyDescent="0.25">
      <c r="A9" s="343">
        <v>7</v>
      </c>
      <c r="B9" s="343" t="s">
        <v>346</v>
      </c>
      <c r="C9" s="234">
        <v>3200</v>
      </c>
      <c r="D9" s="234">
        <v>12000</v>
      </c>
      <c r="E9" s="234">
        <v>12000</v>
      </c>
      <c r="F9" s="234">
        <v>12000</v>
      </c>
      <c r="G9" s="234">
        <v>12000</v>
      </c>
      <c r="H9" s="234">
        <v>13371</v>
      </c>
      <c r="I9" s="234">
        <v>14400</v>
      </c>
      <c r="J9" s="234">
        <v>14400</v>
      </c>
      <c r="K9" s="234">
        <v>14400</v>
      </c>
      <c r="L9" s="234">
        <v>14400</v>
      </c>
      <c r="M9" s="234">
        <v>14400</v>
      </c>
      <c r="N9" s="234">
        <v>14400</v>
      </c>
      <c r="O9" s="234">
        <f t="shared" si="0"/>
        <v>150971</v>
      </c>
      <c r="P9" s="350"/>
      <c r="Q9" s="349"/>
      <c r="R9" s="349"/>
      <c r="S9" s="349"/>
      <c r="T9" s="234">
        <v>150971</v>
      </c>
      <c r="U9" s="223"/>
      <c r="V9" s="223"/>
      <c r="W9" s="223"/>
      <c r="X9" s="223"/>
      <c r="Y9" s="9"/>
    </row>
    <row r="10" spans="1:25" x14ac:dyDescent="0.25">
      <c r="A10" s="343">
        <v>8</v>
      </c>
      <c r="B10" s="343" t="s">
        <v>347</v>
      </c>
      <c r="C10" s="234">
        <v>26700</v>
      </c>
      <c r="D10" s="234">
        <v>30700</v>
      </c>
      <c r="E10" s="234">
        <v>28675</v>
      </c>
      <c r="F10" s="234">
        <v>28675</v>
      </c>
      <c r="G10" s="234">
        <v>26456</v>
      </c>
      <c r="H10" s="234">
        <v>28675</v>
      </c>
      <c r="I10" s="234">
        <v>28675</v>
      </c>
      <c r="J10" s="234">
        <v>28598</v>
      </c>
      <c r="K10" s="234">
        <v>28675</v>
      </c>
      <c r="L10" s="234">
        <v>28675</v>
      </c>
      <c r="M10" s="234">
        <v>28675</v>
      </c>
      <c r="N10" s="234">
        <v>28675</v>
      </c>
      <c r="O10" s="234">
        <f t="shared" si="0"/>
        <v>341854</v>
      </c>
      <c r="P10" s="350" t="s">
        <v>354</v>
      </c>
      <c r="Q10" s="349"/>
      <c r="R10" s="349"/>
      <c r="S10" s="349"/>
      <c r="T10" s="234">
        <v>205200</v>
      </c>
      <c r="U10" s="223"/>
      <c r="V10" s="223"/>
      <c r="W10" s="223"/>
      <c r="X10" s="223"/>
      <c r="Y10" s="9"/>
    </row>
    <row r="11" spans="1:25" x14ac:dyDescent="0.25">
      <c r="A11" s="343">
        <v>9</v>
      </c>
      <c r="B11" s="343" t="s">
        <v>348</v>
      </c>
      <c r="C11" s="234">
        <v>20640</v>
      </c>
      <c r="D11" s="234">
        <v>15840</v>
      </c>
      <c r="E11" s="234">
        <v>15200</v>
      </c>
      <c r="F11" s="234">
        <v>15200</v>
      </c>
      <c r="G11" s="234">
        <v>16000</v>
      </c>
      <c r="H11" s="234">
        <v>16800</v>
      </c>
      <c r="I11" s="234">
        <v>16000</v>
      </c>
      <c r="J11" s="234">
        <v>15897</v>
      </c>
      <c r="K11" s="234">
        <v>16000</v>
      </c>
      <c r="L11" s="234">
        <v>16000</v>
      </c>
      <c r="M11" s="234">
        <v>16000</v>
      </c>
      <c r="N11" s="234">
        <v>16000</v>
      </c>
      <c r="O11" s="234">
        <f t="shared" si="0"/>
        <v>195577</v>
      </c>
      <c r="P11" s="350"/>
      <c r="Q11" s="349"/>
      <c r="R11" s="349"/>
      <c r="S11" s="349"/>
      <c r="T11" s="234">
        <v>195577</v>
      </c>
      <c r="U11" s="223"/>
      <c r="V11" s="223"/>
      <c r="W11" s="223"/>
      <c r="X11" s="223"/>
      <c r="Y11" s="9"/>
    </row>
    <row r="12" spans="1:25" x14ac:dyDescent="0.25">
      <c r="A12" s="343">
        <v>10</v>
      </c>
      <c r="B12" s="343" t="s">
        <v>349</v>
      </c>
      <c r="C12" s="234"/>
      <c r="D12" s="234"/>
      <c r="E12" s="234">
        <v>11657</v>
      </c>
      <c r="F12" s="234">
        <v>14400</v>
      </c>
      <c r="G12" s="234">
        <v>14400</v>
      </c>
      <c r="H12" s="234">
        <v>6171</v>
      </c>
      <c r="I12" s="234"/>
      <c r="J12" s="234"/>
      <c r="K12" s="234"/>
      <c r="L12" s="234"/>
      <c r="M12" s="234"/>
      <c r="N12" s="234"/>
      <c r="O12" s="234">
        <f t="shared" si="0"/>
        <v>46628</v>
      </c>
      <c r="P12" s="350"/>
      <c r="Q12" s="349"/>
      <c r="R12" s="349"/>
      <c r="S12" s="349"/>
      <c r="T12" s="234">
        <v>46628</v>
      </c>
      <c r="U12" s="223"/>
      <c r="V12" s="223"/>
      <c r="W12" s="223"/>
      <c r="X12" s="223"/>
      <c r="Y12" s="9"/>
    </row>
    <row r="13" spans="1:25" x14ac:dyDescent="0.25">
      <c r="A13" s="343">
        <v>11</v>
      </c>
      <c r="B13" s="343" t="s">
        <v>350</v>
      </c>
      <c r="C13" s="234"/>
      <c r="D13" s="234"/>
      <c r="E13" s="234"/>
      <c r="F13" s="234"/>
      <c r="G13" s="234"/>
      <c r="H13" s="234">
        <v>6857</v>
      </c>
      <c r="I13" s="234">
        <v>12000</v>
      </c>
      <c r="J13" s="234">
        <v>12000</v>
      </c>
      <c r="K13" s="234">
        <v>12000</v>
      </c>
      <c r="L13" s="234">
        <v>12000</v>
      </c>
      <c r="M13" s="234">
        <v>12000</v>
      </c>
      <c r="N13" s="234">
        <v>12000</v>
      </c>
      <c r="O13" s="234">
        <f t="shared" si="0"/>
        <v>78857</v>
      </c>
      <c r="P13" s="350"/>
      <c r="Q13" s="349"/>
      <c r="R13" s="349"/>
      <c r="S13" s="349"/>
      <c r="T13" s="234">
        <v>78857</v>
      </c>
      <c r="U13" s="223"/>
      <c r="V13" s="223"/>
      <c r="W13" s="223"/>
      <c r="X13" s="223"/>
      <c r="Y13" s="9"/>
    </row>
    <row r="14" spans="1:25" x14ac:dyDescent="0.25">
      <c r="A14" s="343">
        <v>12</v>
      </c>
      <c r="B14" s="343" t="s">
        <v>351</v>
      </c>
      <c r="C14" s="234"/>
      <c r="D14" s="234"/>
      <c r="E14" s="234"/>
      <c r="F14" s="234"/>
      <c r="G14" s="234"/>
      <c r="H14" s="234"/>
      <c r="I14" s="234"/>
      <c r="J14" s="234">
        <v>12952</v>
      </c>
      <c r="K14" s="234"/>
      <c r="L14" s="234"/>
      <c r="M14" s="234"/>
      <c r="N14" s="234"/>
      <c r="O14" s="234">
        <f t="shared" si="0"/>
        <v>12952</v>
      </c>
      <c r="P14" s="350"/>
      <c r="Q14" s="349"/>
      <c r="R14" s="349"/>
      <c r="S14" s="349"/>
      <c r="T14" s="234">
        <v>12952</v>
      </c>
      <c r="U14" s="223"/>
      <c r="V14" s="223"/>
      <c r="W14" s="223"/>
      <c r="X14" s="223"/>
      <c r="Y14" s="9"/>
    </row>
    <row r="15" spans="1:25" x14ac:dyDescent="0.25">
      <c r="A15" s="223"/>
      <c r="B15" s="223"/>
      <c r="C15" s="346">
        <f t="shared" ref="C15:N15" si="1">SUM(C3:C14)</f>
        <v>149665</v>
      </c>
      <c r="D15" s="346">
        <f t="shared" si="1"/>
        <v>165607</v>
      </c>
      <c r="E15" s="346">
        <f t="shared" si="1"/>
        <v>151682</v>
      </c>
      <c r="F15" s="346">
        <f t="shared" si="1"/>
        <v>160035</v>
      </c>
      <c r="G15" s="346">
        <f t="shared" si="1"/>
        <v>142703</v>
      </c>
      <c r="H15" s="346">
        <f t="shared" si="1"/>
        <v>164954</v>
      </c>
      <c r="I15" s="346">
        <f t="shared" si="1"/>
        <v>164053</v>
      </c>
      <c r="J15" s="346">
        <f t="shared" si="1"/>
        <v>164224</v>
      </c>
      <c r="K15" s="346">
        <f t="shared" si="1"/>
        <v>154526</v>
      </c>
      <c r="L15" s="346">
        <f t="shared" si="1"/>
        <v>192405</v>
      </c>
      <c r="M15" s="346">
        <f t="shared" si="1"/>
        <v>121390</v>
      </c>
      <c r="N15" s="346">
        <f t="shared" si="1"/>
        <v>149125</v>
      </c>
      <c r="O15" s="357">
        <f t="shared" si="0"/>
        <v>1880369</v>
      </c>
      <c r="P15" s="346">
        <f>17100*12</f>
        <v>205200</v>
      </c>
      <c r="Q15" s="346">
        <f>1000*12</f>
        <v>12000</v>
      </c>
      <c r="R15" s="346">
        <f>11500*12</f>
        <v>138000</v>
      </c>
      <c r="S15" s="346">
        <f>555*10</f>
        <v>5550</v>
      </c>
      <c r="T15" s="357">
        <f>SUM(T3:T14)</f>
        <v>1023957</v>
      </c>
      <c r="U15" s="223"/>
      <c r="V15" s="223"/>
      <c r="W15" s="223"/>
      <c r="X15" s="223"/>
      <c r="Y15" s="9"/>
    </row>
    <row r="16" spans="1:25" x14ac:dyDescent="0.25">
      <c r="A16" s="134"/>
      <c r="B16" s="223"/>
      <c r="C16" s="234" t="s">
        <v>180</v>
      </c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</row>
    <row r="17" spans="1:22" x14ac:dyDescent="0.25">
      <c r="A17" s="223"/>
      <c r="B17" s="354" t="s">
        <v>362</v>
      </c>
      <c r="C17" s="366">
        <v>245187</v>
      </c>
      <c r="D17" s="346" t="s">
        <v>419</v>
      </c>
      <c r="E17" s="346"/>
      <c r="F17" s="346"/>
      <c r="G17" s="108">
        <v>856412</v>
      </c>
      <c r="H17" s="351" t="s">
        <v>364</v>
      </c>
      <c r="I17" s="346"/>
      <c r="J17" s="346"/>
      <c r="K17" s="346"/>
      <c r="L17" s="346"/>
      <c r="M17" s="234"/>
      <c r="N17" s="234"/>
      <c r="O17" s="234"/>
      <c r="P17" s="234"/>
    </row>
    <row r="18" spans="1:22" x14ac:dyDescent="0.25">
      <c r="A18" s="9"/>
      <c r="B18" s="345"/>
      <c r="C18" s="367">
        <v>47865</v>
      </c>
      <c r="D18" s="351" t="s">
        <v>419</v>
      </c>
      <c r="E18" s="351"/>
      <c r="F18" s="351"/>
      <c r="G18" s="108">
        <v>663207</v>
      </c>
      <c r="H18" s="351" t="s">
        <v>365</v>
      </c>
      <c r="I18" s="362">
        <v>119001</v>
      </c>
      <c r="J18" s="351">
        <f>G18-I18</f>
        <v>544206</v>
      </c>
      <c r="K18" s="351"/>
      <c r="L18" s="351"/>
      <c r="M18" s="108"/>
      <c r="N18" s="108"/>
      <c r="O18" s="108"/>
      <c r="P18" s="108"/>
    </row>
    <row r="19" spans="1:22" x14ac:dyDescent="0.25">
      <c r="A19" s="9"/>
      <c r="B19" s="9"/>
      <c r="C19" s="108">
        <v>226751</v>
      </c>
      <c r="D19" s="108"/>
      <c r="E19" s="108"/>
      <c r="F19" s="108"/>
      <c r="G19" s="108">
        <v>155550</v>
      </c>
      <c r="H19" s="351" t="s">
        <v>366</v>
      </c>
      <c r="I19" s="108"/>
      <c r="J19" s="108"/>
      <c r="K19" s="108"/>
      <c r="L19" s="108"/>
      <c r="M19" s="108"/>
      <c r="N19" s="108"/>
      <c r="O19" s="108"/>
      <c r="P19" s="108"/>
    </row>
    <row r="20" spans="1:22" x14ac:dyDescent="0.25">
      <c r="C20" s="351">
        <v>199955</v>
      </c>
      <c r="D20" s="108"/>
      <c r="E20" s="108"/>
      <c r="F20" s="108"/>
      <c r="G20" s="50">
        <v>205200</v>
      </c>
      <c r="H20" s="352" t="s">
        <v>367</v>
      </c>
      <c r="I20" s="108"/>
      <c r="J20" s="108"/>
      <c r="K20" s="108"/>
      <c r="L20" s="351"/>
      <c r="M20" s="108"/>
      <c r="N20" s="108"/>
      <c r="O20" s="108"/>
      <c r="P20" s="351"/>
      <c r="R20" t="s">
        <v>394</v>
      </c>
    </row>
    <row r="21" spans="1:22" x14ac:dyDescent="0.25">
      <c r="C21" s="351">
        <v>136654</v>
      </c>
      <c r="D21" s="108"/>
      <c r="E21" s="108"/>
      <c r="F21" s="108"/>
      <c r="G21" s="356">
        <f>SUM(G17:G20)</f>
        <v>1880369</v>
      </c>
      <c r="H21" s="50"/>
      <c r="I21" s="108"/>
      <c r="J21" s="108"/>
      <c r="K21" s="108"/>
      <c r="L21" s="351"/>
      <c r="M21" s="108"/>
      <c r="N21" s="108"/>
      <c r="O21" s="108"/>
      <c r="P21" s="351"/>
      <c r="R21" s="359">
        <v>3</v>
      </c>
      <c r="S21" t="s">
        <v>380</v>
      </c>
      <c r="T21" t="s">
        <v>381</v>
      </c>
      <c r="U21" s="50">
        <v>14811</v>
      </c>
      <c r="V21" s="50"/>
    </row>
    <row r="22" spans="1:22" x14ac:dyDescent="0.25">
      <c r="B22" s="353" t="s">
        <v>23</v>
      </c>
      <c r="C22" s="281">
        <f>SUM(C17:C21)</f>
        <v>856412</v>
      </c>
      <c r="D22" s="368">
        <v>293052</v>
      </c>
      <c r="E22" s="351">
        <v>563360</v>
      </c>
      <c r="F22" s="108"/>
      <c r="G22" s="50"/>
      <c r="H22" s="50"/>
      <c r="I22" s="108"/>
      <c r="J22" s="108"/>
      <c r="K22" s="108"/>
      <c r="L22" s="281"/>
      <c r="M22" s="108"/>
      <c r="N22" s="108"/>
      <c r="O22" s="108"/>
      <c r="P22" s="351"/>
      <c r="R22" s="359"/>
      <c r="T22" t="s">
        <v>382</v>
      </c>
      <c r="U22" s="50">
        <v>64702</v>
      </c>
      <c r="V22" s="50"/>
    </row>
    <row r="23" spans="1:22" x14ac:dyDescent="0.25">
      <c r="C23" s="50"/>
      <c r="D23" s="50"/>
      <c r="E23" s="50"/>
      <c r="F23" s="50"/>
      <c r="G23" s="50"/>
      <c r="H23" s="50"/>
      <c r="I23" s="50"/>
      <c r="J23" s="50"/>
      <c r="K23" s="50"/>
      <c r="L23" s="352"/>
      <c r="M23" s="50"/>
      <c r="N23" s="50"/>
      <c r="O23" s="50"/>
      <c r="P23" s="352"/>
      <c r="R23" s="359"/>
      <c r="T23" t="s">
        <v>383</v>
      </c>
      <c r="U23" s="50">
        <v>19984</v>
      </c>
      <c r="V23" s="50"/>
    </row>
    <row r="24" spans="1:22" x14ac:dyDescent="0.25">
      <c r="B24" s="355" t="s">
        <v>363</v>
      </c>
      <c r="C24" s="352">
        <v>34560</v>
      </c>
      <c r="D24" s="50" t="s">
        <v>381</v>
      </c>
      <c r="E24" s="50"/>
      <c r="F24" s="50"/>
      <c r="G24" s="50"/>
      <c r="H24" s="50"/>
      <c r="I24" s="50"/>
      <c r="J24" s="50"/>
      <c r="K24" s="50"/>
      <c r="L24" s="352"/>
      <c r="M24" s="50"/>
      <c r="N24" s="50"/>
      <c r="O24" s="356"/>
      <c r="P24" s="50"/>
      <c r="R24" s="359"/>
      <c r="U24" s="50">
        <f>SUM(U21:U23)</f>
        <v>99497</v>
      </c>
      <c r="V24" s="50"/>
    </row>
    <row r="25" spans="1:22" x14ac:dyDescent="0.25">
      <c r="C25" s="352">
        <v>143662</v>
      </c>
      <c r="D25" s="50" t="s">
        <v>386</v>
      </c>
      <c r="E25" s="50"/>
      <c r="F25" s="50"/>
      <c r="G25" s="50"/>
      <c r="H25" s="50"/>
      <c r="I25" s="50"/>
      <c r="J25" s="50"/>
      <c r="K25" s="50"/>
      <c r="L25" s="352"/>
      <c r="M25" s="50"/>
      <c r="N25" s="50"/>
      <c r="O25" s="50"/>
      <c r="P25" s="50"/>
      <c r="R25" s="359"/>
      <c r="U25" s="50"/>
      <c r="V25" s="50"/>
    </row>
    <row r="26" spans="1:22" x14ac:dyDescent="0.25">
      <c r="C26" s="352">
        <v>150971</v>
      </c>
      <c r="D26" s="50" t="s">
        <v>382</v>
      </c>
      <c r="E26" s="50"/>
      <c r="F26" s="50"/>
      <c r="G26" s="50"/>
      <c r="H26" s="50"/>
      <c r="I26" s="50"/>
      <c r="J26" s="50"/>
      <c r="K26" s="50"/>
      <c r="L26" s="352"/>
      <c r="M26" s="50"/>
      <c r="N26" s="50"/>
      <c r="O26" s="50"/>
      <c r="P26" s="50"/>
      <c r="R26" s="359"/>
      <c r="U26" s="50"/>
      <c r="V26" s="50"/>
    </row>
    <row r="27" spans="1:22" x14ac:dyDescent="0.25">
      <c r="C27" s="352">
        <v>195577</v>
      </c>
      <c r="D27" s="50" t="s">
        <v>390</v>
      </c>
      <c r="E27" s="50"/>
      <c r="F27" s="50"/>
      <c r="G27" s="50"/>
      <c r="H27" s="50"/>
      <c r="I27" s="50"/>
      <c r="J27" s="50"/>
      <c r="K27" s="50"/>
      <c r="L27" s="352"/>
      <c r="M27" s="50"/>
      <c r="N27" s="50"/>
      <c r="O27" s="50"/>
      <c r="P27" s="50"/>
      <c r="R27" s="359"/>
      <c r="U27" s="50"/>
      <c r="V27" s="50"/>
    </row>
    <row r="28" spans="1:22" x14ac:dyDescent="0.25">
      <c r="C28" s="50">
        <v>46628</v>
      </c>
      <c r="D28" s="50" t="s">
        <v>383</v>
      </c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R28" s="359">
        <v>4</v>
      </c>
      <c r="S28" t="s">
        <v>384</v>
      </c>
      <c r="T28" t="s">
        <v>381</v>
      </c>
      <c r="U28" s="50">
        <v>19749</v>
      </c>
      <c r="V28" s="50"/>
    </row>
    <row r="29" spans="1:22" x14ac:dyDescent="0.25">
      <c r="C29" s="50">
        <v>78857</v>
      </c>
      <c r="D29" s="50" t="s">
        <v>387</v>
      </c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R29" s="359"/>
      <c r="T29" t="s">
        <v>382</v>
      </c>
      <c r="U29" s="50">
        <v>86269</v>
      </c>
      <c r="V29" s="50"/>
    </row>
    <row r="30" spans="1:22" x14ac:dyDescent="0.25">
      <c r="C30" s="50">
        <v>12952</v>
      </c>
      <c r="D30" s="50" t="s">
        <v>391</v>
      </c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R30" s="359"/>
      <c r="T30" t="s">
        <v>383</v>
      </c>
      <c r="U30" s="50">
        <v>26644</v>
      </c>
      <c r="V30" s="50"/>
    </row>
    <row r="31" spans="1:22" x14ac:dyDescent="0.25">
      <c r="B31" s="353" t="s">
        <v>23</v>
      </c>
      <c r="C31" s="356">
        <f>SUM(C24:C30)</f>
        <v>663207</v>
      </c>
      <c r="D31" s="362">
        <v>119001</v>
      </c>
      <c r="E31" s="351"/>
      <c r="F31" s="50"/>
      <c r="G31" s="50"/>
      <c r="H31" s="50"/>
      <c r="I31" s="50"/>
      <c r="J31" s="50"/>
      <c r="K31" s="50"/>
      <c r="L31" s="356"/>
      <c r="M31" s="50"/>
      <c r="N31" s="50"/>
      <c r="O31" s="50"/>
      <c r="P31" s="50"/>
      <c r="R31" s="359"/>
      <c r="U31" s="50">
        <f>SUM(U28:U30)</f>
        <v>132662</v>
      </c>
      <c r="V31" s="50"/>
    </row>
    <row r="32" spans="1:22" x14ac:dyDescent="0.25">
      <c r="B32" t="s">
        <v>401</v>
      </c>
      <c r="C32" s="50">
        <v>16150.38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R32" s="359"/>
      <c r="U32" s="50"/>
      <c r="V32" s="50"/>
    </row>
    <row r="33" spans="1:22" x14ac:dyDescent="0.25">
      <c r="B33" t="s">
        <v>395</v>
      </c>
      <c r="C33" s="50">
        <v>9350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R33" s="359">
        <v>3</v>
      </c>
      <c r="S33" t="s">
        <v>385</v>
      </c>
      <c r="T33" t="s">
        <v>386</v>
      </c>
      <c r="U33" s="50">
        <v>12330</v>
      </c>
      <c r="V33" s="50"/>
    </row>
    <row r="34" spans="1:22" x14ac:dyDescent="0.25">
      <c r="B34" t="s">
        <v>396</v>
      </c>
      <c r="C34" s="50">
        <v>19125</v>
      </c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R34" s="359"/>
      <c r="T34" t="s">
        <v>387</v>
      </c>
      <c r="U34" s="50">
        <v>39428</v>
      </c>
      <c r="V34" s="50"/>
    </row>
    <row r="35" spans="1:22" x14ac:dyDescent="0.25">
      <c r="B35" t="s">
        <v>397</v>
      </c>
      <c r="C35" s="50">
        <v>18275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R35" s="359"/>
      <c r="U35" s="50">
        <f>SUM(U33:U34)</f>
        <v>51758</v>
      </c>
      <c r="V35" s="50"/>
    </row>
    <row r="36" spans="1:22" x14ac:dyDescent="0.25">
      <c r="B36" t="s">
        <v>398</v>
      </c>
      <c r="C36" s="50">
        <v>17850</v>
      </c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R36" s="359"/>
      <c r="U36" s="50"/>
      <c r="V36" s="50"/>
    </row>
    <row r="37" spans="1:22" x14ac:dyDescent="0.25">
      <c r="B37" t="s">
        <v>399</v>
      </c>
      <c r="C37" s="50">
        <v>11900</v>
      </c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R37" s="359">
        <v>3</v>
      </c>
      <c r="S37" t="s">
        <v>388</v>
      </c>
      <c r="T37" t="s">
        <v>386</v>
      </c>
      <c r="U37" s="50">
        <v>12331</v>
      </c>
      <c r="V37" s="50"/>
    </row>
    <row r="38" spans="1:22" x14ac:dyDescent="0.25">
      <c r="B38" t="s">
        <v>400</v>
      </c>
      <c r="C38" s="50">
        <v>26350.62</v>
      </c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R38" s="359"/>
      <c r="T38" t="s">
        <v>387</v>
      </c>
      <c r="U38" s="50">
        <v>39428</v>
      </c>
      <c r="V38" s="50"/>
    </row>
    <row r="39" spans="1:22" x14ac:dyDescent="0.25">
      <c r="B39" s="353" t="s">
        <v>420</v>
      </c>
      <c r="C39" s="361">
        <f>SUM(C32:C38)</f>
        <v>119001</v>
      </c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R39" s="359"/>
      <c r="U39" s="50">
        <f>SUM(U37:U38)</f>
        <v>51759</v>
      </c>
      <c r="V39" s="50"/>
    </row>
    <row r="40" spans="1:22" x14ac:dyDescent="0.25"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R40" s="359"/>
      <c r="U40" s="50"/>
      <c r="V40" s="50"/>
    </row>
    <row r="41" spans="1:22" x14ac:dyDescent="0.25"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R41" s="359">
        <v>3</v>
      </c>
      <c r="S41" t="s">
        <v>389</v>
      </c>
      <c r="T41" t="s">
        <v>390</v>
      </c>
      <c r="U41" s="50">
        <v>65192</v>
      </c>
      <c r="V41" s="50"/>
    </row>
    <row r="42" spans="1:22" x14ac:dyDescent="0.25">
      <c r="B42" s="355" t="s">
        <v>402</v>
      </c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R42" s="359"/>
      <c r="T42" t="s">
        <v>391</v>
      </c>
      <c r="U42" s="50">
        <v>4317</v>
      </c>
      <c r="V42" s="50"/>
    </row>
    <row r="43" spans="1:22" x14ac:dyDescent="0.25">
      <c r="C43" s="363">
        <v>1</v>
      </c>
      <c r="D43" s="363">
        <v>2</v>
      </c>
      <c r="E43" s="363">
        <v>3</v>
      </c>
      <c r="F43" s="363">
        <v>4</v>
      </c>
      <c r="G43" s="363">
        <v>5</v>
      </c>
      <c r="H43" s="363">
        <v>6</v>
      </c>
      <c r="I43" s="363">
        <v>7</v>
      </c>
      <c r="J43" s="363">
        <v>8</v>
      </c>
      <c r="K43" s="363">
        <v>9</v>
      </c>
      <c r="L43" s="363">
        <v>10</v>
      </c>
      <c r="M43" s="363">
        <v>11</v>
      </c>
      <c r="N43" s="363">
        <v>12</v>
      </c>
      <c r="O43" s="352" t="s">
        <v>23</v>
      </c>
      <c r="P43" s="50"/>
      <c r="R43" s="359"/>
      <c r="U43" s="50">
        <f>SUM(U41:U42)</f>
        <v>69509</v>
      </c>
      <c r="V43" s="50"/>
    </row>
    <row r="44" spans="1:22" x14ac:dyDescent="0.25">
      <c r="A44">
        <v>1</v>
      </c>
      <c r="B44" t="s">
        <v>403</v>
      </c>
      <c r="C44" s="50">
        <v>17100</v>
      </c>
      <c r="D44" s="50">
        <v>17100</v>
      </c>
      <c r="E44" s="50">
        <v>17100</v>
      </c>
      <c r="F44" s="50">
        <v>17100</v>
      </c>
      <c r="G44" s="50">
        <v>17100</v>
      </c>
      <c r="H44" s="50">
        <v>17100</v>
      </c>
      <c r="I44" s="50">
        <v>17100</v>
      </c>
      <c r="J44" s="50">
        <v>17100</v>
      </c>
      <c r="K44" s="50">
        <v>17100</v>
      </c>
      <c r="L44" s="50">
        <v>17100</v>
      </c>
      <c r="M44" s="50">
        <v>17100</v>
      </c>
      <c r="N44" s="50">
        <v>17100</v>
      </c>
      <c r="O44" s="352">
        <f t="shared" ref="O44:O60" si="2">SUM(C44:N44)</f>
        <v>205200</v>
      </c>
      <c r="P44" s="50"/>
      <c r="R44" s="359"/>
      <c r="U44" s="50"/>
      <c r="V44" s="50"/>
    </row>
    <row r="45" spans="1:22" x14ac:dyDescent="0.25">
      <c r="A45">
        <v>2</v>
      </c>
      <c r="B45" s="364" t="s">
        <v>404</v>
      </c>
      <c r="C45" s="50">
        <v>7881</v>
      </c>
      <c r="D45" s="50">
        <v>4500</v>
      </c>
      <c r="E45" s="50">
        <v>6400</v>
      </c>
      <c r="F45" s="50">
        <v>11854</v>
      </c>
      <c r="G45" s="50">
        <v>8177</v>
      </c>
      <c r="H45" s="50">
        <v>6400</v>
      </c>
      <c r="I45" s="50">
        <v>6400</v>
      </c>
      <c r="J45" s="50">
        <v>6400</v>
      </c>
      <c r="K45" s="50">
        <v>7559</v>
      </c>
      <c r="L45" s="50">
        <v>6400</v>
      </c>
      <c r="M45" s="50">
        <v>6400</v>
      </c>
      <c r="N45" s="50">
        <v>6400</v>
      </c>
      <c r="O45" s="365">
        <f t="shared" si="2"/>
        <v>84771</v>
      </c>
      <c r="P45" s="375" t="s">
        <v>424</v>
      </c>
      <c r="R45" s="359">
        <v>3</v>
      </c>
      <c r="S45" t="s">
        <v>392</v>
      </c>
      <c r="T45" t="s">
        <v>390</v>
      </c>
      <c r="U45" s="50">
        <v>65192</v>
      </c>
      <c r="V45" s="50"/>
    </row>
    <row r="46" spans="1:22" x14ac:dyDescent="0.25">
      <c r="A46">
        <v>3</v>
      </c>
      <c r="B46" s="364" t="s">
        <v>405</v>
      </c>
      <c r="C46" s="50">
        <v>10313</v>
      </c>
      <c r="D46" s="50">
        <v>8887</v>
      </c>
      <c r="E46" s="50">
        <v>8000</v>
      </c>
      <c r="F46" s="50">
        <v>8000</v>
      </c>
      <c r="G46" s="50">
        <v>8000</v>
      </c>
      <c r="H46" s="50">
        <v>8000</v>
      </c>
      <c r="I46" s="50">
        <v>8000</v>
      </c>
      <c r="J46" s="50">
        <v>8000</v>
      </c>
      <c r="K46" s="50">
        <v>8000</v>
      </c>
      <c r="L46" s="50">
        <v>8804</v>
      </c>
      <c r="M46" s="50">
        <v>8000</v>
      </c>
      <c r="N46" s="50">
        <v>15504</v>
      </c>
      <c r="O46" s="365">
        <f t="shared" si="2"/>
        <v>107508</v>
      </c>
      <c r="P46" s="376">
        <v>39356</v>
      </c>
      <c r="R46" s="359"/>
      <c r="T46" t="s">
        <v>391</v>
      </c>
      <c r="U46" s="50">
        <v>4317</v>
      </c>
      <c r="V46" s="50"/>
    </row>
    <row r="47" spans="1:22" x14ac:dyDescent="0.25">
      <c r="A47">
        <v>4</v>
      </c>
      <c r="B47" t="s">
        <v>406</v>
      </c>
      <c r="C47" s="50">
        <v>5700</v>
      </c>
      <c r="D47" s="50">
        <v>5700</v>
      </c>
      <c r="E47" s="50">
        <v>5762</v>
      </c>
      <c r="F47" s="50">
        <v>5700</v>
      </c>
      <c r="G47" s="50">
        <v>5700</v>
      </c>
      <c r="H47" s="50">
        <v>5700</v>
      </c>
      <c r="I47" s="50">
        <v>5700</v>
      </c>
      <c r="J47" s="50">
        <v>5700</v>
      </c>
      <c r="K47" s="50">
        <v>5700</v>
      </c>
      <c r="L47" s="50">
        <v>5700</v>
      </c>
      <c r="M47" s="50">
        <v>5700</v>
      </c>
      <c r="N47" s="50">
        <v>6179</v>
      </c>
      <c r="O47" s="352">
        <f t="shared" si="2"/>
        <v>68941</v>
      </c>
      <c r="P47" s="375"/>
      <c r="R47" s="359"/>
      <c r="U47" s="50">
        <f>SUM(U45:U46)</f>
        <v>69509</v>
      </c>
      <c r="V47" s="50"/>
    </row>
    <row r="48" spans="1:22" x14ac:dyDescent="0.25">
      <c r="A48">
        <v>5</v>
      </c>
      <c r="B48" t="s">
        <v>407</v>
      </c>
      <c r="C48" s="50">
        <v>5700</v>
      </c>
      <c r="D48" s="50">
        <v>5700</v>
      </c>
      <c r="E48" s="50">
        <v>4614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/>
      <c r="L48" s="50"/>
      <c r="M48" s="50"/>
      <c r="N48" s="50"/>
      <c r="O48" s="352">
        <f t="shared" si="2"/>
        <v>16014</v>
      </c>
      <c r="P48" s="375"/>
      <c r="R48" s="359"/>
      <c r="U48" s="50"/>
      <c r="V48" s="50"/>
    </row>
    <row r="49" spans="1:22" x14ac:dyDescent="0.25">
      <c r="A49">
        <v>6</v>
      </c>
      <c r="B49" t="s">
        <v>417</v>
      </c>
      <c r="C49" s="50">
        <v>21600</v>
      </c>
      <c r="D49" s="50">
        <v>21600</v>
      </c>
      <c r="E49" s="50">
        <v>21870</v>
      </c>
      <c r="F49" s="50">
        <v>21600</v>
      </c>
      <c r="G49" s="50">
        <v>71648</v>
      </c>
      <c r="H49" s="50"/>
      <c r="I49" s="50">
        <v>19783</v>
      </c>
      <c r="J49" s="50">
        <v>23000</v>
      </c>
      <c r="K49" s="50">
        <v>44065</v>
      </c>
      <c r="L49" s="50">
        <v>17778</v>
      </c>
      <c r="M49" s="50">
        <v>8100</v>
      </c>
      <c r="N49" s="50">
        <v>17787</v>
      </c>
      <c r="O49" s="352">
        <f t="shared" si="2"/>
        <v>288831</v>
      </c>
      <c r="P49" s="375"/>
      <c r="R49" s="359">
        <v>3</v>
      </c>
      <c r="S49" t="s">
        <v>393</v>
      </c>
      <c r="T49" t="s">
        <v>390</v>
      </c>
      <c r="U49" s="50">
        <v>65193</v>
      </c>
      <c r="V49" s="50"/>
    </row>
    <row r="50" spans="1:22" x14ac:dyDescent="0.25">
      <c r="A50">
        <v>7</v>
      </c>
      <c r="B50" s="364" t="s">
        <v>408</v>
      </c>
      <c r="C50" s="50">
        <v>6400</v>
      </c>
      <c r="D50" s="50">
        <v>6400</v>
      </c>
      <c r="E50" s="50">
        <v>6400</v>
      </c>
      <c r="F50" s="50">
        <v>13872</v>
      </c>
      <c r="G50" s="50">
        <v>1444</v>
      </c>
      <c r="H50" s="50"/>
      <c r="I50" s="50"/>
      <c r="J50" s="50"/>
      <c r="K50" s="50"/>
      <c r="L50" s="50"/>
      <c r="M50" s="50"/>
      <c r="N50" s="50"/>
      <c r="O50" s="365">
        <f t="shared" si="2"/>
        <v>34516</v>
      </c>
      <c r="P50" s="375" t="s">
        <v>425</v>
      </c>
      <c r="T50" t="s">
        <v>391</v>
      </c>
      <c r="U50" s="50">
        <v>4319</v>
      </c>
      <c r="V50" s="50"/>
    </row>
    <row r="51" spans="1:22" x14ac:dyDescent="0.25">
      <c r="A51">
        <v>8</v>
      </c>
      <c r="B51" t="s">
        <v>409</v>
      </c>
      <c r="C51" s="50">
        <v>5700</v>
      </c>
      <c r="D51" s="50">
        <v>5700</v>
      </c>
      <c r="E51" s="50">
        <v>5700</v>
      </c>
      <c r="F51" s="50">
        <v>5700</v>
      </c>
      <c r="G51" s="50">
        <v>5700</v>
      </c>
      <c r="H51" s="50">
        <v>5700</v>
      </c>
      <c r="I51" s="50">
        <v>5700</v>
      </c>
      <c r="J51" s="50">
        <v>5700</v>
      </c>
      <c r="K51" s="50">
        <v>5700</v>
      </c>
      <c r="L51" s="50">
        <v>5700</v>
      </c>
      <c r="M51" s="50">
        <v>5700</v>
      </c>
      <c r="N51" s="50">
        <v>5700</v>
      </c>
      <c r="O51" s="352">
        <f t="shared" si="2"/>
        <v>68400</v>
      </c>
      <c r="P51" s="375"/>
      <c r="U51" s="50">
        <f>SUM(U49:U50)</f>
        <v>69512</v>
      </c>
    </row>
    <row r="52" spans="1:22" x14ac:dyDescent="0.25">
      <c r="A52">
        <v>9</v>
      </c>
      <c r="B52" t="s">
        <v>410</v>
      </c>
      <c r="C52" s="50">
        <v>15530</v>
      </c>
      <c r="D52" s="50">
        <v>15530</v>
      </c>
      <c r="E52" s="50">
        <v>15530</v>
      </c>
      <c r="F52" s="50">
        <v>15530</v>
      </c>
      <c r="G52" s="50">
        <v>15530</v>
      </c>
      <c r="H52" s="50">
        <v>15492</v>
      </c>
      <c r="I52" s="50">
        <v>15530</v>
      </c>
      <c r="J52" s="50">
        <v>15530</v>
      </c>
      <c r="K52" s="50">
        <v>15530</v>
      </c>
      <c r="L52" s="50">
        <v>15530</v>
      </c>
      <c r="M52" s="50">
        <v>15530</v>
      </c>
      <c r="N52" s="50">
        <v>16162</v>
      </c>
      <c r="O52" s="352">
        <f t="shared" si="2"/>
        <v>186954</v>
      </c>
      <c r="P52" s="375"/>
    </row>
    <row r="53" spans="1:22" x14ac:dyDescent="0.25">
      <c r="A53">
        <v>10</v>
      </c>
      <c r="B53" s="364" t="s">
        <v>411</v>
      </c>
      <c r="C53" s="50">
        <v>7881</v>
      </c>
      <c r="D53" s="50">
        <v>9079</v>
      </c>
      <c r="E53" s="50">
        <v>8000</v>
      </c>
      <c r="F53" s="50">
        <v>8000</v>
      </c>
      <c r="G53" s="50">
        <v>6400</v>
      </c>
      <c r="H53" s="50">
        <v>6400</v>
      </c>
      <c r="I53" s="50">
        <v>9182</v>
      </c>
      <c r="J53" s="50">
        <v>9500</v>
      </c>
      <c r="K53" s="50">
        <v>12218</v>
      </c>
      <c r="L53" s="50">
        <v>6400</v>
      </c>
      <c r="M53" s="50">
        <v>6400</v>
      </c>
      <c r="N53" s="50">
        <v>6400</v>
      </c>
      <c r="O53" s="365">
        <f t="shared" si="2"/>
        <v>95860</v>
      </c>
      <c r="P53" s="375" t="s">
        <v>426</v>
      </c>
      <c r="U53" s="50">
        <f>U24+U31+U35+U39+U43+U47+U51</f>
        <v>544206</v>
      </c>
    </row>
    <row r="54" spans="1:22" x14ac:dyDescent="0.25">
      <c r="A54">
        <v>11</v>
      </c>
      <c r="B54" s="364" t="s">
        <v>412</v>
      </c>
      <c r="C54" s="50">
        <v>16713</v>
      </c>
      <c r="D54" s="50">
        <v>17847</v>
      </c>
      <c r="E54" s="50">
        <v>14400</v>
      </c>
      <c r="F54" s="50">
        <v>14400</v>
      </c>
      <c r="G54" s="50">
        <v>14400</v>
      </c>
      <c r="H54" s="50">
        <v>14400</v>
      </c>
      <c r="I54" s="50">
        <v>22431</v>
      </c>
      <c r="J54" s="50">
        <v>7542</v>
      </c>
      <c r="K54" s="50">
        <v>14400</v>
      </c>
      <c r="L54" s="50">
        <v>14400</v>
      </c>
      <c r="M54" s="50">
        <v>14400</v>
      </c>
      <c r="N54" s="50">
        <v>14400</v>
      </c>
      <c r="O54" s="365">
        <f t="shared" si="2"/>
        <v>179733</v>
      </c>
      <c r="P54" s="375" t="s">
        <v>427</v>
      </c>
    </row>
    <row r="55" spans="1:22" x14ac:dyDescent="0.25">
      <c r="A55">
        <v>12</v>
      </c>
      <c r="B55" s="364" t="s">
        <v>413</v>
      </c>
      <c r="C55" s="50">
        <v>13813</v>
      </c>
      <c r="D55" s="50">
        <v>12386.74</v>
      </c>
      <c r="E55" s="50">
        <v>11500</v>
      </c>
      <c r="F55" s="50">
        <v>15912</v>
      </c>
      <c r="G55" s="50">
        <v>8945</v>
      </c>
      <c r="H55" s="50">
        <v>11500</v>
      </c>
      <c r="I55" s="50">
        <v>11500</v>
      </c>
      <c r="J55" s="50">
        <v>11500</v>
      </c>
      <c r="K55" s="50">
        <v>11500</v>
      </c>
      <c r="L55" s="50">
        <v>11500</v>
      </c>
      <c r="M55" s="50">
        <v>11500</v>
      </c>
      <c r="N55" s="50">
        <v>11500</v>
      </c>
      <c r="O55" s="365">
        <f t="shared" si="2"/>
        <v>143056.74</v>
      </c>
      <c r="P55" s="375" t="s">
        <v>428</v>
      </c>
    </row>
    <row r="56" spans="1:22" x14ac:dyDescent="0.25">
      <c r="A56">
        <v>13</v>
      </c>
      <c r="B56" t="s">
        <v>414</v>
      </c>
      <c r="C56" s="50">
        <v>10640</v>
      </c>
      <c r="D56" s="50">
        <v>13100</v>
      </c>
      <c r="E56" s="50">
        <v>11400</v>
      </c>
      <c r="F56" s="50">
        <v>11400</v>
      </c>
      <c r="G56" s="50">
        <v>11400</v>
      </c>
      <c r="H56" s="50">
        <v>11000</v>
      </c>
      <c r="I56" s="50">
        <v>10739</v>
      </c>
      <c r="J56" s="50">
        <v>10314</v>
      </c>
      <c r="K56" s="50">
        <v>10881</v>
      </c>
      <c r="L56" s="50">
        <v>11400</v>
      </c>
      <c r="M56" s="50">
        <v>11400</v>
      </c>
      <c r="N56" s="50">
        <v>11809</v>
      </c>
      <c r="O56" s="352">
        <f t="shared" si="2"/>
        <v>135483</v>
      </c>
      <c r="P56" s="375"/>
    </row>
    <row r="57" spans="1:22" x14ac:dyDescent="0.25">
      <c r="A57">
        <v>14</v>
      </c>
      <c r="B57" s="364" t="s">
        <v>415</v>
      </c>
      <c r="C57" s="50"/>
      <c r="D57" s="50"/>
      <c r="E57" s="50"/>
      <c r="F57" s="50"/>
      <c r="G57" s="50">
        <v>6400</v>
      </c>
      <c r="H57" s="50">
        <v>6400</v>
      </c>
      <c r="I57" s="50">
        <v>9878</v>
      </c>
      <c r="J57" s="50">
        <v>10209</v>
      </c>
      <c r="K57" s="50">
        <v>6400</v>
      </c>
      <c r="L57" s="50">
        <v>6400</v>
      </c>
      <c r="M57" s="50">
        <v>6400</v>
      </c>
      <c r="N57" s="50"/>
      <c r="O57" s="365">
        <f t="shared" si="2"/>
        <v>52087</v>
      </c>
      <c r="P57" s="375" t="s">
        <v>425</v>
      </c>
    </row>
    <row r="58" spans="1:22" x14ac:dyDescent="0.25">
      <c r="A58">
        <v>15</v>
      </c>
      <c r="B58" t="s">
        <v>416</v>
      </c>
      <c r="C58" s="50"/>
      <c r="D58" s="50"/>
      <c r="E58" s="50"/>
      <c r="F58" s="50"/>
      <c r="G58" s="50"/>
      <c r="H58" s="50">
        <v>12000</v>
      </c>
      <c r="I58" s="50">
        <v>4000</v>
      </c>
      <c r="J58" s="50">
        <v>4000</v>
      </c>
      <c r="K58" s="50"/>
      <c r="L58" s="50"/>
      <c r="M58" s="50"/>
      <c r="N58" s="50"/>
      <c r="O58" s="352">
        <f t="shared" si="2"/>
        <v>20000</v>
      </c>
      <c r="P58" s="375"/>
    </row>
    <row r="59" spans="1:22" x14ac:dyDescent="0.25">
      <c r="A59">
        <v>16</v>
      </c>
      <c r="B59" t="s">
        <v>418</v>
      </c>
      <c r="C59" s="50"/>
      <c r="D59" s="50"/>
      <c r="E59" s="50"/>
      <c r="F59" s="50"/>
      <c r="G59" s="50"/>
      <c r="H59" s="50"/>
      <c r="I59" s="50"/>
      <c r="J59" s="50">
        <v>1628</v>
      </c>
      <c r="K59" s="50">
        <v>5700</v>
      </c>
      <c r="L59" s="50">
        <v>5700</v>
      </c>
      <c r="M59" s="50">
        <v>5700</v>
      </c>
      <c r="N59" s="50">
        <v>5700</v>
      </c>
      <c r="O59" s="352">
        <f t="shared" si="2"/>
        <v>24428</v>
      </c>
      <c r="P59" s="375"/>
    </row>
    <row r="60" spans="1:22" x14ac:dyDescent="0.25">
      <c r="C60" s="352">
        <f t="shared" ref="C60:N60" si="3">SUM(C44:C59)</f>
        <v>144971</v>
      </c>
      <c r="D60" s="352">
        <f t="shared" si="3"/>
        <v>143529.74</v>
      </c>
      <c r="E60" s="352">
        <f t="shared" si="3"/>
        <v>136676</v>
      </c>
      <c r="F60" s="352">
        <f t="shared" si="3"/>
        <v>149068</v>
      </c>
      <c r="G60" s="352">
        <f t="shared" si="3"/>
        <v>180844</v>
      </c>
      <c r="H60" s="352">
        <f t="shared" si="3"/>
        <v>120092</v>
      </c>
      <c r="I60" s="352">
        <f t="shared" si="3"/>
        <v>145943</v>
      </c>
      <c r="J60" s="352">
        <f t="shared" si="3"/>
        <v>136123</v>
      </c>
      <c r="K60" s="352">
        <f t="shared" si="3"/>
        <v>164753</v>
      </c>
      <c r="L60" s="352">
        <f t="shared" si="3"/>
        <v>132812</v>
      </c>
      <c r="M60" s="352">
        <f t="shared" si="3"/>
        <v>122330</v>
      </c>
      <c r="N60" s="352">
        <f t="shared" si="3"/>
        <v>134641</v>
      </c>
      <c r="O60" s="352">
        <f t="shared" si="2"/>
        <v>1711782.74</v>
      </c>
      <c r="P60" s="375"/>
    </row>
    <row r="61" spans="1:22" x14ac:dyDescent="0.25"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75"/>
    </row>
    <row r="62" spans="1:22" x14ac:dyDescent="0.25">
      <c r="B62" t="s">
        <v>364</v>
      </c>
      <c r="C62" s="352">
        <v>205200</v>
      </c>
      <c r="D62" s="352"/>
      <c r="E62" s="352" t="s">
        <v>365</v>
      </c>
      <c r="F62" s="352">
        <v>84771</v>
      </c>
      <c r="G62" s="352"/>
      <c r="H62" s="352" t="s">
        <v>455</v>
      </c>
      <c r="I62" s="352">
        <v>135483</v>
      </c>
      <c r="J62" s="352"/>
      <c r="K62" s="352"/>
      <c r="L62" s="352"/>
      <c r="M62" s="352"/>
      <c r="N62" s="352"/>
      <c r="O62" s="352"/>
      <c r="P62" s="375"/>
    </row>
    <row r="63" spans="1:22" x14ac:dyDescent="0.25">
      <c r="C63" s="352">
        <v>68941</v>
      </c>
      <c r="D63" s="352"/>
      <c r="E63" s="352"/>
      <c r="F63" s="352">
        <v>107508</v>
      </c>
      <c r="G63" s="352"/>
      <c r="H63" s="352"/>
      <c r="I63" s="352"/>
      <c r="J63" s="352"/>
      <c r="K63" s="352"/>
      <c r="L63" s="352"/>
      <c r="M63" s="352"/>
      <c r="N63" s="352"/>
      <c r="O63" s="352"/>
      <c r="P63" s="375"/>
    </row>
    <row r="64" spans="1:22" x14ac:dyDescent="0.25">
      <c r="C64" s="352">
        <v>16014</v>
      </c>
      <c r="D64" s="352"/>
      <c r="E64" s="352"/>
      <c r="F64" s="352">
        <v>34516</v>
      </c>
      <c r="G64" s="352"/>
      <c r="H64" s="352"/>
      <c r="I64" s="352"/>
      <c r="J64" s="352"/>
      <c r="K64" s="352"/>
      <c r="L64" s="352"/>
      <c r="M64" s="352"/>
      <c r="N64" s="352"/>
      <c r="O64" s="352"/>
      <c r="P64" s="375"/>
    </row>
    <row r="65" spans="2:16" x14ac:dyDescent="0.25">
      <c r="C65" s="352">
        <v>288831</v>
      </c>
      <c r="D65" s="352"/>
      <c r="E65" s="352"/>
      <c r="F65" s="352">
        <v>95860</v>
      </c>
      <c r="G65" s="352"/>
      <c r="H65" s="352"/>
      <c r="I65" s="352"/>
      <c r="J65" s="352"/>
      <c r="K65" s="352"/>
      <c r="L65" s="352"/>
      <c r="M65" s="352"/>
      <c r="N65" s="352"/>
      <c r="O65" s="352"/>
      <c r="P65" s="375"/>
    </row>
    <row r="66" spans="2:16" x14ac:dyDescent="0.25">
      <c r="C66" s="352">
        <v>68400</v>
      </c>
      <c r="D66" s="352"/>
      <c r="E66" s="352"/>
      <c r="F66" s="352">
        <v>179733</v>
      </c>
      <c r="G66" s="352"/>
      <c r="H66" s="352"/>
      <c r="I66" s="352"/>
      <c r="J66" s="352"/>
      <c r="K66" s="352"/>
      <c r="L66" s="352"/>
      <c r="M66" s="352"/>
      <c r="N66" s="352"/>
      <c r="O66" s="352"/>
      <c r="P66" s="375"/>
    </row>
    <row r="67" spans="2:16" x14ac:dyDescent="0.25">
      <c r="C67" s="352">
        <v>186954</v>
      </c>
      <c r="D67" s="352"/>
      <c r="E67" s="352"/>
      <c r="F67" s="352">
        <v>143056.74</v>
      </c>
      <c r="G67" s="352"/>
      <c r="H67" s="352"/>
      <c r="I67" s="352"/>
      <c r="J67" s="352"/>
      <c r="K67" s="352"/>
      <c r="L67" s="352"/>
      <c r="M67" s="352"/>
      <c r="N67" s="352"/>
      <c r="O67" s="352"/>
      <c r="P67" s="375"/>
    </row>
    <row r="68" spans="2:16" x14ac:dyDescent="0.25">
      <c r="C68" s="352">
        <v>20000</v>
      </c>
      <c r="D68" s="352"/>
      <c r="E68" s="352"/>
      <c r="F68" s="352">
        <v>52087</v>
      </c>
      <c r="G68" s="352"/>
      <c r="H68" s="352"/>
      <c r="I68" s="352"/>
      <c r="J68" s="352"/>
      <c r="K68" s="352"/>
      <c r="L68" s="352"/>
      <c r="M68" s="352"/>
      <c r="N68" s="352"/>
      <c r="O68" s="352"/>
      <c r="P68" s="375"/>
    </row>
    <row r="69" spans="2:16" x14ac:dyDescent="0.25">
      <c r="C69" s="352">
        <v>24428</v>
      </c>
      <c r="D69" s="352"/>
      <c r="E69" s="352"/>
      <c r="F69" s="352"/>
      <c r="G69" s="352"/>
      <c r="H69" s="352"/>
      <c r="I69" s="352"/>
      <c r="J69" s="352"/>
      <c r="K69" s="352"/>
      <c r="L69" s="352"/>
      <c r="M69" s="352"/>
      <c r="N69" s="352"/>
      <c r="O69" s="352"/>
      <c r="P69" s="375"/>
    </row>
    <row r="70" spans="2:16" x14ac:dyDescent="0.25">
      <c r="C70" s="352">
        <f>SUM(C62:C69)</f>
        <v>878768</v>
      </c>
      <c r="D70" s="352"/>
      <c r="E70" s="352"/>
      <c r="F70" s="352">
        <f>SUM(F62:F69)</f>
        <v>697531.74</v>
      </c>
      <c r="G70" s="352"/>
      <c r="H70" s="352"/>
      <c r="I70" s="352">
        <f>SUM(I62:I69)</f>
        <v>135483</v>
      </c>
      <c r="J70" s="352"/>
      <c r="K70" s="352">
        <f>C70+F70+I70</f>
        <v>1711782.74</v>
      </c>
      <c r="L70" s="352"/>
      <c r="M70" s="352"/>
      <c r="N70" s="352"/>
      <c r="O70" s="352"/>
      <c r="P70" s="375"/>
    </row>
    <row r="71" spans="2:16" x14ac:dyDescent="0.25">
      <c r="C71" s="352"/>
      <c r="D71" s="352"/>
      <c r="E71" s="352"/>
      <c r="F71" s="352"/>
      <c r="G71" s="352"/>
      <c r="H71" s="352"/>
      <c r="I71" s="352"/>
      <c r="J71" s="352"/>
      <c r="K71" s="352"/>
      <c r="L71" s="352"/>
      <c r="M71" s="352"/>
      <c r="N71" s="352"/>
      <c r="O71" s="352"/>
      <c r="P71" s="375"/>
    </row>
    <row r="73" spans="2:16" x14ac:dyDescent="0.25">
      <c r="B73" s="355" t="s">
        <v>433</v>
      </c>
    </row>
    <row r="74" spans="2:16" x14ac:dyDescent="0.25">
      <c r="B74" s="223" t="s">
        <v>340</v>
      </c>
      <c r="C74" s="344">
        <v>1</v>
      </c>
      <c r="D74" s="344">
        <v>2</v>
      </c>
      <c r="E74" s="344">
        <v>3</v>
      </c>
      <c r="F74" s="345">
        <v>4</v>
      </c>
      <c r="G74" s="345">
        <v>5</v>
      </c>
      <c r="H74" s="345">
        <v>6</v>
      </c>
      <c r="I74" s="345">
        <v>7</v>
      </c>
      <c r="J74" s="345">
        <v>8</v>
      </c>
      <c r="K74" s="345">
        <v>9</v>
      </c>
      <c r="L74" s="345">
        <v>10</v>
      </c>
      <c r="M74" s="345">
        <v>11</v>
      </c>
      <c r="N74" s="345">
        <v>12</v>
      </c>
      <c r="O74" s="344" t="s">
        <v>23</v>
      </c>
    </row>
    <row r="75" spans="2:16" x14ac:dyDescent="0.25">
      <c r="B75" s="364" t="s">
        <v>437</v>
      </c>
      <c r="C75" s="388">
        <v>7880.5</v>
      </c>
      <c r="D75" s="388">
        <v>7480</v>
      </c>
      <c r="E75" s="388">
        <v>6400</v>
      </c>
      <c r="F75" s="388">
        <v>6400</v>
      </c>
      <c r="G75" s="388">
        <v>9965</v>
      </c>
      <c r="H75" s="388"/>
      <c r="I75" s="388"/>
      <c r="J75" s="388"/>
      <c r="K75" s="388"/>
      <c r="L75" s="388"/>
      <c r="M75" s="388"/>
      <c r="N75" s="388"/>
      <c r="O75" s="365">
        <f>SUM(C75:N75)</f>
        <v>38125.5</v>
      </c>
    </row>
    <row r="76" spans="2:16" x14ac:dyDescent="0.25">
      <c r="B76" s="50" t="s">
        <v>438</v>
      </c>
      <c r="C76" s="50">
        <v>14600</v>
      </c>
      <c r="D76" s="50">
        <v>21565</v>
      </c>
      <c r="E76" s="50">
        <v>14600</v>
      </c>
      <c r="F76" s="50">
        <v>14600</v>
      </c>
      <c r="G76" s="50">
        <v>14600</v>
      </c>
      <c r="H76" s="50">
        <v>14600</v>
      </c>
      <c r="I76" s="50"/>
      <c r="J76" s="50"/>
      <c r="K76" s="50"/>
      <c r="L76" s="50"/>
      <c r="M76" s="50"/>
      <c r="N76" s="50"/>
      <c r="O76" s="352">
        <f>SUM(C76:N76)</f>
        <v>94565</v>
      </c>
    </row>
    <row r="77" spans="2:16" ht="14.25" customHeight="1" x14ac:dyDescent="0.25">
      <c r="B77" s="364" t="s">
        <v>440</v>
      </c>
      <c r="C77" s="388">
        <v>6400</v>
      </c>
      <c r="D77" s="388">
        <v>8521</v>
      </c>
      <c r="E77" s="388">
        <v>6095</v>
      </c>
      <c r="F77" s="388">
        <v>6400</v>
      </c>
      <c r="G77" s="388">
        <v>6400</v>
      </c>
      <c r="H77" s="388">
        <v>6400</v>
      </c>
      <c r="I77" s="388">
        <v>6400</v>
      </c>
      <c r="J77" s="388">
        <v>6400</v>
      </c>
      <c r="K77" s="388">
        <v>6400</v>
      </c>
      <c r="L77" s="388">
        <v>8434</v>
      </c>
      <c r="M77" s="388"/>
      <c r="N77" s="388"/>
      <c r="O77" s="365">
        <f>SUM(C77:N77)</f>
        <v>67850</v>
      </c>
    </row>
    <row r="78" spans="2:16" hidden="1" x14ac:dyDescent="0.25"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352"/>
    </row>
    <row r="79" spans="2:16" x14ac:dyDescent="0.25">
      <c r="B79" t="s">
        <v>439</v>
      </c>
      <c r="C79" s="50">
        <v>14500</v>
      </c>
      <c r="D79" s="50">
        <v>16800</v>
      </c>
      <c r="E79" s="50">
        <v>14500</v>
      </c>
      <c r="F79" s="50">
        <v>14500</v>
      </c>
      <c r="G79" s="50">
        <v>14500</v>
      </c>
      <c r="H79" s="50">
        <v>15069</v>
      </c>
      <c r="I79" s="50">
        <v>13239</v>
      </c>
      <c r="J79" s="50">
        <v>14442</v>
      </c>
      <c r="K79" s="50">
        <v>14500</v>
      </c>
      <c r="L79" s="50">
        <v>14500</v>
      </c>
      <c r="M79" s="50">
        <v>14500</v>
      </c>
      <c r="N79" s="50">
        <v>14500</v>
      </c>
      <c r="O79" s="352">
        <f t="shared" ref="O79:O93" si="4">SUM(C79:N79)</f>
        <v>175550</v>
      </c>
    </row>
    <row r="80" spans="2:16" x14ac:dyDescent="0.25">
      <c r="B80" s="364" t="s">
        <v>441</v>
      </c>
      <c r="C80" s="388">
        <v>7880.5</v>
      </c>
      <c r="D80" s="388">
        <v>9480</v>
      </c>
      <c r="E80" s="388">
        <v>7400</v>
      </c>
      <c r="F80" s="388">
        <v>7925</v>
      </c>
      <c r="G80" s="388">
        <v>6400</v>
      </c>
      <c r="H80" s="388">
        <v>8400</v>
      </c>
      <c r="I80" s="388">
        <v>6400</v>
      </c>
      <c r="J80" s="388">
        <v>6400</v>
      </c>
      <c r="K80" s="388">
        <v>6400</v>
      </c>
      <c r="L80" s="388">
        <v>4950</v>
      </c>
      <c r="M80" s="388"/>
      <c r="N80" s="388"/>
      <c r="O80" s="365">
        <f t="shared" si="4"/>
        <v>71635.5</v>
      </c>
    </row>
    <row r="81" spans="2:15" x14ac:dyDescent="0.25">
      <c r="B81" s="364" t="s">
        <v>442</v>
      </c>
      <c r="C81" s="388">
        <v>7880.5</v>
      </c>
      <c r="D81" s="388">
        <v>7480</v>
      </c>
      <c r="E81" s="388">
        <v>6400</v>
      </c>
      <c r="F81" s="388">
        <v>6400</v>
      </c>
      <c r="G81" s="388">
        <v>6400</v>
      </c>
      <c r="H81" s="388">
        <v>6400</v>
      </c>
      <c r="I81" s="388">
        <v>6400</v>
      </c>
      <c r="J81" s="388">
        <v>600</v>
      </c>
      <c r="K81" s="388">
        <v>6400</v>
      </c>
      <c r="L81" s="388">
        <v>6400</v>
      </c>
      <c r="M81" s="388">
        <v>6400</v>
      </c>
      <c r="N81" s="388">
        <v>6400</v>
      </c>
      <c r="O81" s="365">
        <f t="shared" si="4"/>
        <v>73560.5</v>
      </c>
    </row>
    <row r="82" spans="2:15" x14ac:dyDescent="0.25">
      <c r="B82" t="s">
        <v>443</v>
      </c>
      <c r="C82" s="50">
        <v>14600</v>
      </c>
      <c r="D82" s="50">
        <v>14600</v>
      </c>
      <c r="E82" s="50">
        <v>14600</v>
      </c>
      <c r="F82" s="50">
        <v>14600</v>
      </c>
      <c r="G82" s="50">
        <v>14234</v>
      </c>
      <c r="H82" s="50">
        <v>14600</v>
      </c>
      <c r="I82" s="50">
        <v>14600</v>
      </c>
      <c r="J82" s="50">
        <v>16900</v>
      </c>
      <c r="K82" s="50">
        <v>13936</v>
      </c>
      <c r="L82" s="50">
        <v>14600</v>
      </c>
      <c r="M82" s="50">
        <v>14406</v>
      </c>
      <c r="N82" s="50">
        <v>14600</v>
      </c>
      <c r="O82" s="352">
        <f t="shared" si="4"/>
        <v>176276</v>
      </c>
    </row>
    <row r="83" spans="2:15" x14ac:dyDescent="0.25">
      <c r="B83" t="s">
        <v>444</v>
      </c>
      <c r="C83" s="352">
        <v>15000</v>
      </c>
      <c r="D83" s="50">
        <v>19000</v>
      </c>
      <c r="E83" s="50">
        <v>23000</v>
      </c>
      <c r="F83" s="50">
        <v>16441</v>
      </c>
      <c r="G83" s="50">
        <v>17298</v>
      </c>
      <c r="H83" s="50">
        <v>19000</v>
      </c>
      <c r="I83" s="50">
        <v>19000</v>
      </c>
      <c r="J83" s="50">
        <v>9600</v>
      </c>
      <c r="K83" s="50"/>
      <c r="L83" s="50"/>
      <c r="M83" s="50"/>
      <c r="N83" s="50"/>
      <c r="O83" s="352">
        <f t="shared" si="4"/>
        <v>138339</v>
      </c>
    </row>
    <row r="84" spans="2:15" x14ac:dyDescent="0.25">
      <c r="B84" t="s">
        <v>445</v>
      </c>
      <c r="C84" s="50"/>
      <c r="D84" s="50"/>
      <c r="E84" s="50"/>
      <c r="F84" s="50">
        <v>5818</v>
      </c>
      <c r="G84" s="50"/>
      <c r="H84" s="50"/>
      <c r="I84" s="50"/>
      <c r="J84" s="50"/>
      <c r="K84" s="50"/>
      <c r="L84" s="50"/>
      <c r="M84" s="50"/>
      <c r="N84" s="50"/>
      <c r="O84" s="352">
        <f t="shared" si="4"/>
        <v>5818</v>
      </c>
    </row>
    <row r="85" spans="2:15" x14ac:dyDescent="0.25">
      <c r="B85" s="389" t="s">
        <v>446</v>
      </c>
      <c r="C85" s="388"/>
      <c r="D85" s="388"/>
      <c r="E85" s="388"/>
      <c r="F85" s="388"/>
      <c r="G85" s="388"/>
      <c r="H85" s="388">
        <v>6400</v>
      </c>
      <c r="I85" s="388">
        <v>6400</v>
      </c>
      <c r="J85" s="388">
        <v>6400</v>
      </c>
      <c r="K85" s="388">
        <v>6400</v>
      </c>
      <c r="L85" s="388">
        <v>6400</v>
      </c>
      <c r="M85" s="388">
        <v>6400</v>
      </c>
      <c r="N85" s="388">
        <v>6400</v>
      </c>
      <c r="O85" s="365">
        <f t="shared" si="4"/>
        <v>44800</v>
      </c>
    </row>
    <row r="86" spans="2:15" x14ac:dyDescent="0.25">
      <c r="B86" t="s">
        <v>447</v>
      </c>
      <c r="C86" s="50"/>
      <c r="D86" s="50"/>
      <c r="E86" s="50"/>
      <c r="F86" s="50"/>
      <c r="G86" s="50"/>
      <c r="H86" s="50"/>
      <c r="I86" s="50">
        <v>14600</v>
      </c>
      <c r="J86" s="50">
        <v>20926</v>
      </c>
      <c r="K86" s="50"/>
      <c r="L86" s="50"/>
      <c r="M86" s="50"/>
      <c r="N86" s="50"/>
      <c r="O86" s="352">
        <f t="shared" si="4"/>
        <v>35526</v>
      </c>
    </row>
    <row r="87" spans="2:15" x14ac:dyDescent="0.25">
      <c r="B87" s="364" t="s">
        <v>448</v>
      </c>
      <c r="C87" s="388"/>
      <c r="D87" s="388"/>
      <c r="E87" s="388"/>
      <c r="F87" s="388"/>
      <c r="G87" s="388"/>
      <c r="H87" s="388"/>
      <c r="I87" s="388">
        <v>5565</v>
      </c>
      <c r="J87" s="388"/>
      <c r="K87" s="388"/>
      <c r="L87" s="388"/>
      <c r="M87" s="388"/>
      <c r="N87" s="388"/>
      <c r="O87" s="365">
        <f t="shared" si="4"/>
        <v>5565</v>
      </c>
    </row>
    <row r="88" spans="2:15" x14ac:dyDescent="0.25">
      <c r="B88" t="s">
        <v>449</v>
      </c>
      <c r="C88" s="50"/>
      <c r="D88" s="50"/>
      <c r="E88" s="50"/>
      <c r="F88" s="50"/>
      <c r="G88" s="50"/>
      <c r="H88" s="50"/>
      <c r="I88" s="50"/>
      <c r="J88" s="50"/>
      <c r="K88" s="50">
        <v>6534</v>
      </c>
      <c r="L88" s="50">
        <v>28750</v>
      </c>
      <c r="M88" s="50">
        <v>28636</v>
      </c>
      <c r="N88" s="50"/>
      <c r="O88" s="352">
        <f t="shared" si="4"/>
        <v>63920</v>
      </c>
    </row>
    <row r="89" spans="2:15" x14ac:dyDescent="0.25">
      <c r="B89" s="364" t="s">
        <v>450</v>
      </c>
      <c r="C89" s="388"/>
      <c r="D89" s="388"/>
      <c r="E89" s="388"/>
      <c r="F89" s="388"/>
      <c r="G89" s="388"/>
      <c r="H89" s="388"/>
      <c r="I89" s="388"/>
      <c r="J89" s="388"/>
      <c r="K89" s="388"/>
      <c r="L89" s="388">
        <v>3491</v>
      </c>
      <c r="M89" s="388">
        <v>6400</v>
      </c>
      <c r="N89" s="388">
        <v>6400</v>
      </c>
      <c r="O89" s="365">
        <f t="shared" si="4"/>
        <v>16291</v>
      </c>
    </row>
    <row r="90" spans="2:15" x14ac:dyDescent="0.25">
      <c r="B90" s="364" t="s">
        <v>451</v>
      </c>
      <c r="C90" s="388"/>
      <c r="D90" s="388"/>
      <c r="E90" s="388"/>
      <c r="F90" s="388"/>
      <c r="G90" s="388"/>
      <c r="H90" s="388"/>
      <c r="I90" s="388"/>
      <c r="J90" s="388"/>
      <c r="K90" s="388"/>
      <c r="L90" s="388">
        <v>1454</v>
      </c>
      <c r="M90" s="388">
        <v>6400</v>
      </c>
      <c r="N90" s="388">
        <v>6400</v>
      </c>
      <c r="O90" s="365">
        <f t="shared" si="4"/>
        <v>14254</v>
      </c>
    </row>
    <row r="91" spans="2:15" x14ac:dyDescent="0.25">
      <c r="B91" t="s">
        <v>452</v>
      </c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>
        <v>8030</v>
      </c>
      <c r="N91" s="50">
        <v>14600</v>
      </c>
      <c r="O91" s="352">
        <f t="shared" si="4"/>
        <v>22630</v>
      </c>
    </row>
    <row r="92" spans="2:15" x14ac:dyDescent="0.25">
      <c r="B92" t="s">
        <v>453</v>
      </c>
      <c r="C92" s="352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>
        <v>14000</v>
      </c>
      <c r="O92" s="352">
        <f t="shared" si="4"/>
        <v>14000</v>
      </c>
    </row>
    <row r="93" spans="2:15" x14ac:dyDescent="0.25">
      <c r="C93" s="352">
        <f t="shared" ref="C93:N93" si="5">SUM(C75:C92)</f>
        <v>88741.5</v>
      </c>
      <c r="D93" s="352">
        <f t="shared" si="5"/>
        <v>104926</v>
      </c>
      <c r="E93" s="352">
        <f t="shared" si="5"/>
        <v>92995</v>
      </c>
      <c r="F93" s="352">
        <f t="shared" si="5"/>
        <v>93084</v>
      </c>
      <c r="G93" s="352">
        <f t="shared" si="5"/>
        <v>89797</v>
      </c>
      <c r="H93" s="352">
        <f t="shared" si="5"/>
        <v>90869</v>
      </c>
      <c r="I93" s="352">
        <f t="shared" si="5"/>
        <v>92604</v>
      </c>
      <c r="J93" s="352">
        <f t="shared" si="5"/>
        <v>81668</v>
      </c>
      <c r="K93" s="352">
        <f t="shared" si="5"/>
        <v>60570</v>
      </c>
      <c r="L93" s="352">
        <f t="shared" si="5"/>
        <v>88979</v>
      </c>
      <c r="M93" s="352">
        <f t="shared" si="5"/>
        <v>91172</v>
      </c>
      <c r="N93" s="352">
        <f t="shared" si="5"/>
        <v>83300</v>
      </c>
      <c r="O93" s="352">
        <f t="shared" si="4"/>
        <v>1058705.5</v>
      </c>
    </row>
    <row r="94" spans="2:15" x14ac:dyDescent="0.25">
      <c r="B94" s="353"/>
      <c r="C94" s="352"/>
    </row>
    <row r="95" spans="2:15" x14ac:dyDescent="0.25">
      <c r="C95" s="50"/>
    </row>
    <row r="96" spans="2:15" x14ac:dyDescent="0.25">
      <c r="B96" t="s">
        <v>454</v>
      </c>
      <c r="C96" s="352">
        <v>94565</v>
      </c>
      <c r="E96" t="s">
        <v>365</v>
      </c>
      <c r="F96" s="352">
        <v>38125.5</v>
      </c>
      <c r="H96" t="s">
        <v>455</v>
      </c>
      <c r="I96" s="352">
        <v>138339</v>
      </c>
    </row>
    <row r="97" spans="2:15" x14ac:dyDescent="0.25">
      <c r="C97" s="352">
        <v>175550</v>
      </c>
      <c r="F97" s="352">
        <v>67850</v>
      </c>
      <c r="I97" s="352">
        <v>63920</v>
      </c>
    </row>
    <row r="98" spans="2:15" x14ac:dyDescent="0.25">
      <c r="C98" s="352">
        <v>176276</v>
      </c>
      <c r="F98" s="352">
        <v>71636</v>
      </c>
      <c r="I98" s="352">
        <f>SUM(I96:I97)</f>
        <v>202259</v>
      </c>
    </row>
    <row r="99" spans="2:15" x14ac:dyDescent="0.25">
      <c r="C99" s="352">
        <v>5818</v>
      </c>
      <c r="F99" s="352">
        <v>73561</v>
      </c>
    </row>
    <row r="100" spans="2:15" x14ac:dyDescent="0.25">
      <c r="C100" s="352">
        <v>35526</v>
      </c>
      <c r="F100" s="352">
        <v>44800</v>
      </c>
    </row>
    <row r="101" spans="2:15" x14ac:dyDescent="0.25">
      <c r="C101" s="352">
        <v>22630</v>
      </c>
      <c r="F101" s="352">
        <v>5565</v>
      </c>
    </row>
    <row r="102" spans="2:15" x14ac:dyDescent="0.25">
      <c r="C102" s="352">
        <v>14000</v>
      </c>
      <c r="F102" s="352">
        <v>16291</v>
      </c>
    </row>
    <row r="103" spans="2:15" x14ac:dyDescent="0.25">
      <c r="C103" s="352">
        <f>SUM(C96:C102)</f>
        <v>524365</v>
      </c>
      <c r="F103" s="352">
        <v>14254</v>
      </c>
    </row>
    <row r="104" spans="2:15" x14ac:dyDescent="0.25">
      <c r="F104" s="352">
        <f>SUM(F96:F103)</f>
        <v>332082.5</v>
      </c>
      <c r="H104" t="s">
        <v>456</v>
      </c>
      <c r="I104" s="356">
        <f>C103+F104+I98</f>
        <v>1058706.5</v>
      </c>
    </row>
    <row r="106" spans="2:15" x14ac:dyDescent="0.25">
      <c r="B106" s="355" t="s">
        <v>463</v>
      </c>
    </row>
    <row r="107" spans="2:15" x14ac:dyDescent="0.25">
      <c r="B107" s="223" t="s">
        <v>340</v>
      </c>
      <c r="C107" s="344">
        <v>1</v>
      </c>
      <c r="D107" s="344">
        <v>2</v>
      </c>
      <c r="E107" s="344">
        <v>3</v>
      </c>
      <c r="F107" s="345">
        <v>4</v>
      </c>
      <c r="G107" s="345">
        <v>5</v>
      </c>
      <c r="H107" s="345">
        <v>6</v>
      </c>
      <c r="I107" s="345">
        <v>7</v>
      </c>
      <c r="J107" s="345">
        <v>8</v>
      </c>
      <c r="K107" s="345">
        <v>9</v>
      </c>
      <c r="L107" s="345">
        <v>10</v>
      </c>
      <c r="M107" s="345">
        <v>11</v>
      </c>
      <c r="N107" s="345">
        <v>12</v>
      </c>
      <c r="O107" s="344" t="s">
        <v>23</v>
      </c>
    </row>
    <row r="108" spans="2:15" x14ac:dyDescent="0.25">
      <c r="B108" t="s">
        <v>464</v>
      </c>
      <c r="C108" s="50">
        <v>19549</v>
      </c>
      <c r="D108" s="50">
        <v>17250</v>
      </c>
      <c r="E108" s="50">
        <v>17250</v>
      </c>
      <c r="F108" s="50">
        <v>20250</v>
      </c>
      <c r="G108" s="50">
        <v>17250</v>
      </c>
      <c r="H108" s="50">
        <v>17278.080000000002</v>
      </c>
      <c r="I108" s="50">
        <v>17250</v>
      </c>
      <c r="J108" s="50">
        <v>17250</v>
      </c>
      <c r="K108" s="50">
        <v>17250</v>
      </c>
      <c r="L108" s="50">
        <v>17250</v>
      </c>
      <c r="M108" s="50">
        <v>16860.080000000002</v>
      </c>
      <c r="N108" s="50">
        <v>17250</v>
      </c>
      <c r="O108" s="352">
        <f t="shared" ref="O108:O117" si="6">SUM(C108:N108)</f>
        <v>211937.16000000003</v>
      </c>
    </row>
    <row r="109" spans="2:15" x14ac:dyDescent="0.25">
      <c r="B109" t="s">
        <v>465</v>
      </c>
      <c r="C109" s="50">
        <v>12500</v>
      </c>
      <c r="D109" s="50">
        <v>18809.88</v>
      </c>
      <c r="E109" s="50">
        <v>8928.58</v>
      </c>
      <c r="F109" s="50">
        <v>12500</v>
      </c>
      <c r="G109" s="50">
        <v>12500</v>
      </c>
      <c r="H109" s="50">
        <v>12500</v>
      </c>
      <c r="I109" s="50">
        <v>12500</v>
      </c>
      <c r="J109" s="50">
        <v>9739.4699999999993</v>
      </c>
      <c r="K109" s="50"/>
      <c r="L109" s="50">
        <v>10795.45</v>
      </c>
      <c r="M109" s="50">
        <v>12500</v>
      </c>
      <c r="N109" s="50">
        <v>8000</v>
      </c>
      <c r="O109" s="400">
        <f t="shared" si="6"/>
        <v>131273.38</v>
      </c>
    </row>
    <row r="110" spans="2:15" x14ac:dyDescent="0.25">
      <c r="B110" t="s">
        <v>466</v>
      </c>
      <c r="C110" s="50">
        <v>7880.5</v>
      </c>
      <c r="D110" s="50">
        <v>7479.46</v>
      </c>
      <c r="E110" s="50">
        <v>6400</v>
      </c>
      <c r="F110" s="50">
        <v>6400</v>
      </c>
      <c r="G110" s="50">
        <v>5974.84</v>
      </c>
      <c r="H110" s="50">
        <v>5972.63</v>
      </c>
      <c r="I110" s="50">
        <v>6400</v>
      </c>
      <c r="J110" s="50">
        <v>6400</v>
      </c>
      <c r="K110" s="50">
        <v>6400</v>
      </c>
      <c r="L110" s="50"/>
      <c r="M110" s="50"/>
      <c r="N110" s="50"/>
      <c r="O110" s="365">
        <f t="shared" si="6"/>
        <v>59307.43</v>
      </c>
    </row>
    <row r="111" spans="2:15" x14ac:dyDescent="0.25">
      <c r="B111" t="s">
        <v>467</v>
      </c>
      <c r="C111" s="50">
        <v>25250</v>
      </c>
      <c r="D111" s="50">
        <v>25250</v>
      </c>
      <c r="E111" s="50">
        <v>15630</v>
      </c>
      <c r="F111" s="50">
        <v>33069.730000000003</v>
      </c>
      <c r="G111" s="50">
        <v>25250</v>
      </c>
      <c r="H111" s="50">
        <v>25250</v>
      </c>
      <c r="I111" s="50">
        <v>14556.38</v>
      </c>
      <c r="J111" s="50">
        <v>37875.839999999997</v>
      </c>
      <c r="K111" s="50">
        <v>20659.099999999999</v>
      </c>
      <c r="L111" s="50">
        <v>25250</v>
      </c>
      <c r="M111" s="50">
        <v>25250</v>
      </c>
      <c r="N111" s="50">
        <v>26298.16</v>
      </c>
      <c r="O111" s="352">
        <f t="shared" si="6"/>
        <v>299589.21000000002</v>
      </c>
    </row>
    <row r="112" spans="2:15" x14ac:dyDescent="0.25">
      <c r="B112" t="s">
        <v>468</v>
      </c>
      <c r="C112" s="50">
        <v>6250</v>
      </c>
      <c r="D112" s="50">
        <v>6250</v>
      </c>
      <c r="E112" s="50">
        <v>6250</v>
      </c>
      <c r="F112" s="50">
        <v>6250</v>
      </c>
      <c r="G112" s="50">
        <v>6250</v>
      </c>
      <c r="H112" s="50">
        <v>6250</v>
      </c>
      <c r="I112" s="50"/>
      <c r="J112" s="50"/>
      <c r="K112" s="50"/>
      <c r="L112" s="50"/>
      <c r="M112" s="50"/>
      <c r="N112" s="50"/>
      <c r="O112" s="400">
        <f t="shared" si="6"/>
        <v>37500</v>
      </c>
    </row>
    <row r="113" spans="2:15" x14ac:dyDescent="0.25">
      <c r="B113" t="s">
        <v>469</v>
      </c>
      <c r="C113" s="50"/>
      <c r="D113" s="50">
        <v>7479.45</v>
      </c>
      <c r="E113" s="50">
        <v>6400</v>
      </c>
      <c r="F113" s="50">
        <v>6400</v>
      </c>
      <c r="G113" s="50">
        <v>6400</v>
      </c>
      <c r="H113" s="50">
        <v>6400</v>
      </c>
      <c r="I113" s="50">
        <v>6400</v>
      </c>
      <c r="J113" s="50">
        <v>6655.44</v>
      </c>
      <c r="K113" s="50">
        <v>6400</v>
      </c>
      <c r="L113" s="50">
        <v>6400</v>
      </c>
      <c r="M113" s="50">
        <v>6400</v>
      </c>
      <c r="N113" s="50">
        <v>6400</v>
      </c>
      <c r="O113" s="365">
        <f t="shared" si="6"/>
        <v>71734.89</v>
      </c>
    </row>
    <row r="114" spans="2:15" x14ac:dyDescent="0.25">
      <c r="B114" t="s">
        <v>470</v>
      </c>
      <c r="C114" s="50"/>
      <c r="D114" s="50"/>
      <c r="E114" s="50"/>
      <c r="F114" s="50"/>
      <c r="G114" s="50">
        <v>3555.56</v>
      </c>
      <c r="H114" s="50">
        <v>4571.43</v>
      </c>
      <c r="I114" s="50"/>
      <c r="J114" s="50"/>
      <c r="K114" s="50"/>
      <c r="L114" s="50"/>
      <c r="M114" s="50"/>
      <c r="N114" s="50"/>
      <c r="O114" s="365">
        <f t="shared" si="6"/>
        <v>8126.99</v>
      </c>
    </row>
    <row r="115" spans="2:15" x14ac:dyDescent="0.25">
      <c r="B115" t="s">
        <v>471</v>
      </c>
      <c r="C115" s="50"/>
      <c r="D115" s="50"/>
      <c r="E115" s="50"/>
      <c r="F115" s="50"/>
      <c r="G115" s="50"/>
      <c r="H115" s="50"/>
      <c r="I115" s="50"/>
      <c r="J115" s="50">
        <v>2976.19</v>
      </c>
      <c r="K115" s="50">
        <v>2840.91</v>
      </c>
      <c r="L115" s="50"/>
      <c r="M115" s="50"/>
      <c r="N115" s="50"/>
      <c r="O115" s="400">
        <f t="shared" si="6"/>
        <v>5817.1</v>
      </c>
    </row>
    <row r="116" spans="2:15" x14ac:dyDescent="0.25">
      <c r="B116" t="s">
        <v>472</v>
      </c>
      <c r="C116" s="50"/>
      <c r="D116" s="50"/>
      <c r="E116" s="50"/>
      <c r="F116" s="50"/>
      <c r="G116" s="50"/>
      <c r="H116" s="50"/>
      <c r="I116" s="50"/>
      <c r="J116" s="50"/>
      <c r="K116" s="50"/>
      <c r="L116" s="50">
        <v>3200</v>
      </c>
      <c r="M116" s="50">
        <v>6400</v>
      </c>
      <c r="N116" s="50">
        <v>6400</v>
      </c>
      <c r="O116" s="365">
        <f t="shared" si="6"/>
        <v>16000</v>
      </c>
    </row>
    <row r="117" spans="2:15" x14ac:dyDescent="0.25">
      <c r="C117" s="352">
        <f t="shared" ref="C117:N117" si="7">SUM(C108:C116)</f>
        <v>71429.5</v>
      </c>
      <c r="D117" s="352">
        <f t="shared" si="7"/>
        <v>82518.789999999994</v>
      </c>
      <c r="E117" s="352">
        <f t="shared" si="7"/>
        <v>60858.58</v>
      </c>
      <c r="F117" s="352">
        <f t="shared" si="7"/>
        <v>84869.73000000001</v>
      </c>
      <c r="G117" s="352">
        <f t="shared" si="7"/>
        <v>77180.399999999994</v>
      </c>
      <c r="H117" s="352">
        <f t="shared" si="7"/>
        <v>78222.139999999985</v>
      </c>
      <c r="I117" s="352">
        <f t="shared" si="7"/>
        <v>57106.38</v>
      </c>
      <c r="J117" s="352">
        <f t="shared" si="7"/>
        <v>80896.94</v>
      </c>
      <c r="K117" s="352">
        <f t="shared" si="7"/>
        <v>53550.009999999995</v>
      </c>
      <c r="L117" s="352">
        <f t="shared" si="7"/>
        <v>62895.45</v>
      </c>
      <c r="M117" s="352">
        <f t="shared" si="7"/>
        <v>67410.080000000002</v>
      </c>
      <c r="N117" s="352">
        <f t="shared" si="7"/>
        <v>64348.160000000003</v>
      </c>
      <c r="O117" s="352">
        <f t="shared" si="6"/>
        <v>841286.15999999992</v>
      </c>
    </row>
    <row r="119" spans="2:15" x14ac:dyDescent="0.25">
      <c r="B119" t="s">
        <v>364</v>
      </c>
      <c r="C119" s="50">
        <v>131274</v>
      </c>
      <c r="E119" t="s">
        <v>365</v>
      </c>
      <c r="F119" s="50">
        <v>59307</v>
      </c>
      <c r="H119" t="s">
        <v>455</v>
      </c>
      <c r="I119" s="50">
        <v>299589</v>
      </c>
    </row>
    <row r="120" spans="2:15" x14ac:dyDescent="0.25">
      <c r="C120" s="50">
        <v>37500</v>
      </c>
      <c r="F120" s="50">
        <v>71735</v>
      </c>
      <c r="I120" s="50"/>
    </row>
    <row r="121" spans="2:15" x14ac:dyDescent="0.25">
      <c r="C121" s="50">
        <v>5817</v>
      </c>
      <c r="F121" s="50">
        <v>8127</v>
      </c>
      <c r="I121" s="50"/>
    </row>
    <row r="122" spans="2:15" x14ac:dyDescent="0.25">
      <c r="C122" s="50">
        <v>211937</v>
      </c>
      <c r="F122" s="50">
        <v>16000</v>
      </c>
      <c r="I122" s="50"/>
    </row>
    <row r="123" spans="2:15" x14ac:dyDescent="0.25">
      <c r="C123" s="356">
        <f>SUM(C119:C122)</f>
        <v>386528</v>
      </c>
      <c r="D123" s="355"/>
      <c r="E123" s="355"/>
      <c r="F123" s="356">
        <f>SUM(F119:F122)</f>
        <v>155169</v>
      </c>
      <c r="G123" s="355"/>
      <c r="H123" s="355"/>
      <c r="I123" s="356">
        <f>SUM(I119:I122)</f>
        <v>299589</v>
      </c>
      <c r="K123" s="356">
        <f>C123+F123+I123</f>
        <v>841286</v>
      </c>
    </row>
    <row r="126" spans="2:15" x14ac:dyDescent="0.25">
      <c r="B126" s="355" t="s">
        <v>478</v>
      </c>
    </row>
    <row r="127" spans="2:15" x14ac:dyDescent="0.25">
      <c r="B127" s="223" t="s">
        <v>340</v>
      </c>
      <c r="C127" s="344">
        <v>1</v>
      </c>
      <c r="D127" s="344">
        <v>2</v>
      </c>
      <c r="E127" s="344">
        <v>3</v>
      </c>
      <c r="F127" s="345">
        <v>4</v>
      </c>
      <c r="G127" s="345">
        <v>5</v>
      </c>
      <c r="H127" s="345">
        <v>6</v>
      </c>
      <c r="I127" s="345">
        <v>7</v>
      </c>
      <c r="J127" s="345">
        <v>8</v>
      </c>
      <c r="K127" s="345">
        <v>9</v>
      </c>
      <c r="L127" s="345">
        <v>10</v>
      </c>
      <c r="M127" s="345">
        <v>11</v>
      </c>
      <c r="N127" s="345">
        <v>12</v>
      </c>
      <c r="O127" s="344" t="s">
        <v>23</v>
      </c>
    </row>
    <row r="128" spans="2:15" x14ac:dyDescent="0.25">
      <c r="B128" t="s">
        <v>479</v>
      </c>
      <c r="C128" s="50">
        <v>25300</v>
      </c>
      <c r="D128" s="50">
        <v>353.01</v>
      </c>
      <c r="E128" s="50">
        <v>25300</v>
      </c>
      <c r="F128" s="50">
        <v>25300</v>
      </c>
      <c r="G128" s="50">
        <v>25300</v>
      </c>
      <c r="H128" s="50">
        <v>25300</v>
      </c>
      <c r="I128" s="50">
        <v>25300</v>
      </c>
      <c r="J128" s="50">
        <v>25275.3</v>
      </c>
      <c r="K128" s="50">
        <v>25300</v>
      </c>
      <c r="L128" s="50">
        <v>25300</v>
      </c>
      <c r="M128" s="50">
        <v>24672.92</v>
      </c>
      <c r="N128" s="50">
        <v>25300</v>
      </c>
      <c r="O128" s="50">
        <f t="shared" ref="O128:O140" si="8">SUM(C128:N128)</f>
        <v>278001.23</v>
      </c>
    </row>
    <row r="129" spans="2:15" x14ac:dyDescent="0.25">
      <c r="B129" t="s">
        <v>485</v>
      </c>
      <c r="C129" s="50">
        <v>4670</v>
      </c>
      <c r="D129" s="50">
        <v>2988.7</v>
      </c>
      <c r="E129" s="50">
        <v>10772.4</v>
      </c>
      <c r="F129" s="50"/>
      <c r="G129" s="50"/>
      <c r="H129" s="50"/>
      <c r="I129" s="50"/>
      <c r="J129" s="50"/>
      <c r="K129" s="50"/>
      <c r="L129" s="50"/>
      <c r="M129" s="50"/>
      <c r="N129" s="50"/>
      <c r="O129" s="50">
        <f t="shared" si="8"/>
        <v>18431.099999999999</v>
      </c>
    </row>
    <row r="130" spans="2:15" x14ac:dyDescent="0.25">
      <c r="B130" t="s">
        <v>480</v>
      </c>
      <c r="C130" s="50">
        <v>14819.5</v>
      </c>
      <c r="D130" s="50">
        <v>12149.58</v>
      </c>
      <c r="E130" s="50">
        <v>11476.57</v>
      </c>
      <c r="F130" s="50">
        <v>11720.84</v>
      </c>
      <c r="G130" s="50">
        <v>11349.5</v>
      </c>
      <c r="H130" s="50">
        <v>11349.6</v>
      </c>
      <c r="I130" s="50">
        <v>11349.6</v>
      </c>
      <c r="J130" s="50">
        <v>11349.6</v>
      </c>
      <c r="K130" s="50">
        <v>11349.6</v>
      </c>
      <c r="L130" s="50">
        <v>11349.6</v>
      </c>
      <c r="M130" s="50">
        <v>11270.6</v>
      </c>
      <c r="N130" s="50">
        <v>11349.6</v>
      </c>
      <c r="O130" s="50">
        <f t="shared" si="8"/>
        <v>140884.19000000003</v>
      </c>
    </row>
    <row r="131" spans="2:15" x14ac:dyDescent="0.25">
      <c r="B131" t="s">
        <v>481</v>
      </c>
      <c r="C131" s="50">
        <v>13795</v>
      </c>
      <c r="D131" s="50">
        <v>15795</v>
      </c>
      <c r="E131" s="50">
        <v>14795</v>
      </c>
      <c r="F131" s="50">
        <v>14795</v>
      </c>
      <c r="G131" s="50">
        <v>18795</v>
      </c>
      <c r="H131" s="50">
        <v>17397.5</v>
      </c>
      <c r="I131" s="50">
        <v>18708.330000000002</v>
      </c>
      <c r="J131" s="50">
        <v>20795</v>
      </c>
      <c r="K131" s="50">
        <v>20795</v>
      </c>
      <c r="L131" s="50">
        <v>20795</v>
      </c>
      <c r="M131" s="50">
        <v>18565.38</v>
      </c>
      <c r="N131" s="50">
        <v>17397.5</v>
      </c>
      <c r="O131" s="50">
        <f t="shared" si="8"/>
        <v>212428.71000000002</v>
      </c>
    </row>
    <row r="132" spans="2:15" x14ac:dyDescent="0.25">
      <c r="B132" t="s">
        <v>482</v>
      </c>
      <c r="C132" s="50">
        <v>15500.02</v>
      </c>
      <c r="D132" s="50">
        <v>10939.98</v>
      </c>
      <c r="E132" s="50">
        <v>9100</v>
      </c>
      <c r="F132" s="50">
        <v>9100</v>
      </c>
      <c r="G132" s="50">
        <v>9100</v>
      </c>
      <c r="H132" s="50">
        <v>9100</v>
      </c>
      <c r="I132" s="50">
        <v>9987.76</v>
      </c>
      <c r="J132" s="50">
        <v>12302.78</v>
      </c>
      <c r="K132" s="50">
        <v>9100</v>
      </c>
      <c r="L132" s="50">
        <v>9100</v>
      </c>
      <c r="M132" s="50">
        <v>9100</v>
      </c>
      <c r="N132" s="50">
        <v>10120.34</v>
      </c>
      <c r="O132" s="50">
        <f t="shared" si="8"/>
        <v>122550.87999999999</v>
      </c>
    </row>
    <row r="133" spans="2:15" x14ac:dyDescent="0.25">
      <c r="B133" t="s">
        <v>483</v>
      </c>
      <c r="C133" s="50">
        <v>26437.5</v>
      </c>
      <c r="D133" s="50">
        <v>32437.5</v>
      </c>
      <c r="E133" s="50">
        <v>29437.5</v>
      </c>
      <c r="F133" s="50">
        <v>29437.5</v>
      </c>
      <c r="G133" s="50">
        <v>29437.5</v>
      </c>
      <c r="H133" s="50">
        <v>29437.5</v>
      </c>
      <c r="I133" s="50">
        <v>29987.58</v>
      </c>
      <c r="J133" s="50">
        <v>29437.58</v>
      </c>
      <c r="K133" s="50">
        <v>29437.5</v>
      </c>
      <c r="L133" s="50">
        <v>29437.5</v>
      </c>
      <c r="M133" s="50">
        <v>14794.4</v>
      </c>
      <c r="N133" s="50">
        <v>30600.51</v>
      </c>
      <c r="O133" s="50">
        <f t="shared" si="8"/>
        <v>340320.07000000007</v>
      </c>
    </row>
    <row r="134" spans="2:15" x14ac:dyDescent="0.25">
      <c r="B134" t="s">
        <v>484</v>
      </c>
      <c r="C134" s="50">
        <v>19795</v>
      </c>
      <c r="D134" s="50">
        <v>21795</v>
      </c>
      <c r="E134" s="50">
        <v>20795</v>
      </c>
      <c r="F134" s="50">
        <v>19361.3</v>
      </c>
      <c r="G134" s="50">
        <v>10196.66</v>
      </c>
      <c r="H134" s="50">
        <v>14795</v>
      </c>
      <c r="I134" s="50">
        <v>14795</v>
      </c>
      <c r="J134" s="50"/>
      <c r="K134" s="50"/>
      <c r="L134" s="50">
        <v>8742.14</v>
      </c>
      <c r="M134" s="50">
        <v>14794.4</v>
      </c>
      <c r="N134" s="50">
        <v>14794.4</v>
      </c>
      <c r="O134" s="50">
        <f t="shared" si="8"/>
        <v>159863.9</v>
      </c>
    </row>
    <row r="135" spans="2:15" x14ac:dyDescent="0.25">
      <c r="B135" t="s">
        <v>486</v>
      </c>
      <c r="C135" s="50"/>
      <c r="D135" s="50">
        <v>12950</v>
      </c>
      <c r="E135" s="50">
        <v>14750</v>
      </c>
      <c r="F135" s="50">
        <v>4675</v>
      </c>
      <c r="G135" s="50">
        <v>8768.7000000000007</v>
      </c>
      <c r="H135" s="50">
        <v>6721.85</v>
      </c>
      <c r="I135" s="50">
        <v>10678.37</v>
      </c>
      <c r="J135" s="50">
        <v>6568.77</v>
      </c>
      <c r="K135" s="50">
        <v>6721.85</v>
      </c>
      <c r="L135" s="50">
        <v>6721.85</v>
      </c>
      <c r="M135" s="50">
        <v>6721.85</v>
      </c>
      <c r="N135" s="50">
        <v>6721.85</v>
      </c>
      <c r="O135" s="50">
        <f t="shared" si="8"/>
        <v>92000.090000000026</v>
      </c>
    </row>
    <row r="136" spans="2:15" x14ac:dyDescent="0.25">
      <c r="B136" t="s">
        <v>487</v>
      </c>
      <c r="C136" s="50"/>
      <c r="D136" s="50"/>
      <c r="E136" s="50"/>
      <c r="F136" s="50">
        <v>8275</v>
      </c>
      <c r="G136" s="50">
        <v>4181.3</v>
      </c>
      <c r="H136" s="50">
        <v>5472.15</v>
      </c>
      <c r="I136" s="50"/>
      <c r="J136" s="50"/>
      <c r="K136" s="50"/>
      <c r="L136" s="50"/>
      <c r="M136" s="50"/>
      <c r="N136" s="50"/>
      <c r="O136" s="50">
        <f t="shared" si="8"/>
        <v>17928.449999999997</v>
      </c>
    </row>
    <row r="137" spans="2:15" x14ac:dyDescent="0.25">
      <c r="B137" t="s">
        <v>488</v>
      </c>
      <c r="C137" s="50"/>
      <c r="D137" s="50"/>
      <c r="E137" s="50"/>
      <c r="F137" s="50"/>
      <c r="G137" s="50"/>
      <c r="H137" s="50"/>
      <c r="I137" s="50"/>
      <c r="J137" s="50">
        <v>11271.93</v>
      </c>
      <c r="K137" s="50">
        <v>14794.4</v>
      </c>
      <c r="L137" s="50">
        <v>14794.4</v>
      </c>
      <c r="M137" s="50">
        <v>14794.4</v>
      </c>
      <c r="N137" s="50">
        <v>14794.4</v>
      </c>
      <c r="O137" s="50">
        <f t="shared" si="8"/>
        <v>70449.53</v>
      </c>
    </row>
    <row r="138" spans="2:15" x14ac:dyDescent="0.25">
      <c r="B138" t="s">
        <v>489</v>
      </c>
      <c r="C138" s="50"/>
      <c r="D138" s="50"/>
      <c r="E138" s="50"/>
      <c r="F138" s="50"/>
      <c r="G138" s="50"/>
      <c r="H138" s="50"/>
      <c r="I138" s="50"/>
      <c r="J138" s="50"/>
      <c r="K138" s="50">
        <v>2749.09</v>
      </c>
      <c r="L138" s="50">
        <v>5040</v>
      </c>
      <c r="M138" s="50">
        <v>5040</v>
      </c>
      <c r="N138" s="50"/>
      <c r="O138" s="50">
        <f t="shared" si="8"/>
        <v>12829.09</v>
      </c>
    </row>
    <row r="139" spans="2:15" x14ac:dyDescent="0.25">
      <c r="B139" t="s">
        <v>490</v>
      </c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>
        <v>1944</v>
      </c>
      <c r="N139" s="50">
        <v>6480</v>
      </c>
      <c r="O139" s="50">
        <f t="shared" si="8"/>
        <v>8424</v>
      </c>
    </row>
    <row r="140" spans="2:15" x14ac:dyDescent="0.25">
      <c r="C140" s="50">
        <f t="shared" ref="C140:N140" si="9">SUM(C128:C139)</f>
        <v>120317.02</v>
      </c>
      <c r="D140" s="50">
        <f t="shared" si="9"/>
        <v>109408.77</v>
      </c>
      <c r="E140" s="50">
        <f t="shared" si="9"/>
        <v>136426.47</v>
      </c>
      <c r="F140" s="50">
        <f t="shared" si="9"/>
        <v>122664.64</v>
      </c>
      <c r="G140" s="50">
        <f t="shared" si="9"/>
        <v>117128.66</v>
      </c>
      <c r="H140" s="50">
        <f t="shared" si="9"/>
        <v>119573.6</v>
      </c>
      <c r="I140" s="50">
        <f t="shared" si="9"/>
        <v>120806.64</v>
      </c>
      <c r="J140" s="50">
        <f t="shared" si="9"/>
        <v>117000.96000000002</v>
      </c>
      <c r="K140" s="50">
        <f t="shared" si="9"/>
        <v>120247.44</v>
      </c>
      <c r="L140" s="50">
        <f t="shared" si="9"/>
        <v>131280.49</v>
      </c>
      <c r="M140" s="50">
        <f t="shared" si="9"/>
        <v>121697.94999999998</v>
      </c>
      <c r="N140" s="50">
        <f t="shared" si="9"/>
        <v>137558.6</v>
      </c>
      <c r="O140" s="50">
        <f t="shared" si="8"/>
        <v>1474111.24</v>
      </c>
    </row>
    <row r="142" spans="2:15" x14ac:dyDescent="0.25">
      <c r="B142" t="s">
        <v>364</v>
      </c>
      <c r="C142" s="50">
        <v>278001.23</v>
      </c>
      <c r="D142" s="50"/>
      <c r="E142" t="s">
        <v>365</v>
      </c>
      <c r="F142" s="50">
        <v>18431.099999999999</v>
      </c>
      <c r="H142" t="s">
        <v>455</v>
      </c>
      <c r="I142">
        <v>340320.07</v>
      </c>
    </row>
    <row r="143" spans="2:15" x14ac:dyDescent="0.25">
      <c r="C143" s="50">
        <v>212428.71</v>
      </c>
      <c r="D143" s="50"/>
      <c r="F143" s="50">
        <v>140884.19</v>
      </c>
    </row>
    <row r="144" spans="2:15" x14ac:dyDescent="0.25">
      <c r="C144" s="50">
        <v>159863.9</v>
      </c>
      <c r="D144" s="50"/>
      <c r="F144" s="50">
        <v>92000.09</v>
      </c>
    </row>
    <row r="145" spans="3:11" x14ac:dyDescent="0.25">
      <c r="C145" s="50">
        <v>70449.53</v>
      </c>
      <c r="D145" s="50"/>
      <c r="F145" s="50">
        <v>17928.45</v>
      </c>
    </row>
    <row r="146" spans="3:11" x14ac:dyDescent="0.25">
      <c r="C146" s="50"/>
      <c r="D146" s="50"/>
      <c r="F146" s="50">
        <v>12829.09</v>
      </c>
    </row>
    <row r="147" spans="3:11" x14ac:dyDescent="0.25">
      <c r="C147" s="50"/>
      <c r="D147" s="50"/>
      <c r="F147" s="50">
        <v>8424</v>
      </c>
    </row>
    <row r="148" spans="3:11" x14ac:dyDescent="0.25">
      <c r="C148" s="50">
        <f>SUM(C142:C147)</f>
        <v>720743.37</v>
      </c>
      <c r="D148" s="50"/>
      <c r="F148" s="50">
        <v>122550.88</v>
      </c>
      <c r="I148">
        <f>SUM(I142:I147)</f>
        <v>340320.07</v>
      </c>
      <c r="K148" s="355">
        <f>C148+F149+I148</f>
        <v>1474111.24</v>
      </c>
    </row>
    <row r="149" spans="3:11" x14ac:dyDescent="0.25">
      <c r="F149" s="50">
        <f>SUM(F142:F148)</f>
        <v>413047.80000000005</v>
      </c>
    </row>
  </sheetData>
  <pageMargins left="0.7" right="0.7" top="0.75" bottom="0.75" header="0.3" footer="0.3"/>
  <pageSetup paperSize="9" orientation="landscape" verticalDpi="0" r:id="rId1"/>
  <ignoredErrors>
    <ignoredError sqref="C15:N15 C60:E60 F60:N60 C93:N93 C117:O117 C140:O140" formulaRange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9"/>
  <sheetViews>
    <sheetView topLeftCell="A10" workbookViewId="0">
      <selection activeCell="A3" sqref="A3"/>
    </sheetView>
  </sheetViews>
  <sheetFormatPr defaultRowHeight="15" x14ac:dyDescent="0.25"/>
  <cols>
    <col min="1" max="1" width="17" customWidth="1"/>
    <col min="2" max="2" width="9.5703125" customWidth="1"/>
    <col min="3" max="3" width="7.42578125" customWidth="1"/>
    <col min="4" max="4" width="10.42578125" customWidth="1"/>
    <col min="5" max="5" width="14.85546875" customWidth="1"/>
    <col min="6" max="6" width="15.7109375" customWidth="1"/>
    <col min="7" max="7" width="10.5703125" customWidth="1"/>
    <col min="8" max="8" width="9" customWidth="1"/>
    <col min="9" max="9" width="10.140625" customWidth="1"/>
    <col min="10" max="12" width="10.5703125" customWidth="1"/>
    <col min="13" max="13" width="10.28515625" customWidth="1"/>
    <col min="14" max="14" width="10.85546875" customWidth="1"/>
    <col min="15" max="15" width="11.42578125" hidden="1" customWidth="1"/>
    <col min="16" max="16" width="11.42578125" customWidth="1"/>
    <col min="17" max="17" width="12.42578125" customWidth="1"/>
    <col min="18" max="18" width="10.85546875" customWidth="1"/>
    <col min="19" max="19" width="10.42578125" hidden="1" customWidth="1"/>
    <col min="20" max="20" width="11.28515625" customWidth="1"/>
    <col min="21" max="21" width="11.5703125" customWidth="1"/>
    <col min="22" max="22" width="11" customWidth="1"/>
    <col min="23" max="23" width="8.28515625" customWidth="1"/>
    <col min="24" max="24" width="7.28515625" customWidth="1"/>
    <col min="25" max="25" width="6.85546875" customWidth="1"/>
    <col min="26" max="26" width="11.42578125" customWidth="1"/>
    <col min="27" max="27" width="10.28515625" customWidth="1"/>
    <col min="28" max="28" width="10.42578125" customWidth="1"/>
  </cols>
  <sheetData>
    <row r="2" spans="1:31" x14ac:dyDescent="0.25">
      <c r="A2" s="355" t="s">
        <v>536</v>
      </c>
      <c r="B2" s="353"/>
      <c r="C2" s="353"/>
      <c r="D2" s="353"/>
    </row>
    <row r="4" spans="1:31" ht="26.25" customHeight="1" x14ac:dyDescent="0.25">
      <c r="A4" s="2033" t="s">
        <v>184</v>
      </c>
      <c r="B4" s="1995" t="s">
        <v>293</v>
      </c>
      <c r="C4" s="2010" t="s">
        <v>512</v>
      </c>
      <c r="D4" s="1995" t="s">
        <v>513</v>
      </c>
      <c r="E4" s="1989" t="s">
        <v>310</v>
      </c>
      <c r="F4" s="1990"/>
      <c r="G4" s="2020" t="s">
        <v>518</v>
      </c>
      <c r="H4" s="2017" t="s">
        <v>525</v>
      </c>
      <c r="I4" s="2009" t="s">
        <v>332</v>
      </c>
      <c r="J4" s="2009" t="s">
        <v>377</v>
      </c>
      <c r="K4" s="1987"/>
      <c r="L4" s="2009" t="s">
        <v>523</v>
      </c>
      <c r="M4" s="2003" t="s">
        <v>520</v>
      </c>
      <c r="N4" s="2003" t="s">
        <v>521</v>
      </c>
      <c r="O4" s="2003" t="s">
        <v>522</v>
      </c>
      <c r="P4" s="2003" t="s">
        <v>313</v>
      </c>
      <c r="Q4" s="2003" t="s">
        <v>321</v>
      </c>
      <c r="R4" s="2005" t="s">
        <v>519</v>
      </c>
      <c r="S4" s="2003" t="s">
        <v>10</v>
      </c>
      <c r="T4" s="2107" t="s">
        <v>503</v>
      </c>
      <c r="U4" s="1987" t="s">
        <v>316</v>
      </c>
      <c r="V4" s="1987" t="s">
        <v>369</v>
      </c>
      <c r="W4" s="2007" t="s">
        <v>527</v>
      </c>
      <c r="X4" s="2287"/>
      <c r="Y4" s="2005"/>
      <c r="Z4" s="1987" t="s">
        <v>175</v>
      </c>
      <c r="AA4" s="1987" t="s">
        <v>183</v>
      </c>
      <c r="AB4" s="2001" t="s">
        <v>182</v>
      </c>
      <c r="AC4" s="1987"/>
      <c r="AD4" s="2001"/>
      <c r="AE4" s="1999"/>
    </row>
    <row r="5" spans="1:31" ht="27.75" customHeight="1" x14ac:dyDescent="0.25">
      <c r="A5" s="2034"/>
      <c r="B5" s="1996"/>
      <c r="C5" s="2011"/>
      <c r="D5" s="1996"/>
      <c r="E5" s="150" t="s">
        <v>15</v>
      </c>
      <c r="F5" s="471" t="s">
        <v>16</v>
      </c>
      <c r="G5" s="2021"/>
      <c r="H5" s="2017"/>
      <c r="I5" s="2009"/>
      <c r="J5" s="2009"/>
      <c r="K5" s="1988"/>
      <c r="L5" s="2009"/>
      <c r="M5" s="2004"/>
      <c r="N5" s="2004"/>
      <c r="O5" s="2004"/>
      <c r="P5" s="2004"/>
      <c r="Q5" s="2004"/>
      <c r="R5" s="2002"/>
      <c r="S5" s="2002"/>
      <c r="T5" s="2107"/>
      <c r="U5" s="1988"/>
      <c r="V5" s="1988"/>
      <c r="W5" s="502" t="s">
        <v>528</v>
      </c>
      <c r="X5" s="502" t="s">
        <v>529</v>
      </c>
      <c r="Y5" s="502" t="s">
        <v>530</v>
      </c>
      <c r="Z5" s="1988"/>
      <c r="AA5" s="1988"/>
      <c r="AB5" s="2002"/>
      <c r="AC5" s="1988"/>
      <c r="AD5" s="2002"/>
      <c r="AE5" s="2000"/>
    </row>
    <row r="6" spans="1:31" x14ac:dyDescent="0.25">
      <c r="A6" s="15" t="s">
        <v>507</v>
      </c>
      <c r="B6" s="473">
        <v>5080.3999999999996</v>
      </c>
      <c r="C6" s="472">
        <v>13.11</v>
      </c>
      <c r="D6" s="473">
        <f>B6*C6</f>
        <v>66604.043999999994</v>
      </c>
      <c r="E6" s="15">
        <v>104434.55</v>
      </c>
      <c r="F6" s="15">
        <v>35484.629999999997</v>
      </c>
      <c r="G6" s="47">
        <f>H6+I6+J6+L6+M6+N6+P6+Q6+R6+T6+U6+V6+W6+X6+Y6</f>
        <v>159544.71674969373</v>
      </c>
      <c r="H6" s="47">
        <f>20389.59/20286.4*B6</f>
        <v>5106.2422625995732</v>
      </c>
      <c r="I6" s="47">
        <v>2047.61</v>
      </c>
      <c r="J6" s="47">
        <f>133270.03/20286.4*B6</f>
        <v>33375.318460249226</v>
      </c>
      <c r="K6" s="47"/>
      <c r="L6" s="47">
        <v>1095.81</v>
      </c>
      <c r="M6" s="47">
        <f>9315/20286.4*B6</f>
        <v>2332.7907366511549</v>
      </c>
      <c r="N6" s="47">
        <f>3000/20286.4*B6</f>
        <v>751.30136446091956</v>
      </c>
      <c r="O6" s="47"/>
      <c r="P6" s="47">
        <v>14340</v>
      </c>
      <c r="Q6" s="47">
        <f>144106.06/20286.4*B6</f>
        <v>36089.026501695713</v>
      </c>
      <c r="R6" s="47">
        <f>(P6+Q6)*0.202</f>
        <v>10186.663353342534</v>
      </c>
      <c r="S6" s="47"/>
      <c r="T6" s="47">
        <f>20313.85/20286.4*B6</f>
        <v>5087.2744074848169</v>
      </c>
      <c r="U6" s="47">
        <f>138559.12/416789.65*E6</f>
        <v>34718.614883061513</v>
      </c>
      <c r="V6" s="47">
        <f>57556.39/20286.4*B6</f>
        <v>14414.064780148276</v>
      </c>
      <c r="W6" s="47"/>
      <c r="X6" s="47"/>
      <c r="Y6" s="47"/>
      <c r="Z6" s="47">
        <f>E6-G6</f>
        <v>-55110.16674969373</v>
      </c>
      <c r="AA6" s="47">
        <f>F6/E6*100</f>
        <v>33.97786460515222</v>
      </c>
      <c r="AB6" s="47">
        <f>G6/B6/1.5</f>
        <v>20.935978367804864</v>
      </c>
      <c r="AC6" s="15"/>
      <c r="AD6" s="15"/>
      <c r="AE6" s="47"/>
    </row>
    <row r="7" spans="1:31" x14ac:dyDescent="0.25">
      <c r="A7" s="15" t="s">
        <v>508</v>
      </c>
      <c r="B7" s="473">
        <v>4252</v>
      </c>
      <c r="C7" s="472">
        <v>13.11</v>
      </c>
      <c r="D7" s="473">
        <f t="shared" ref="D7:D10" si="0">B7*C7</f>
        <v>55743.72</v>
      </c>
      <c r="E7" s="15">
        <v>87348.23</v>
      </c>
      <c r="F7" s="15">
        <v>35720.589999999997</v>
      </c>
      <c r="G7" s="47">
        <f t="shared" ref="G7:G10" si="1">H7+I7+J7+L7+M7+N7+P7+Q7+R7+T7+U7+V7+W7+X7+Y7</f>
        <v>133587.77723292875</v>
      </c>
      <c r="H7" s="47">
        <f t="shared" ref="H7:H10" si="2">20389.59/20286.4*B7</f>
        <v>4273.6284742487578</v>
      </c>
      <c r="I7" s="47">
        <v>2578.1999999999998</v>
      </c>
      <c r="J7" s="47">
        <f t="shared" ref="J7:J10" si="3">133270.03/20286.4*B7</f>
        <v>27933.204884060255</v>
      </c>
      <c r="K7" s="47"/>
      <c r="L7" s="47">
        <v>925.28</v>
      </c>
      <c r="M7" s="47">
        <f t="shared" ref="M7:M10" si="4">9315/20286.4*B7</f>
        <v>1952.4104818992032</v>
      </c>
      <c r="N7" s="47">
        <f t="shared" ref="N7:N10" si="5">3000/20286.4*B7</f>
        <v>628.79564634434882</v>
      </c>
      <c r="O7" s="47"/>
      <c r="P7" s="47">
        <v>11340</v>
      </c>
      <c r="Q7" s="47">
        <f t="shared" ref="Q7:Q10" si="6">144106.06/20286.4*B7</f>
        <v>30204.421046612508</v>
      </c>
      <c r="R7" s="47">
        <f t="shared" ref="R7:R10" si="7">(P7+Q7)*0.202</f>
        <v>8391.9730514157272</v>
      </c>
      <c r="S7" s="47"/>
      <c r="T7" s="47">
        <f t="shared" ref="T7:T10" si="8">20313.85/20286.4*B7</f>
        <v>4257.7534801640504</v>
      </c>
      <c r="U7" s="47">
        <f t="shared" ref="U7:U10" si="9">138559.12/416789.65*E7</f>
        <v>29038.374351084771</v>
      </c>
      <c r="V7" s="47">
        <f t="shared" ref="V7:V10" si="10">57556.39/20286.4*B7</f>
        <v>12063.735817099139</v>
      </c>
      <c r="W7" s="47"/>
      <c r="X7" s="47"/>
      <c r="Y7" s="47"/>
      <c r="Z7" s="47">
        <f t="shared" ref="Z7:Z10" si="11">E7-G7</f>
        <v>-46239.547232928759</v>
      </c>
      <c r="AA7" s="47">
        <f t="shared" ref="AA7:AA11" si="12">F7/E7*100</f>
        <v>40.894463459648804</v>
      </c>
      <c r="AB7" s="47">
        <f t="shared" ref="AB7:AB11" si="13">G7/B7/1.5</f>
        <v>20.945088935862142</v>
      </c>
      <c r="AC7" s="15"/>
      <c r="AD7" s="15"/>
      <c r="AE7" s="47"/>
    </row>
    <row r="8" spans="1:31" x14ac:dyDescent="0.25">
      <c r="A8" s="15" t="s">
        <v>509</v>
      </c>
      <c r="B8" s="473">
        <v>3708.7</v>
      </c>
      <c r="C8" s="472">
        <v>13.11</v>
      </c>
      <c r="D8" s="473">
        <f t="shared" si="0"/>
        <v>48621.056999999993</v>
      </c>
      <c r="E8" s="15">
        <v>76185.33</v>
      </c>
      <c r="F8" s="15">
        <v>24493.97</v>
      </c>
      <c r="G8" s="47">
        <f t="shared" si="1"/>
        <v>117153.48369064447</v>
      </c>
      <c r="H8" s="47">
        <f t="shared" si="2"/>
        <v>3727.5648923909607</v>
      </c>
      <c r="I8" s="47">
        <v>1136.28</v>
      </c>
      <c r="J8" s="47">
        <f t="shared" si="3"/>
        <v>24364.035031400344</v>
      </c>
      <c r="K8" s="47"/>
      <c r="L8" s="47">
        <v>813.44</v>
      </c>
      <c r="M8" s="47">
        <f t="shared" si="4"/>
        <v>1702.9409111522989</v>
      </c>
      <c r="N8" s="47">
        <f t="shared" si="5"/>
        <v>548.45117911507214</v>
      </c>
      <c r="O8" s="47"/>
      <c r="P8" s="47">
        <v>11340</v>
      </c>
      <c r="Q8" s="47">
        <f t="shared" si="6"/>
        <v>26345.046174875777</v>
      </c>
      <c r="R8" s="47">
        <f t="shared" si="7"/>
        <v>7612.3793273249084</v>
      </c>
      <c r="S8" s="47"/>
      <c r="T8" s="47">
        <f t="shared" si="8"/>
        <v>3713.7183282889027</v>
      </c>
      <c r="U8" s="47">
        <f t="shared" si="9"/>
        <v>25327.337859060561</v>
      </c>
      <c r="V8" s="47">
        <f t="shared" si="10"/>
        <v>10522.289987035649</v>
      </c>
      <c r="W8" s="47"/>
      <c r="X8" s="47"/>
      <c r="Y8" s="47"/>
      <c r="Z8" s="47">
        <f t="shared" si="11"/>
        <v>-40968.153690644467</v>
      </c>
      <c r="AA8" s="47">
        <f t="shared" si="12"/>
        <v>32.150507190820072</v>
      </c>
      <c r="AB8" s="47">
        <f t="shared" si="13"/>
        <v>21.059218178992545</v>
      </c>
      <c r="AC8" s="15"/>
      <c r="AD8" s="15"/>
      <c r="AE8" s="47"/>
    </row>
    <row r="9" spans="1:31" x14ac:dyDescent="0.25">
      <c r="A9" s="15" t="s">
        <v>510</v>
      </c>
      <c r="B9" s="473">
        <v>2878.3</v>
      </c>
      <c r="C9" s="472">
        <v>13.11</v>
      </c>
      <c r="D9" s="473">
        <f t="shared" si="0"/>
        <v>37734.512999999999</v>
      </c>
      <c r="E9" s="15">
        <v>59119.48</v>
      </c>
      <c r="F9" s="15">
        <v>18737.02</v>
      </c>
      <c r="G9" s="47">
        <f t="shared" si="1"/>
        <v>87094.482062128256</v>
      </c>
      <c r="H9" s="47">
        <f t="shared" si="2"/>
        <v>2892.9409307220599</v>
      </c>
      <c r="I9" s="47">
        <v>706.7</v>
      </c>
      <c r="J9" s="47">
        <f t="shared" si="3"/>
        <v>18908.782600609273</v>
      </c>
      <c r="K9" s="47"/>
      <c r="L9" s="47">
        <v>642.5</v>
      </c>
      <c r="M9" s="47">
        <f t="shared" si="4"/>
        <v>1321.6423071614479</v>
      </c>
      <c r="N9" s="47">
        <f t="shared" si="5"/>
        <v>425.64969634829242</v>
      </c>
      <c r="O9" s="47"/>
      <c r="P9" s="47">
        <v>5755</v>
      </c>
      <c r="Q9" s="47">
        <f t="shared" si="6"/>
        <v>20446.233560316272</v>
      </c>
      <c r="R9" s="47">
        <f t="shared" si="7"/>
        <v>5292.6491791838871</v>
      </c>
      <c r="S9" s="47"/>
      <c r="T9" s="47">
        <f t="shared" si="8"/>
        <v>2882.194694721587</v>
      </c>
      <c r="U9" s="47">
        <f t="shared" si="9"/>
        <v>19653.902450930822</v>
      </c>
      <c r="V9" s="47">
        <f t="shared" si="10"/>
        <v>8166.2866421346325</v>
      </c>
      <c r="W9" s="47"/>
      <c r="X9" s="47"/>
      <c r="Y9" s="47"/>
      <c r="Z9" s="47">
        <f t="shared" si="11"/>
        <v>-27975.002062128253</v>
      </c>
      <c r="AA9" s="47">
        <f t="shared" si="12"/>
        <v>31.693479036013173</v>
      </c>
      <c r="AB9" s="47">
        <f t="shared" si="13"/>
        <v>20.172667213778563</v>
      </c>
      <c r="AC9" s="15"/>
      <c r="AD9" s="15"/>
      <c r="AE9" s="47"/>
    </row>
    <row r="10" spans="1:31" x14ac:dyDescent="0.25">
      <c r="A10" s="15" t="s">
        <v>511</v>
      </c>
      <c r="B10" s="473">
        <v>4367</v>
      </c>
      <c r="C10" s="472">
        <v>13.11</v>
      </c>
      <c r="D10" s="473">
        <f t="shared" si="0"/>
        <v>57251.369999999995</v>
      </c>
      <c r="E10" s="15">
        <v>89702.06</v>
      </c>
      <c r="F10" s="15">
        <v>32576.23</v>
      </c>
      <c r="G10" s="47">
        <f t="shared" si="1"/>
        <v>144780.38438460472</v>
      </c>
      <c r="H10" s="47">
        <f t="shared" si="2"/>
        <v>4389.2134400386458</v>
      </c>
      <c r="I10" s="47">
        <v>1483.25</v>
      </c>
      <c r="J10" s="47">
        <f t="shared" si="3"/>
        <v>28688.689023680887</v>
      </c>
      <c r="K10" s="47"/>
      <c r="L10" s="47">
        <v>948.91</v>
      </c>
      <c r="M10" s="47">
        <f t="shared" si="4"/>
        <v>2005.2155631358937</v>
      </c>
      <c r="N10" s="47">
        <f t="shared" si="5"/>
        <v>645.80211373136683</v>
      </c>
      <c r="O10" s="47"/>
      <c r="P10" s="47">
        <v>18925</v>
      </c>
      <c r="Q10" s="47">
        <f t="shared" si="6"/>
        <v>31021.332716499721</v>
      </c>
      <c r="R10" s="47">
        <f t="shared" si="7"/>
        <v>10089.159208732943</v>
      </c>
      <c r="S10" s="47"/>
      <c r="T10" s="47">
        <f t="shared" si="8"/>
        <v>4372.9090893406419</v>
      </c>
      <c r="U10" s="47">
        <f t="shared" si="9"/>
        <v>29820.890455862325</v>
      </c>
      <c r="V10" s="47">
        <f t="shared" si="10"/>
        <v>12390.012773582301</v>
      </c>
      <c r="W10" s="47"/>
      <c r="X10" s="47"/>
      <c r="Y10" s="47"/>
      <c r="Z10" s="47">
        <f t="shared" si="11"/>
        <v>-55078.324384604726</v>
      </c>
      <c r="AA10" s="47">
        <f t="shared" si="12"/>
        <v>36.316033321865746</v>
      </c>
      <c r="AB10" s="47">
        <f t="shared" si="13"/>
        <v>22.10218828861991</v>
      </c>
      <c r="AC10" s="15"/>
      <c r="AD10" s="15"/>
      <c r="AE10" s="47"/>
    </row>
    <row r="11" spans="1:31" x14ac:dyDescent="0.25">
      <c r="A11" s="493" t="s">
        <v>514</v>
      </c>
      <c r="B11" s="474">
        <f>SUM(B6:B10)</f>
        <v>20286.399999999998</v>
      </c>
      <c r="C11" s="494"/>
      <c r="D11" s="474">
        <f t="shared" ref="D11:N11" si="14">SUM(D6:D10)</f>
        <v>265954.70400000003</v>
      </c>
      <c r="E11" s="493">
        <f t="shared" si="14"/>
        <v>416789.64999999997</v>
      </c>
      <c r="F11" s="493">
        <f t="shared" si="14"/>
        <v>147012.44</v>
      </c>
      <c r="G11" s="495">
        <f>SUM(G6:G10)</f>
        <v>642160.84412000002</v>
      </c>
      <c r="H11" s="495">
        <f>SUM(H6:H10)</f>
        <v>20389.589999999997</v>
      </c>
      <c r="I11" s="495">
        <f t="shared" si="14"/>
        <v>7952.0399999999991</v>
      </c>
      <c r="J11" s="495">
        <f t="shared" si="14"/>
        <v>133270.03</v>
      </c>
      <c r="K11" s="495"/>
      <c r="L11" s="495">
        <f>SUM(L6:L10)</f>
        <v>4425.9399999999996</v>
      </c>
      <c r="M11" s="495">
        <f t="shared" si="14"/>
        <v>9315</v>
      </c>
      <c r="N11" s="495">
        <f t="shared" si="14"/>
        <v>2999.9999999999995</v>
      </c>
      <c r="O11" s="495"/>
      <c r="P11" s="495">
        <f t="shared" ref="P11" si="15">SUM(P6:P10)</f>
        <v>61700</v>
      </c>
      <c r="Q11" s="495">
        <f>SUM(Q6:Q10)</f>
        <v>144106.06</v>
      </c>
      <c r="R11" s="495">
        <f>SUM(R6:R10)</f>
        <v>41572.824119999997</v>
      </c>
      <c r="S11" s="495"/>
      <c r="T11" s="495">
        <f>SUM(T6:T10)</f>
        <v>20313.849999999999</v>
      </c>
      <c r="U11" s="495">
        <f>SUM(U6:U10)</f>
        <v>138559.12</v>
      </c>
      <c r="V11" s="495">
        <f>SUM(V6:V10)</f>
        <v>57556.39</v>
      </c>
      <c r="W11" s="495"/>
      <c r="X11" s="495"/>
      <c r="Y11" s="495"/>
      <c r="Z11" s="495">
        <f>SUM(Z6:Z10)</f>
        <v>-225371.19411999994</v>
      </c>
      <c r="AA11" s="495">
        <f t="shared" si="12"/>
        <v>35.272574546896742</v>
      </c>
      <c r="AB11" s="495">
        <f t="shared" si="13"/>
        <v>21.103164159896945</v>
      </c>
      <c r="AC11" s="493"/>
      <c r="AD11" s="493"/>
      <c r="AE11" s="495"/>
    </row>
    <row r="12" spans="1:31" x14ac:dyDescent="0.25">
      <c r="A12" s="15"/>
      <c r="B12" s="472"/>
      <c r="C12" s="472"/>
      <c r="D12" s="472"/>
      <c r="E12" s="15"/>
      <c r="F12" s="15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15"/>
      <c r="AD12" s="15"/>
      <c r="AE12" s="15"/>
    </row>
    <row r="13" spans="1:31" x14ac:dyDescent="0.25">
      <c r="A13" s="15"/>
      <c r="B13" s="472"/>
      <c r="C13" s="472"/>
      <c r="D13" s="472"/>
      <c r="E13" s="15"/>
      <c r="F13" s="15"/>
      <c r="G13" s="15"/>
      <c r="H13" s="15"/>
      <c r="I13" s="493"/>
      <c r="J13" s="15"/>
      <c r="K13" s="15"/>
      <c r="L13" s="495"/>
      <c r="M13" s="15"/>
      <c r="N13" s="15"/>
      <c r="O13" s="15"/>
      <c r="P13" s="495"/>
      <c r="Q13" s="493"/>
      <c r="R13" s="15"/>
      <c r="S13" s="15"/>
      <c r="T13" s="493"/>
      <c r="U13" s="493"/>
      <c r="V13" s="493"/>
      <c r="W13" s="493"/>
      <c r="X13" s="493"/>
      <c r="Y13" s="493"/>
      <c r="Z13" s="15"/>
      <c r="AA13" s="15"/>
      <c r="AB13" s="15"/>
      <c r="AC13" s="15"/>
      <c r="AD13" s="15"/>
      <c r="AE13" s="15"/>
    </row>
    <row r="14" spans="1:31" x14ac:dyDescent="0.25">
      <c r="A14" s="15"/>
      <c r="B14" s="472"/>
      <c r="C14" s="472"/>
      <c r="D14" s="472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x14ac:dyDescent="0.25">
      <c r="A15" s="506" t="s">
        <v>515</v>
      </c>
      <c r="B15" s="494"/>
      <c r="C15" s="494"/>
      <c r="D15" s="472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 x14ac:dyDescent="0.25">
      <c r="A16" s="15"/>
      <c r="B16" s="472"/>
      <c r="C16" s="472"/>
      <c r="D16" s="472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ht="15" customHeight="1" x14ac:dyDescent="0.25">
      <c r="A17" s="2033" t="s">
        <v>184</v>
      </c>
      <c r="B17" s="1995" t="s">
        <v>293</v>
      </c>
      <c r="C17" s="2010" t="s">
        <v>512</v>
      </c>
      <c r="D17" s="1995" t="s">
        <v>513</v>
      </c>
      <c r="E17" s="1989" t="s">
        <v>284</v>
      </c>
      <c r="F17" s="1990"/>
      <c r="G17" s="2020"/>
      <c r="H17" s="2020"/>
      <c r="I17" s="2009"/>
      <c r="J17" s="1987"/>
      <c r="K17" s="504"/>
      <c r="L17" s="1987"/>
      <c r="M17" s="2003"/>
      <c r="N17" s="2003"/>
      <c r="O17" s="2003"/>
      <c r="P17" s="2003"/>
      <c r="Q17" s="2003"/>
      <c r="R17" s="2003"/>
      <c r="S17" s="2003"/>
      <c r="T17" s="2107"/>
      <c r="U17" s="1987"/>
      <c r="V17" s="1987"/>
      <c r="W17" s="500"/>
      <c r="X17" s="500"/>
      <c r="Y17" s="500"/>
      <c r="Z17" s="1987"/>
      <c r="AA17" s="1987"/>
      <c r="AB17" s="2001"/>
      <c r="AC17" s="1987"/>
      <c r="AD17" s="2001"/>
      <c r="AE17" s="2033"/>
    </row>
    <row r="18" spans="1:31" ht="19.5" customHeight="1" x14ac:dyDescent="0.25">
      <c r="A18" s="2034"/>
      <c r="B18" s="1996"/>
      <c r="C18" s="2011"/>
      <c r="D18" s="1996"/>
      <c r="E18" s="150" t="s">
        <v>15</v>
      </c>
      <c r="F18" s="492" t="s">
        <v>16</v>
      </c>
      <c r="G18" s="2021"/>
      <c r="H18" s="2021"/>
      <c r="I18" s="2009"/>
      <c r="J18" s="1988"/>
      <c r="K18" s="505"/>
      <c r="L18" s="1988"/>
      <c r="M18" s="2004"/>
      <c r="N18" s="2004"/>
      <c r="O18" s="2004"/>
      <c r="P18" s="2004"/>
      <c r="Q18" s="2004"/>
      <c r="R18" s="2004"/>
      <c r="S18" s="2002"/>
      <c r="T18" s="2107"/>
      <c r="U18" s="1988"/>
      <c r="V18" s="1988"/>
      <c r="W18" s="501"/>
      <c r="X18" s="501"/>
      <c r="Y18" s="501"/>
      <c r="Z18" s="1988"/>
      <c r="AA18" s="1988"/>
      <c r="AB18" s="2002"/>
      <c r="AC18" s="1988"/>
      <c r="AD18" s="2002"/>
      <c r="AE18" s="2034"/>
    </row>
    <row r="19" spans="1:31" x14ac:dyDescent="0.25">
      <c r="A19" s="15" t="s">
        <v>507</v>
      </c>
      <c r="B19" s="473">
        <v>5080.3999999999996</v>
      </c>
      <c r="C19" s="473">
        <v>5</v>
      </c>
      <c r="D19" s="473">
        <f>B19*C19</f>
        <v>25402</v>
      </c>
      <c r="E19" s="15">
        <v>39830.14</v>
      </c>
      <c r="F19" s="15">
        <v>13533.42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x14ac:dyDescent="0.25">
      <c r="A20" s="15" t="s">
        <v>508</v>
      </c>
      <c r="B20" s="473">
        <v>4252</v>
      </c>
      <c r="C20" s="473">
        <v>5</v>
      </c>
      <c r="D20" s="473">
        <f t="shared" ref="D20:D23" si="16">B20*C20</f>
        <v>21260</v>
      </c>
      <c r="E20" s="15">
        <v>33313.589999999997</v>
      </c>
      <c r="F20" s="15">
        <v>13623.41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x14ac:dyDescent="0.25">
      <c r="A21" s="15" t="s">
        <v>509</v>
      </c>
      <c r="B21" s="473">
        <v>3708.7</v>
      </c>
      <c r="C21" s="473">
        <v>5</v>
      </c>
      <c r="D21" s="473">
        <f t="shared" si="16"/>
        <v>18543.5</v>
      </c>
      <c r="E21" s="15">
        <v>29056.2</v>
      </c>
      <c r="F21" s="15">
        <v>9341.7099999999991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x14ac:dyDescent="0.25">
      <c r="A22" s="15" t="s">
        <v>510</v>
      </c>
      <c r="B22" s="473">
        <v>2878.3</v>
      </c>
      <c r="C22" s="473">
        <v>5</v>
      </c>
      <c r="D22" s="473">
        <f t="shared" si="16"/>
        <v>14391.5</v>
      </c>
      <c r="E22" s="15">
        <v>22547.48</v>
      </c>
      <c r="F22" s="15">
        <v>7146.08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 x14ac:dyDescent="0.25">
      <c r="A23" s="15" t="s">
        <v>511</v>
      </c>
      <c r="B23" s="473">
        <v>4367</v>
      </c>
      <c r="C23" s="473">
        <v>5</v>
      </c>
      <c r="D23" s="473">
        <f t="shared" si="16"/>
        <v>21835</v>
      </c>
      <c r="E23" s="15">
        <v>34211.31</v>
      </c>
      <c r="F23" s="15">
        <v>12424.19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x14ac:dyDescent="0.25">
      <c r="A24" s="493" t="s">
        <v>514</v>
      </c>
      <c r="B24" s="474">
        <f>SUM(B19:B23)</f>
        <v>20286.399999999998</v>
      </c>
      <c r="C24" s="474"/>
      <c r="D24" s="474">
        <f>SUM(D19:D23)</f>
        <v>101432</v>
      </c>
      <c r="E24" s="493">
        <f>SUM(E19:E23)</f>
        <v>158958.71999999997</v>
      </c>
      <c r="F24" s="493">
        <f>SUM(F19:F23)</f>
        <v>56068.810000000005</v>
      </c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15"/>
    </row>
    <row r="25" spans="1:31" x14ac:dyDescent="0.25">
      <c r="A25" s="15"/>
      <c r="B25" s="472"/>
      <c r="C25" s="472"/>
      <c r="D25" s="472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x14ac:dyDescent="0.25">
      <c r="A26" s="15"/>
      <c r="B26" s="472"/>
      <c r="C26" s="472"/>
      <c r="D26" s="472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1:31" x14ac:dyDescent="0.25">
      <c r="A27" s="506" t="s">
        <v>516</v>
      </c>
      <c r="B27" s="494"/>
      <c r="C27" s="494"/>
      <c r="D27" s="472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 x14ac:dyDescent="0.25">
      <c r="A28" s="15"/>
      <c r="B28" s="472"/>
      <c r="C28" s="472"/>
      <c r="D28" s="472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pans="1:31" ht="15" customHeight="1" x14ac:dyDescent="0.25">
      <c r="A29" s="2033" t="s">
        <v>184</v>
      </c>
      <c r="B29" s="1995" t="s">
        <v>293</v>
      </c>
      <c r="C29" s="2010" t="s">
        <v>512</v>
      </c>
      <c r="D29" s="1995" t="s">
        <v>513</v>
      </c>
      <c r="E29" s="2285" t="s">
        <v>517</v>
      </c>
      <c r="F29" s="2286"/>
      <c r="G29" s="2020" t="s">
        <v>518</v>
      </c>
      <c r="H29" s="2020"/>
      <c r="I29" s="2009" t="s">
        <v>524</v>
      </c>
      <c r="J29" s="1987" t="s">
        <v>526</v>
      </c>
      <c r="K29" s="2005" t="s">
        <v>519</v>
      </c>
      <c r="L29" s="1987" t="s">
        <v>175</v>
      </c>
      <c r="M29" s="1987" t="s">
        <v>183</v>
      </c>
      <c r="N29" s="2001"/>
      <c r="O29" s="2107" t="s">
        <v>503</v>
      </c>
      <c r="P29" s="1987"/>
      <c r="Q29" s="2009"/>
      <c r="R29" s="2009"/>
      <c r="S29" s="2005"/>
      <c r="T29" s="1987"/>
      <c r="U29" s="2001"/>
      <c r="V29" s="2107"/>
      <c r="W29" s="1987"/>
      <c r="X29" s="1987"/>
      <c r="Y29" s="1987"/>
      <c r="Z29" s="2009"/>
      <c r="AA29" s="2009"/>
      <c r="AB29" s="2005"/>
      <c r="AC29" s="1987"/>
      <c r="AD29" s="2001"/>
      <c r="AE29" s="2033"/>
    </row>
    <row r="30" spans="1:31" ht="24.75" customHeight="1" x14ac:dyDescent="0.25">
      <c r="A30" s="2034"/>
      <c r="B30" s="1996"/>
      <c r="C30" s="2011"/>
      <c r="D30" s="1996"/>
      <c r="E30" s="150" t="s">
        <v>15</v>
      </c>
      <c r="F30" s="492" t="s">
        <v>16</v>
      </c>
      <c r="G30" s="2021"/>
      <c r="H30" s="2021"/>
      <c r="I30" s="2009"/>
      <c r="J30" s="1988"/>
      <c r="K30" s="2002"/>
      <c r="L30" s="1988"/>
      <c r="M30" s="1988"/>
      <c r="N30" s="2002"/>
      <c r="O30" s="2107"/>
      <c r="P30" s="1988"/>
      <c r="Q30" s="2009"/>
      <c r="R30" s="2108"/>
      <c r="S30" s="2006"/>
      <c r="T30" s="1988"/>
      <c r="U30" s="2002"/>
      <c r="V30" s="2107"/>
      <c r="W30" s="1988"/>
      <c r="X30" s="1988"/>
      <c r="Y30" s="1988"/>
      <c r="Z30" s="2009"/>
      <c r="AA30" s="2108"/>
      <c r="AB30" s="2006"/>
      <c r="AC30" s="1988"/>
      <c r="AD30" s="2002"/>
      <c r="AE30" s="2034"/>
    </row>
    <row r="31" spans="1:31" x14ac:dyDescent="0.25">
      <c r="A31" s="15" t="s">
        <v>507</v>
      </c>
      <c r="B31" s="473">
        <v>5080.3999999999996</v>
      </c>
      <c r="C31" s="473">
        <v>4.7</v>
      </c>
      <c r="D31" s="473">
        <f>B31*C31</f>
        <v>23877.879999999997</v>
      </c>
      <c r="E31" s="15">
        <v>37440.339999999997</v>
      </c>
      <c r="F31" s="15">
        <v>12721.42</v>
      </c>
      <c r="G31" s="47">
        <f>H31+I31+J31+K31</f>
        <v>55987.175021452786</v>
      </c>
      <c r="H31" s="47"/>
      <c r="I31" s="47">
        <f>209745/20286.4*B31</f>
        <v>52527.23489628519</v>
      </c>
      <c r="J31" s="47">
        <f>11494/20286.4*B31</f>
        <v>2878.4859610379362</v>
      </c>
      <c r="K31" s="47">
        <f>J31*0.202</f>
        <v>581.45416412966313</v>
      </c>
      <c r="L31" s="47">
        <f>E31-G31</f>
        <v>-18546.835021452789</v>
      </c>
      <c r="M31" s="47">
        <f>F31/E31*100</f>
        <v>33.977843149928667</v>
      </c>
      <c r="N31" s="47"/>
      <c r="O31" s="47"/>
      <c r="P31" s="467"/>
      <c r="Q31" s="46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15"/>
    </row>
    <row r="32" spans="1:31" ht="15" customHeight="1" x14ac:dyDescent="0.25">
      <c r="A32" s="15" t="s">
        <v>508</v>
      </c>
      <c r="B32" s="473">
        <v>4252</v>
      </c>
      <c r="C32" s="473">
        <v>4.7</v>
      </c>
      <c r="D32" s="473">
        <f t="shared" ref="D32:D35" si="17">B32*C32</f>
        <v>19984.400000000001</v>
      </c>
      <c r="E32" s="15">
        <v>31314.77</v>
      </c>
      <c r="F32" s="15">
        <v>12806.01</v>
      </c>
      <c r="G32" s="47">
        <f t="shared" ref="G32:G35" si="18">H32+I32+J32+K32</f>
        <v>46858.016729237315</v>
      </c>
      <c r="H32" s="47"/>
      <c r="I32" s="47">
        <f t="shared" ref="I32:I36" si="19">209745/20286.4*B32</f>
        <v>43962.24761416515</v>
      </c>
      <c r="J32" s="47">
        <f t="shared" ref="J32:J35" si="20">11494/20286.4*B32</f>
        <v>2409.1257196939819</v>
      </c>
      <c r="K32" s="47">
        <f t="shared" ref="K32:K35" si="21">J32*0.202</f>
        <v>486.64339537818438</v>
      </c>
      <c r="L32" s="47">
        <f t="shared" ref="L32:L36" si="22">E32-G32</f>
        <v>-15543.246729237315</v>
      </c>
      <c r="M32" s="47">
        <f t="shared" ref="M32:M36" si="23">F32/E32*100</f>
        <v>40.894472480557894</v>
      </c>
      <c r="N32" s="47"/>
      <c r="O32" s="47"/>
      <c r="P32" s="467"/>
      <c r="Q32" s="46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15"/>
    </row>
    <row r="33" spans="1:31" x14ac:dyDescent="0.25">
      <c r="A33" s="15" t="s">
        <v>509</v>
      </c>
      <c r="B33" s="473">
        <v>3708.7</v>
      </c>
      <c r="C33" s="473">
        <v>4.7</v>
      </c>
      <c r="D33" s="473">
        <f t="shared" si="17"/>
        <v>17430.89</v>
      </c>
      <c r="E33" s="15">
        <v>27312.83</v>
      </c>
      <c r="F33" s="15">
        <v>8781.2099999999991</v>
      </c>
      <c r="G33" s="47">
        <f t="shared" si="18"/>
        <v>40870.725927498213</v>
      </c>
      <c r="H33" s="47"/>
      <c r="I33" s="47">
        <f t="shared" si="19"/>
        <v>38344.964187830265</v>
      </c>
      <c r="J33" s="47">
        <f t="shared" si="20"/>
        <v>2101.299284249546</v>
      </c>
      <c r="K33" s="47">
        <f t="shared" si="21"/>
        <v>424.4624554184083</v>
      </c>
      <c r="L33" s="47">
        <f t="shared" si="22"/>
        <v>-13557.895927498212</v>
      </c>
      <c r="M33" s="47">
        <f t="shared" si="23"/>
        <v>32.150494840703061</v>
      </c>
      <c r="N33" s="47"/>
      <c r="O33" s="47"/>
      <c r="P33" s="467"/>
      <c r="Q33" s="46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15"/>
    </row>
    <row r="34" spans="1:31" x14ac:dyDescent="0.25">
      <c r="A34" s="15" t="s">
        <v>510</v>
      </c>
      <c r="B34" s="473">
        <v>2878.3</v>
      </c>
      <c r="C34" s="473">
        <v>4.7</v>
      </c>
      <c r="D34" s="473">
        <f t="shared" si="17"/>
        <v>13528.010000000002</v>
      </c>
      <c r="E34" s="15">
        <v>21194.63</v>
      </c>
      <c r="F34" s="15">
        <v>6717.31</v>
      </c>
      <c r="G34" s="47">
        <f t="shared" si="18"/>
        <v>31719.527175861662</v>
      </c>
      <c r="H34" s="47"/>
      <c r="I34" s="47">
        <f t="shared" si="19"/>
        <v>29759.298520190867</v>
      </c>
      <c r="J34" s="47">
        <f t="shared" si="20"/>
        <v>1630.8058699424244</v>
      </c>
      <c r="K34" s="47">
        <f t="shared" si="21"/>
        <v>329.42278572836972</v>
      </c>
      <c r="L34" s="47">
        <f t="shared" si="22"/>
        <v>-10524.897175861661</v>
      </c>
      <c r="M34" s="47">
        <f t="shared" si="23"/>
        <v>31.693452539629142</v>
      </c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15"/>
    </row>
    <row r="35" spans="1:31" x14ac:dyDescent="0.25">
      <c r="A35" s="15" t="s">
        <v>511</v>
      </c>
      <c r="B35" s="473">
        <v>4367</v>
      </c>
      <c r="C35" s="473">
        <v>4.7</v>
      </c>
      <c r="D35" s="473">
        <f t="shared" si="17"/>
        <v>20524.900000000001</v>
      </c>
      <c r="E35" s="15">
        <v>32158.63</v>
      </c>
      <c r="F35" s="15">
        <v>11678.74</v>
      </c>
      <c r="G35" s="47">
        <f t="shared" si="18"/>
        <v>48125.343145949992</v>
      </c>
      <c r="H35" s="47"/>
      <c r="I35" s="47">
        <f t="shared" si="19"/>
        <v>45151.254781528507</v>
      </c>
      <c r="J35" s="47">
        <f t="shared" si="20"/>
        <v>2474.28316507611</v>
      </c>
      <c r="K35" s="47">
        <f t="shared" si="21"/>
        <v>499.80519934537426</v>
      </c>
      <c r="L35" s="47">
        <f t="shared" si="22"/>
        <v>-15966.713145949991</v>
      </c>
      <c r="M35" s="47">
        <f t="shared" si="23"/>
        <v>36.316037094863802</v>
      </c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15"/>
    </row>
    <row r="36" spans="1:31" x14ac:dyDescent="0.25">
      <c r="A36" s="496" t="s">
        <v>514</v>
      </c>
      <c r="B36" s="497">
        <f>SUM(B31:B35)</f>
        <v>20286.399999999998</v>
      </c>
      <c r="C36" s="497"/>
      <c r="D36" s="497">
        <f>SUM(D31:D35)</f>
        <v>95346.079999999987</v>
      </c>
      <c r="E36" s="498">
        <f>SUM(E31:E35)</f>
        <v>149421.20000000001</v>
      </c>
      <c r="F36" s="496">
        <f>SUM(F31:F35)</f>
        <v>52704.689999999995</v>
      </c>
      <c r="G36" s="498">
        <f>SUM(G31:G35)</f>
        <v>223560.788</v>
      </c>
      <c r="H36" s="498"/>
      <c r="I36" s="495">
        <f t="shared" si="19"/>
        <v>209744.99999999997</v>
      </c>
      <c r="J36" s="498">
        <f>SUM(J31:J35)</f>
        <v>11493.999999999996</v>
      </c>
      <c r="K36" s="498">
        <f>SUM(K31:K35)</f>
        <v>2321.788</v>
      </c>
      <c r="L36" s="495">
        <f t="shared" si="22"/>
        <v>-74139.587999999989</v>
      </c>
      <c r="M36" s="495">
        <f t="shared" si="23"/>
        <v>35.272565071087634</v>
      </c>
      <c r="N36" s="47"/>
      <c r="O36" s="498">
        <f t="shared" ref="O36" si="24">SUM(O31:O35)</f>
        <v>0</v>
      </c>
      <c r="P36" s="47"/>
      <c r="Q36" s="47"/>
      <c r="R36" s="498"/>
      <c r="S36" s="498"/>
      <c r="T36" s="498"/>
      <c r="U36" s="498"/>
      <c r="V36" s="498"/>
      <c r="W36" s="498"/>
      <c r="X36" s="498"/>
      <c r="Y36" s="498"/>
      <c r="Z36" s="498"/>
      <c r="AA36" s="498"/>
      <c r="AB36" s="498"/>
      <c r="AC36" s="498"/>
      <c r="AD36" s="498"/>
      <c r="AE36" s="15"/>
    </row>
    <row r="37" spans="1:31" x14ac:dyDescent="0.25">
      <c r="A37" s="15"/>
      <c r="B37" s="15"/>
      <c r="C37" s="15"/>
      <c r="D37" s="15"/>
      <c r="E37" s="495">
        <f>E11+E24+E36</f>
        <v>725169.56999999983</v>
      </c>
      <c r="F37" s="495">
        <f>F11+F24+F36</f>
        <v>255785.94</v>
      </c>
      <c r="G37" s="15"/>
      <c r="H37" s="15"/>
      <c r="I37" s="499"/>
      <c r="J37" s="15"/>
      <c r="K37" s="15"/>
      <c r="L37" s="15"/>
      <c r="M37" s="499"/>
      <c r="N37" s="15"/>
      <c r="O37" s="15"/>
      <c r="P37" s="47"/>
      <c r="Q37" s="47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47"/>
      <c r="Q38" s="47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495"/>
      <c r="Q39" s="498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</sheetData>
  <mergeCells count="84">
    <mergeCell ref="AE4:AE5"/>
    <mergeCell ref="AB17:AB18"/>
    <mergeCell ref="I4:I5"/>
    <mergeCell ref="J4:J5"/>
    <mergeCell ref="K4:K5"/>
    <mergeCell ref="AE17:AE18"/>
    <mergeCell ref="P4:P5"/>
    <mergeCell ref="S17:S18"/>
    <mergeCell ref="T17:T18"/>
    <mergeCell ref="W4:Y4"/>
    <mergeCell ref="AE29:AE30"/>
    <mergeCell ref="P17:P18"/>
    <mergeCell ref="P29:P30"/>
    <mergeCell ref="L4:L5"/>
    <mergeCell ref="Z4:Z5"/>
    <mergeCell ref="T4:T5"/>
    <mergeCell ref="U4:U5"/>
    <mergeCell ref="V4:V5"/>
    <mergeCell ref="AA4:AA5"/>
    <mergeCell ref="AB4:AB5"/>
    <mergeCell ref="AC4:AC5"/>
    <mergeCell ref="AD4:AD5"/>
    <mergeCell ref="M4:M5"/>
    <mergeCell ref="S4:S5"/>
    <mergeCell ref="N4:N5"/>
    <mergeCell ref="O4:O5"/>
    <mergeCell ref="E4:F4"/>
    <mergeCell ref="A4:A5"/>
    <mergeCell ref="B4:B5"/>
    <mergeCell ref="C4:C5"/>
    <mergeCell ref="D4:D5"/>
    <mergeCell ref="R29:R30"/>
    <mergeCell ref="R17:R18"/>
    <mergeCell ref="V29:V30"/>
    <mergeCell ref="A17:A18"/>
    <mergeCell ref="B17:B18"/>
    <mergeCell ref="C17:C18"/>
    <mergeCell ref="D17:D18"/>
    <mergeCell ref="E17:F17"/>
    <mergeCell ref="A29:A30"/>
    <mergeCell ref="B29:B30"/>
    <mergeCell ref="C29:C30"/>
    <mergeCell ref="D29:D30"/>
    <mergeCell ref="E29:F29"/>
    <mergeCell ref="Z29:Z30"/>
    <mergeCell ref="AA29:AA30"/>
    <mergeCell ref="U17:U18"/>
    <mergeCell ref="V17:V18"/>
    <mergeCell ref="Z17:Z18"/>
    <mergeCell ref="AA17:AA18"/>
    <mergeCell ref="W29:W30"/>
    <mergeCell ref="X29:X30"/>
    <mergeCell ref="Y29:Y30"/>
    <mergeCell ref="AB29:AB30"/>
    <mergeCell ref="AC29:AC30"/>
    <mergeCell ref="AD29:AD30"/>
    <mergeCell ref="G4:G5"/>
    <mergeCell ref="G17:G18"/>
    <mergeCell ref="G29:G30"/>
    <mergeCell ref="Q4:Q5"/>
    <mergeCell ref="R4:R5"/>
    <mergeCell ref="AC17:AC18"/>
    <mergeCell ref="AD17:AD18"/>
    <mergeCell ref="I29:I30"/>
    <mergeCell ref="J29:J30"/>
    <mergeCell ref="M29:M30"/>
    <mergeCell ref="S29:S30"/>
    <mergeCell ref="T29:T30"/>
    <mergeCell ref="U29:U30"/>
    <mergeCell ref="H4:H5"/>
    <mergeCell ref="L29:L30"/>
    <mergeCell ref="H29:H30"/>
    <mergeCell ref="O29:O30"/>
    <mergeCell ref="Q29:Q30"/>
    <mergeCell ref="N29:N30"/>
    <mergeCell ref="N17:N18"/>
    <mergeCell ref="O17:O18"/>
    <mergeCell ref="Q17:Q18"/>
    <mergeCell ref="I17:I18"/>
    <mergeCell ref="J17:J18"/>
    <mergeCell ref="M17:M18"/>
    <mergeCell ref="H17:H18"/>
    <mergeCell ref="L17:L18"/>
    <mergeCell ref="K29:K30"/>
  </mergeCells>
  <pageMargins left="0.21" right="0.7" top="0.75" bottom="0.75" header="0.3" footer="0.3"/>
  <pageSetup paperSize="9" orientation="landscape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40"/>
  <sheetViews>
    <sheetView workbookViewId="0">
      <selection activeCell="AF6" sqref="AF6:AF10"/>
    </sheetView>
  </sheetViews>
  <sheetFormatPr defaultRowHeight="15" x14ac:dyDescent="0.25"/>
  <cols>
    <col min="1" max="1" width="18.85546875" customWidth="1"/>
    <col min="2" max="2" width="9.5703125" customWidth="1"/>
    <col min="3" max="3" width="7.42578125" hidden="1" customWidth="1"/>
    <col min="4" max="4" width="10.42578125" hidden="1" customWidth="1"/>
    <col min="5" max="5" width="11.42578125" hidden="1" customWidth="1"/>
    <col min="6" max="6" width="11.140625" hidden="1" customWidth="1"/>
    <col min="7" max="7" width="14.85546875" hidden="1" customWidth="1"/>
    <col min="8" max="8" width="15.7109375" hidden="1" customWidth="1"/>
    <col min="9" max="11" width="12.5703125" hidden="1" customWidth="1"/>
    <col min="12" max="12" width="12.28515625" hidden="1" customWidth="1"/>
    <col min="13" max="13" width="11" hidden="1" customWidth="1"/>
    <col min="14" max="14" width="10.140625" hidden="1" customWidth="1"/>
    <col min="15" max="15" width="10.5703125" hidden="1" customWidth="1"/>
    <col min="16" max="17" width="10.5703125" customWidth="1"/>
    <col min="18" max="18" width="10.28515625" customWidth="1"/>
    <col min="19" max="19" width="10.85546875" customWidth="1"/>
    <col min="20" max="20" width="11.42578125" hidden="1" customWidth="1"/>
    <col min="21" max="21" width="11.42578125" customWidth="1"/>
    <col min="22" max="22" width="12.42578125" customWidth="1"/>
    <col min="23" max="23" width="10.85546875" customWidth="1"/>
    <col min="24" max="24" width="10.42578125" hidden="1" customWidth="1"/>
    <col min="25" max="25" width="11.28515625" customWidth="1"/>
    <col min="26" max="26" width="11.5703125" customWidth="1"/>
    <col min="27" max="27" width="11" customWidth="1"/>
    <col min="28" max="28" width="10.5703125" customWidth="1"/>
    <col min="29" max="29" width="10.7109375" customWidth="1"/>
    <col min="30" max="30" width="12" customWidth="1"/>
    <col min="31" max="31" width="11.42578125" customWidth="1"/>
    <col min="32" max="32" width="14.85546875" customWidth="1"/>
    <col min="33" max="33" width="11.5703125" customWidth="1"/>
  </cols>
  <sheetData>
    <row r="2" spans="1:38" x14ac:dyDescent="0.25">
      <c r="A2" s="355" t="s">
        <v>934</v>
      </c>
      <c r="B2" s="353"/>
      <c r="C2" s="353"/>
      <c r="D2" s="353"/>
      <c r="E2" s="353"/>
      <c r="F2" s="353"/>
      <c r="AH2" s="346"/>
      <c r="AI2" s="346"/>
      <c r="AJ2" s="346"/>
      <c r="AK2" s="346"/>
      <c r="AL2" s="346"/>
    </row>
    <row r="3" spans="1:38" x14ac:dyDescent="0.25">
      <c r="AH3" s="346"/>
      <c r="AI3" s="346"/>
      <c r="AJ3" s="346"/>
      <c r="AK3" s="346"/>
      <c r="AL3" s="346"/>
    </row>
    <row r="4" spans="1:38" ht="26.25" customHeight="1" x14ac:dyDescent="0.25">
      <c r="A4" s="2033" t="s">
        <v>184</v>
      </c>
      <c r="B4" s="1995" t="s">
        <v>293</v>
      </c>
      <c r="C4" s="2010" t="s">
        <v>512</v>
      </c>
      <c r="D4" s="1995" t="s">
        <v>513</v>
      </c>
      <c r="E4" s="2288" t="s">
        <v>935</v>
      </c>
      <c r="F4" s="2289"/>
      <c r="G4" s="2295" t="s">
        <v>310</v>
      </c>
      <c r="H4" s="2296"/>
      <c r="I4" s="2290" t="s">
        <v>936</v>
      </c>
      <c r="J4" s="2292" t="s">
        <v>937</v>
      </c>
      <c r="K4" s="2292"/>
      <c r="L4" s="2293" t="s">
        <v>518</v>
      </c>
      <c r="M4" s="2017" t="s">
        <v>735</v>
      </c>
      <c r="N4" s="2009" t="s">
        <v>724</v>
      </c>
      <c r="O4" s="2009" t="s">
        <v>938</v>
      </c>
      <c r="P4" s="1987" t="s">
        <v>939</v>
      </c>
      <c r="Q4" s="2009" t="s">
        <v>940</v>
      </c>
      <c r="R4" s="2003" t="s">
        <v>941</v>
      </c>
      <c r="S4" s="2003" t="s">
        <v>942</v>
      </c>
      <c r="T4" s="2003"/>
      <c r="U4" s="2003" t="s">
        <v>943</v>
      </c>
      <c r="V4" s="2003" t="s">
        <v>944</v>
      </c>
      <c r="W4" s="2005" t="s">
        <v>945</v>
      </c>
      <c r="X4" s="2003"/>
      <c r="Y4" s="2107" t="s">
        <v>10</v>
      </c>
      <c r="Z4" s="1987" t="s">
        <v>520</v>
      </c>
      <c r="AA4" s="1987" t="s">
        <v>946</v>
      </c>
      <c r="AB4" s="2009" t="s">
        <v>947</v>
      </c>
      <c r="AC4" s="2009" t="s">
        <v>948</v>
      </c>
      <c r="AD4" s="2009" t="s">
        <v>321</v>
      </c>
      <c r="AE4" s="1987" t="s">
        <v>949</v>
      </c>
      <c r="AF4" s="1987" t="s">
        <v>950</v>
      </c>
      <c r="AG4" s="2001" t="s">
        <v>951</v>
      </c>
      <c r="AH4" s="346"/>
      <c r="AI4" s="346"/>
      <c r="AJ4" s="346"/>
      <c r="AK4" s="346"/>
      <c r="AL4" s="346"/>
    </row>
    <row r="5" spans="1:38" ht="27.75" customHeight="1" x14ac:dyDescent="0.25">
      <c r="A5" s="2034"/>
      <c r="B5" s="1996"/>
      <c r="C5" s="2011"/>
      <c r="D5" s="1996"/>
      <c r="E5" s="1963" t="s">
        <v>15</v>
      </c>
      <c r="F5" s="1925" t="s">
        <v>16</v>
      </c>
      <c r="G5" s="1963" t="s">
        <v>15</v>
      </c>
      <c r="H5" s="1925" t="s">
        <v>16</v>
      </c>
      <c r="I5" s="2291"/>
      <c r="J5" s="1963" t="s">
        <v>15</v>
      </c>
      <c r="K5" s="1925" t="s">
        <v>16</v>
      </c>
      <c r="L5" s="2294"/>
      <c r="M5" s="2017"/>
      <c r="N5" s="2009"/>
      <c r="O5" s="2009"/>
      <c r="P5" s="1988"/>
      <c r="Q5" s="2009"/>
      <c r="R5" s="2004"/>
      <c r="S5" s="2004"/>
      <c r="T5" s="2004"/>
      <c r="U5" s="2004"/>
      <c r="V5" s="2004"/>
      <c r="W5" s="2002"/>
      <c r="X5" s="2002"/>
      <c r="Y5" s="2107"/>
      <c r="Z5" s="1988"/>
      <c r="AA5" s="1988"/>
      <c r="AB5" s="2009"/>
      <c r="AC5" s="2009"/>
      <c r="AD5" s="2009"/>
      <c r="AE5" s="1988"/>
      <c r="AF5" s="1988"/>
      <c r="AG5" s="2002"/>
      <c r="AH5" s="346"/>
      <c r="AI5" s="346"/>
      <c r="AJ5" s="346"/>
      <c r="AK5" s="346"/>
      <c r="AL5" s="346"/>
    </row>
    <row r="6" spans="1:38" x14ac:dyDescent="0.25">
      <c r="A6" s="15" t="s">
        <v>507</v>
      </c>
      <c r="B6" s="473">
        <v>5080.3999999999996</v>
      </c>
      <c r="C6" s="472">
        <v>13.11</v>
      </c>
      <c r="D6" s="473">
        <f>B6*C6</f>
        <v>66604.043999999994</v>
      </c>
      <c r="E6" s="473">
        <v>28963.71</v>
      </c>
      <c r="F6" s="473">
        <v>26662.45</v>
      </c>
      <c r="G6" s="15">
        <v>800424.99</v>
      </c>
      <c r="H6" s="15">
        <v>747465.63</v>
      </c>
      <c r="I6" s="15">
        <f>G6-H6</f>
        <v>52959.359999999986</v>
      </c>
      <c r="J6" s="47">
        <f>E6+G6</f>
        <v>829388.7</v>
      </c>
      <c r="K6" s="47">
        <f>F6+H6</f>
        <v>774128.08</v>
      </c>
      <c r="L6" s="47">
        <f>M6+N6+O6+Q6+R6+S6+U6+V6+W6+Y6+Z6+AA6+AB6+AC6+AD6</f>
        <v>548877.25304144644</v>
      </c>
      <c r="M6" s="47"/>
      <c r="N6" s="47"/>
      <c r="O6" s="47"/>
      <c r="P6" s="47">
        <v>42768.09</v>
      </c>
      <c r="Q6" s="47">
        <v>19654.79</v>
      </c>
      <c r="R6" s="47">
        <v>41285.449999999997</v>
      </c>
      <c r="S6" s="47">
        <f>53707.64/20286.4*B6</f>
        <v>13450.207737991954</v>
      </c>
      <c r="T6" s="47"/>
      <c r="U6" s="47">
        <v>1206.83</v>
      </c>
      <c r="V6" s="47">
        <v>11388</v>
      </c>
      <c r="W6" s="47">
        <f>13690/20286.4*B6</f>
        <v>3428.4385598233293</v>
      </c>
      <c r="X6" s="47"/>
      <c r="Y6" s="47"/>
      <c r="Z6" s="47">
        <f>74380.16/20286.4*B6</f>
        <v>18627.305232273837</v>
      </c>
      <c r="AA6" s="47">
        <f>10345.25/20286.4*B6</f>
        <v>2590.8001468964426</v>
      </c>
      <c r="AB6" s="47">
        <f>3000/20286.4*B6</f>
        <v>751.30136446091956</v>
      </c>
      <c r="AC6" s="47">
        <v>108439.41</v>
      </c>
      <c r="AD6" s="47">
        <v>328054.71999999997</v>
      </c>
      <c r="AE6" s="47">
        <f>(AC6+AD6)*0.202</f>
        <v>88171.814260000014</v>
      </c>
      <c r="AF6" s="47">
        <f>841133.05/3306336.89*829388.7</f>
        <v>210996.72237771723</v>
      </c>
      <c r="AG6" s="47"/>
      <c r="AH6" s="346"/>
      <c r="AI6" s="346"/>
      <c r="AJ6" s="346"/>
      <c r="AK6" s="346"/>
      <c r="AL6" s="346"/>
    </row>
    <row r="7" spans="1:38" x14ac:dyDescent="0.25">
      <c r="A7" s="15" t="s">
        <v>508</v>
      </c>
      <c r="B7" s="473">
        <v>4252</v>
      </c>
      <c r="C7" s="472">
        <v>13.11</v>
      </c>
      <c r="D7" s="473">
        <f t="shared" ref="D7:D10" si="0">B7*C7</f>
        <v>55743.72</v>
      </c>
      <c r="E7" s="473">
        <v>16830.84</v>
      </c>
      <c r="F7" s="473">
        <v>16110.67</v>
      </c>
      <c r="G7" s="15">
        <v>669152.78</v>
      </c>
      <c r="H7" s="15">
        <v>627547.87</v>
      </c>
      <c r="I7" s="15">
        <f t="shared" ref="I7:I10" si="1">G7-H7</f>
        <v>41604.910000000033</v>
      </c>
      <c r="J7" s="47">
        <f t="shared" ref="J7:J10" si="2">E7+G7</f>
        <v>685983.62</v>
      </c>
      <c r="K7" s="47">
        <f t="shared" ref="K7:K10" si="3">F7+H7</f>
        <v>643658.54</v>
      </c>
      <c r="L7" s="47">
        <f t="shared" ref="L7:L10" si="4">M7+N7+O7+Q7+R7+S7+U7+V7+W7+Y7+Z7+AA7+AB7+AC7+AD7</f>
        <v>445281.88616255228</v>
      </c>
      <c r="M7" s="47"/>
      <c r="N7" s="47"/>
      <c r="O7" s="47"/>
      <c r="P7" s="47">
        <v>35794.410000000003</v>
      </c>
      <c r="Q7" s="47">
        <v>11421.42</v>
      </c>
      <c r="R7" s="47">
        <v>11548.33</v>
      </c>
      <c r="S7" s="47">
        <f t="shared" ref="S7:S10" si="5">53707.64/20286.4*B7</f>
        <v>11257.043402476535</v>
      </c>
      <c r="T7" s="47"/>
      <c r="U7" s="47">
        <v>1010.05</v>
      </c>
      <c r="V7" s="47">
        <v>9110.4</v>
      </c>
      <c r="W7" s="47">
        <f t="shared" ref="W7:W10" si="6">13690/20286.4*B7</f>
        <v>2869.4041328180451</v>
      </c>
      <c r="X7" s="47"/>
      <c r="Y7" s="47">
        <v>7648.32</v>
      </c>
      <c r="Z7" s="47">
        <f t="shared" ref="Z7:Z10" si="7">74380.16/20286.4*B7</f>
        <v>15589.973594132029</v>
      </c>
      <c r="AA7" s="47">
        <f t="shared" ref="AA7:AA10" si="8">10345.25/20286.4*B7</f>
        <v>2168.3493867812917</v>
      </c>
      <c r="AB7" s="47">
        <f t="shared" ref="AB7:AB10" si="9">3000/20286.4*B7</f>
        <v>628.79564634434882</v>
      </c>
      <c r="AC7" s="47">
        <v>97467.04</v>
      </c>
      <c r="AD7" s="47">
        <v>274562.76</v>
      </c>
      <c r="AE7" s="47">
        <f t="shared" ref="AE7:AE10" si="10">(AC7+AD7)*0.202</f>
        <v>75150.0196</v>
      </c>
      <c r="AF7" s="47">
        <f t="shared" ref="AF7:AF10" si="11">841133.05/3306336.89*829388.7</f>
        <v>210996.72237771723</v>
      </c>
      <c r="AG7" s="47"/>
      <c r="AH7" s="346"/>
      <c r="AI7" s="346"/>
      <c r="AJ7" s="346"/>
      <c r="AK7" s="346"/>
      <c r="AL7" s="346"/>
    </row>
    <row r="8" spans="1:38" x14ac:dyDescent="0.25">
      <c r="A8" s="15" t="s">
        <v>509</v>
      </c>
      <c r="B8" s="473">
        <v>3708.7</v>
      </c>
      <c r="C8" s="472">
        <v>13.11</v>
      </c>
      <c r="D8" s="473">
        <f t="shared" si="0"/>
        <v>48621.056999999993</v>
      </c>
      <c r="E8" s="473">
        <v>22074.18</v>
      </c>
      <c r="F8" s="473">
        <v>19662.560000000001</v>
      </c>
      <c r="G8" s="15">
        <v>583625.56999999995</v>
      </c>
      <c r="H8" s="15">
        <v>510327.75</v>
      </c>
      <c r="I8" s="15">
        <f t="shared" si="1"/>
        <v>73297.819999999949</v>
      </c>
      <c r="J8" s="47">
        <f t="shared" si="2"/>
        <v>605699.75</v>
      </c>
      <c r="K8" s="47">
        <f t="shared" si="3"/>
        <v>529990.31000000006</v>
      </c>
      <c r="L8" s="47">
        <f t="shared" si="4"/>
        <v>420054.88989347545</v>
      </c>
      <c r="M8" s="47"/>
      <c r="N8" s="47"/>
      <c r="O8" s="47"/>
      <c r="P8" s="47">
        <v>31220.78</v>
      </c>
      <c r="Q8" s="47">
        <v>14979.55</v>
      </c>
      <c r="R8" s="47">
        <v>46303.35</v>
      </c>
      <c r="S8" s="47">
        <f t="shared" si="5"/>
        <v>9818.6728284959372</v>
      </c>
      <c r="T8" s="47"/>
      <c r="U8" s="47">
        <v>880.99</v>
      </c>
      <c r="V8" s="47"/>
      <c r="W8" s="47">
        <f t="shared" si="6"/>
        <v>2502.7655473617788</v>
      </c>
      <c r="X8" s="47"/>
      <c r="Y8" s="47"/>
      <c r="Z8" s="47">
        <f t="shared" si="7"/>
        <v>13597.962151589241</v>
      </c>
      <c r="AA8" s="47">
        <f t="shared" si="8"/>
        <v>1891.2881869133998</v>
      </c>
      <c r="AB8" s="47">
        <f t="shared" si="9"/>
        <v>548.45117911507214</v>
      </c>
      <c r="AC8" s="47">
        <v>90051.4</v>
      </c>
      <c r="AD8" s="47">
        <v>239480.46</v>
      </c>
      <c r="AE8" s="47">
        <f t="shared" si="10"/>
        <v>66565.435720000009</v>
      </c>
      <c r="AF8" s="47">
        <f t="shared" si="11"/>
        <v>210996.72237771723</v>
      </c>
      <c r="AG8" s="47"/>
      <c r="AH8" s="346"/>
      <c r="AI8" s="346"/>
      <c r="AJ8" s="346"/>
      <c r="AK8" s="346"/>
      <c r="AL8" s="346"/>
    </row>
    <row r="9" spans="1:38" x14ac:dyDescent="0.25">
      <c r="A9" s="15" t="s">
        <v>510</v>
      </c>
      <c r="B9" s="473">
        <v>2878.3</v>
      </c>
      <c r="C9" s="472">
        <v>13.11</v>
      </c>
      <c r="D9" s="473">
        <f t="shared" si="0"/>
        <v>37734.512999999999</v>
      </c>
      <c r="E9" s="473">
        <v>16555.439999999999</v>
      </c>
      <c r="F9" s="473">
        <v>14680.48</v>
      </c>
      <c r="G9" s="15">
        <v>451509.57</v>
      </c>
      <c r="H9" s="15">
        <v>380584.48</v>
      </c>
      <c r="I9" s="15">
        <f t="shared" si="1"/>
        <v>70925.090000000026</v>
      </c>
      <c r="J9" s="47">
        <f t="shared" si="2"/>
        <v>468065.01</v>
      </c>
      <c r="K9" s="47">
        <f t="shared" si="3"/>
        <v>395264.95999999996</v>
      </c>
      <c r="L9" s="47">
        <f t="shared" si="4"/>
        <v>303934.67970970698</v>
      </c>
      <c r="M9" s="47"/>
      <c r="N9" s="47"/>
      <c r="O9" s="47"/>
      <c r="P9" s="47">
        <v>24230.26</v>
      </c>
      <c r="Q9" s="47">
        <v>11234.53</v>
      </c>
      <c r="R9" s="47">
        <v>8860.15</v>
      </c>
      <c r="S9" s="47">
        <f t="shared" si="5"/>
        <v>7620.2135525278018</v>
      </c>
      <c r="T9" s="47"/>
      <c r="U9" s="47">
        <v>683.73</v>
      </c>
      <c r="V9" s="47"/>
      <c r="W9" s="47">
        <f t="shared" si="6"/>
        <v>1942.3814476693744</v>
      </c>
      <c r="X9" s="47"/>
      <c r="Y9" s="47"/>
      <c r="Z9" s="47">
        <f t="shared" si="7"/>
        <v>10553.297506112469</v>
      </c>
      <c r="AA9" s="47">
        <f t="shared" si="8"/>
        <v>1467.8175070490574</v>
      </c>
      <c r="AB9" s="47">
        <f t="shared" si="9"/>
        <v>425.64969634829242</v>
      </c>
      <c r="AC9" s="47">
        <v>75287.55</v>
      </c>
      <c r="AD9" s="47">
        <v>185859.36</v>
      </c>
      <c r="AE9" s="47">
        <f t="shared" si="10"/>
        <v>52751.675819999997</v>
      </c>
      <c r="AF9" s="47">
        <f t="shared" si="11"/>
        <v>210996.72237771723</v>
      </c>
      <c r="AG9" s="47"/>
      <c r="AH9" s="346"/>
      <c r="AI9" s="346"/>
      <c r="AJ9" s="346"/>
      <c r="AK9" s="346"/>
      <c r="AL9" s="346"/>
    </row>
    <row r="10" spans="1:38" x14ac:dyDescent="0.25">
      <c r="A10" s="15" t="s">
        <v>511</v>
      </c>
      <c r="B10" s="473">
        <v>4367</v>
      </c>
      <c r="C10" s="472">
        <v>13.11</v>
      </c>
      <c r="D10" s="473">
        <f t="shared" si="0"/>
        <v>57251.369999999995</v>
      </c>
      <c r="E10" s="473">
        <v>30052.720000000001</v>
      </c>
      <c r="F10" s="473">
        <v>27292.720000000001</v>
      </c>
      <c r="G10" s="47">
        <v>687147.1</v>
      </c>
      <c r="H10" s="15">
        <v>618871.93999999994</v>
      </c>
      <c r="I10" s="15">
        <f t="shared" si="1"/>
        <v>68275.160000000033</v>
      </c>
      <c r="J10" s="47">
        <f t="shared" si="2"/>
        <v>717199.82</v>
      </c>
      <c r="K10" s="47">
        <f t="shared" si="3"/>
        <v>646164.65999999992</v>
      </c>
      <c r="L10" s="47">
        <f t="shared" si="4"/>
        <v>494199.46119281882</v>
      </c>
      <c r="M10" s="47"/>
      <c r="N10" s="47"/>
      <c r="O10" s="47"/>
      <c r="P10" s="47">
        <v>36762.51</v>
      </c>
      <c r="Q10" s="47">
        <v>20393.8</v>
      </c>
      <c r="R10" s="47">
        <v>39966.01</v>
      </c>
      <c r="S10" s="47">
        <f t="shared" si="5"/>
        <v>11561.502478507768</v>
      </c>
      <c r="T10" s="47"/>
      <c r="U10" s="47">
        <v>1037.3599999999999</v>
      </c>
      <c r="V10" s="47"/>
      <c r="W10" s="47">
        <f t="shared" si="6"/>
        <v>2947.0103123274703</v>
      </c>
      <c r="X10" s="47"/>
      <c r="Y10" s="47"/>
      <c r="Z10" s="47">
        <f t="shared" si="7"/>
        <v>16011.621515892421</v>
      </c>
      <c r="AA10" s="47">
        <f t="shared" si="8"/>
        <v>2226.9947723598075</v>
      </c>
      <c r="AB10" s="47">
        <f t="shared" si="9"/>
        <v>645.80211373136683</v>
      </c>
      <c r="AC10" s="47">
        <v>117420.75</v>
      </c>
      <c r="AD10" s="47">
        <v>281988.61</v>
      </c>
      <c r="AE10" s="47">
        <f t="shared" si="10"/>
        <v>80680.690719999999</v>
      </c>
      <c r="AF10" s="47">
        <f t="shared" si="11"/>
        <v>210996.72237771723</v>
      </c>
      <c r="AG10" s="47"/>
      <c r="AH10" s="346"/>
      <c r="AI10" s="346"/>
      <c r="AJ10" s="346"/>
      <c r="AK10" s="346"/>
      <c r="AL10" s="346"/>
    </row>
    <row r="11" spans="1:38" x14ac:dyDescent="0.25">
      <c r="A11" s="493" t="s">
        <v>514</v>
      </c>
      <c r="B11" s="474">
        <f>SUM(B6:B10)</f>
        <v>20286.399999999998</v>
      </c>
      <c r="C11" s="494"/>
      <c r="D11" s="474">
        <f t="shared" ref="D11:O11" si="12">SUM(D6:D10)</f>
        <v>265954.70400000003</v>
      </c>
      <c r="E11" s="474">
        <f t="shared" si="12"/>
        <v>114476.89000000001</v>
      </c>
      <c r="F11" s="474">
        <f t="shared" si="12"/>
        <v>104408.88</v>
      </c>
      <c r="G11" s="495">
        <f t="shared" si="12"/>
        <v>3191860.01</v>
      </c>
      <c r="H11" s="495">
        <f t="shared" si="12"/>
        <v>2884797.67</v>
      </c>
      <c r="I11" s="495">
        <f t="shared" si="12"/>
        <v>307062.34000000003</v>
      </c>
      <c r="J11" s="495">
        <f t="shared" si="12"/>
        <v>3306336.9</v>
      </c>
      <c r="K11" s="495">
        <f t="shared" si="12"/>
        <v>2989206.55</v>
      </c>
      <c r="L11" s="495">
        <f>SUM(L6:L10)</f>
        <v>2212348.17</v>
      </c>
      <c r="M11" s="495">
        <f>SUM(M6:M10)</f>
        <v>0</v>
      </c>
      <c r="N11" s="495">
        <f t="shared" si="12"/>
        <v>0</v>
      </c>
      <c r="O11" s="495">
        <f t="shared" si="12"/>
        <v>0</v>
      </c>
      <c r="P11" s="495">
        <f>SUM(P6:P10)</f>
        <v>170776.05000000002</v>
      </c>
      <c r="Q11" s="495">
        <f t="shared" ref="Q11:T11" si="13">SUM(Q6:Q10)</f>
        <v>77684.09</v>
      </c>
      <c r="R11" s="495">
        <f t="shared" si="13"/>
        <v>147963.29</v>
      </c>
      <c r="S11" s="495">
        <f t="shared" si="13"/>
        <v>53707.639999999992</v>
      </c>
      <c r="T11" s="495">
        <f t="shared" si="13"/>
        <v>0</v>
      </c>
      <c r="U11" s="495">
        <f t="shared" ref="U11" si="14">SUM(U6:U10)</f>
        <v>4818.96</v>
      </c>
      <c r="V11" s="495">
        <f>SUM(V6:V10)</f>
        <v>20498.400000000001</v>
      </c>
      <c r="W11" s="495">
        <f>SUM(W6:W10)</f>
        <v>13689.999999999996</v>
      </c>
      <c r="X11" s="495"/>
      <c r="Y11" s="495">
        <f>SUM(Y6:Y10)</f>
        <v>7648.32</v>
      </c>
      <c r="Z11" s="495">
        <f>SUM(Z6:Z10)</f>
        <v>74380.159999999989</v>
      </c>
      <c r="AA11" s="495">
        <f>SUM(AA6:AA10)</f>
        <v>10345.249999999998</v>
      </c>
      <c r="AB11" s="495">
        <f t="shared" ref="AB11:AG11" si="15">SUM(AB6:AB10)</f>
        <v>2999.9999999999995</v>
      </c>
      <c r="AC11" s="495">
        <f t="shared" si="15"/>
        <v>488666.14999999997</v>
      </c>
      <c r="AD11" s="495">
        <f t="shared" si="15"/>
        <v>1309945.9099999999</v>
      </c>
      <c r="AE11" s="495">
        <f t="shared" si="15"/>
        <v>363319.63612000004</v>
      </c>
      <c r="AF11" s="495">
        <f t="shared" si="15"/>
        <v>1054983.6118885861</v>
      </c>
      <c r="AG11" s="495">
        <f t="shared" si="15"/>
        <v>0</v>
      </c>
      <c r="AH11" s="346"/>
      <c r="AI11" s="346"/>
      <c r="AJ11" s="346"/>
      <c r="AK11" s="346"/>
      <c r="AL11" s="346"/>
    </row>
    <row r="12" spans="1:38" x14ac:dyDescent="0.25">
      <c r="A12" s="15"/>
      <c r="B12" s="472"/>
      <c r="C12" s="472"/>
      <c r="D12" s="472"/>
      <c r="E12" s="472"/>
      <c r="F12" s="472"/>
      <c r="G12" s="15"/>
      <c r="H12" s="15"/>
      <c r="I12" s="15"/>
      <c r="J12" s="15"/>
      <c r="K12" s="15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346"/>
      <c r="AI12" s="346"/>
      <c r="AJ12" s="346"/>
      <c r="AK12" s="346"/>
      <c r="AL12" s="346"/>
    </row>
    <row r="13" spans="1:38" x14ac:dyDescent="0.25">
      <c r="A13" s="15"/>
      <c r="B13" s="472"/>
      <c r="C13" s="472"/>
      <c r="D13" s="472"/>
      <c r="E13" s="472"/>
      <c r="F13" s="472"/>
      <c r="G13" s="15"/>
      <c r="H13" s="15"/>
      <c r="I13" s="15"/>
      <c r="J13" s="15"/>
      <c r="K13" s="15"/>
      <c r="L13" s="15"/>
      <c r="M13" s="15"/>
      <c r="N13" s="493"/>
      <c r="O13" s="15"/>
      <c r="P13" s="15"/>
      <c r="Q13" s="495"/>
      <c r="R13" s="15"/>
      <c r="S13" s="15"/>
      <c r="T13" s="15"/>
      <c r="U13" s="495"/>
      <c r="V13" s="493"/>
      <c r="W13" s="15"/>
      <c r="X13" s="15"/>
      <c r="Y13" s="493"/>
      <c r="Z13" s="493"/>
      <c r="AA13" s="493"/>
      <c r="AB13" s="493"/>
      <c r="AC13" s="493"/>
      <c r="AD13" s="493"/>
      <c r="AE13" s="15"/>
      <c r="AF13" s="15"/>
      <c r="AG13" s="15"/>
      <c r="AH13" s="346"/>
      <c r="AI13" s="346"/>
      <c r="AJ13" s="346"/>
      <c r="AK13" s="346"/>
      <c r="AL13" s="346"/>
    </row>
    <row r="14" spans="1:38" x14ac:dyDescent="0.25">
      <c r="A14" s="15"/>
      <c r="B14" s="472"/>
      <c r="C14" s="472"/>
      <c r="D14" s="472"/>
      <c r="E14" s="472"/>
      <c r="F14" s="472"/>
      <c r="G14" s="15"/>
      <c r="H14" s="15"/>
      <c r="I14" s="15"/>
      <c r="J14" s="15"/>
      <c r="K14" s="15"/>
      <c r="L14" s="47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346"/>
      <c r="AI14" s="346"/>
      <c r="AJ14" s="346"/>
      <c r="AK14" s="346"/>
      <c r="AL14" s="346"/>
    </row>
    <row r="15" spans="1:38" x14ac:dyDescent="0.25">
      <c r="A15" s="506" t="s">
        <v>515</v>
      </c>
      <c r="B15" s="494"/>
      <c r="C15" s="494"/>
      <c r="D15" s="472"/>
      <c r="E15" s="472"/>
      <c r="F15" s="472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346"/>
      <c r="AI15" s="346"/>
      <c r="AJ15" s="346"/>
      <c r="AK15" s="346"/>
      <c r="AL15" s="346"/>
    </row>
    <row r="16" spans="1:38" x14ac:dyDescent="0.25">
      <c r="A16" s="15"/>
      <c r="B16" s="472"/>
      <c r="C16" s="472"/>
      <c r="D16" s="472"/>
      <c r="E16" s="472"/>
      <c r="F16" s="472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346"/>
      <c r="AI16" s="346"/>
      <c r="AJ16" s="346"/>
      <c r="AK16" s="346"/>
      <c r="AL16" s="346"/>
    </row>
    <row r="17" spans="1:38" ht="15" customHeight="1" x14ac:dyDescent="0.25">
      <c r="A17" s="2033" t="s">
        <v>184</v>
      </c>
      <c r="B17" s="1995" t="s">
        <v>293</v>
      </c>
      <c r="C17" s="2010" t="s">
        <v>512</v>
      </c>
      <c r="D17" s="1995" t="s">
        <v>513</v>
      </c>
      <c r="E17" s="1961"/>
      <c r="F17" s="1961"/>
      <c r="G17" s="1989" t="s">
        <v>284</v>
      </c>
      <c r="H17" s="1990"/>
      <c r="I17" s="1924"/>
      <c r="J17" s="1924"/>
      <c r="K17" s="1924"/>
      <c r="L17" s="2020"/>
      <c r="M17" s="2020"/>
      <c r="N17" s="2009"/>
      <c r="O17" s="1987"/>
      <c r="P17" s="1915"/>
      <c r="Q17" s="1987"/>
      <c r="R17" s="2003"/>
      <c r="S17" s="2003"/>
      <c r="T17" s="2003"/>
      <c r="U17" s="2003"/>
      <c r="V17" s="2003"/>
      <c r="W17" s="2003"/>
      <c r="X17" s="2003"/>
      <c r="Y17" s="2107"/>
      <c r="Z17" s="1987"/>
      <c r="AA17" s="1987"/>
      <c r="AB17" s="1915"/>
      <c r="AC17" s="1915"/>
      <c r="AD17" s="1915"/>
      <c r="AE17" s="1987"/>
      <c r="AF17" s="1987"/>
      <c r="AG17" s="2001"/>
      <c r="AH17" s="346"/>
      <c r="AI17" s="346"/>
      <c r="AJ17" s="346"/>
      <c r="AK17" s="346"/>
      <c r="AL17" s="346"/>
    </row>
    <row r="18" spans="1:38" ht="19.5" customHeight="1" x14ac:dyDescent="0.25">
      <c r="A18" s="2034"/>
      <c r="B18" s="1996"/>
      <c r="C18" s="2011"/>
      <c r="D18" s="1996"/>
      <c r="E18" s="1962"/>
      <c r="F18" s="1962"/>
      <c r="G18" s="150" t="s">
        <v>15</v>
      </c>
      <c r="H18" s="1921" t="s">
        <v>16</v>
      </c>
      <c r="I18" s="1917"/>
      <c r="J18" s="1917"/>
      <c r="K18" s="1917"/>
      <c r="L18" s="2021"/>
      <c r="M18" s="2021"/>
      <c r="N18" s="2009"/>
      <c r="O18" s="1988"/>
      <c r="P18" s="1916"/>
      <c r="Q18" s="1988"/>
      <c r="R18" s="2004"/>
      <c r="S18" s="2004"/>
      <c r="T18" s="2004"/>
      <c r="U18" s="2004"/>
      <c r="V18" s="2004"/>
      <c r="W18" s="2004"/>
      <c r="X18" s="2002"/>
      <c r="Y18" s="2107"/>
      <c r="Z18" s="1988"/>
      <c r="AA18" s="1988"/>
      <c r="AB18" s="1916"/>
      <c r="AC18" s="1916"/>
      <c r="AD18" s="1916"/>
      <c r="AE18" s="1988"/>
      <c r="AF18" s="1988"/>
      <c r="AG18" s="2002"/>
      <c r="AH18" s="346"/>
      <c r="AI18" s="346"/>
      <c r="AJ18" s="346"/>
      <c r="AK18" s="346"/>
      <c r="AL18" s="346"/>
    </row>
    <row r="19" spans="1:38" x14ac:dyDescent="0.25">
      <c r="A19" s="15" t="s">
        <v>507</v>
      </c>
      <c r="B19" s="473">
        <v>5080.3999999999996</v>
      </c>
      <c r="C19" s="473">
        <v>5</v>
      </c>
      <c r="D19" s="473">
        <f>B19*C19</f>
        <v>25402</v>
      </c>
      <c r="E19" s="473"/>
      <c r="F19" s="473"/>
      <c r="G19" s="15">
        <v>39830.14</v>
      </c>
      <c r="H19" s="15">
        <v>13533.42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346"/>
      <c r="AI19" s="346"/>
      <c r="AJ19" s="346"/>
      <c r="AK19" s="346"/>
      <c r="AL19" s="346"/>
    </row>
    <row r="20" spans="1:38" x14ac:dyDescent="0.25">
      <c r="A20" s="15" t="s">
        <v>508</v>
      </c>
      <c r="B20" s="473">
        <v>4252</v>
      </c>
      <c r="C20" s="473">
        <v>5</v>
      </c>
      <c r="D20" s="473">
        <f t="shared" ref="D20:D23" si="16">B20*C20</f>
        <v>21260</v>
      </c>
      <c r="E20" s="473"/>
      <c r="F20" s="473"/>
      <c r="G20" s="15">
        <v>33313.589999999997</v>
      </c>
      <c r="H20" s="15">
        <v>13623.41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346"/>
      <c r="AI20" s="346"/>
      <c r="AJ20" s="346"/>
      <c r="AK20" s="346"/>
      <c r="AL20" s="346"/>
    </row>
    <row r="21" spans="1:38" x14ac:dyDescent="0.25">
      <c r="A21" s="15" t="s">
        <v>509</v>
      </c>
      <c r="B21" s="473">
        <v>3708.7</v>
      </c>
      <c r="C21" s="473">
        <v>5</v>
      </c>
      <c r="D21" s="473">
        <f t="shared" si="16"/>
        <v>18543.5</v>
      </c>
      <c r="E21" s="473"/>
      <c r="F21" s="473"/>
      <c r="G21" s="15">
        <v>29056.2</v>
      </c>
      <c r="H21" s="15">
        <v>9341.7099999999991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346"/>
      <c r="AI21" s="346"/>
      <c r="AJ21" s="346"/>
      <c r="AK21" s="346"/>
      <c r="AL21" s="346"/>
    </row>
    <row r="22" spans="1:38" x14ac:dyDescent="0.25">
      <c r="A22" s="15" t="s">
        <v>510</v>
      </c>
      <c r="B22" s="473">
        <v>2878.3</v>
      </c>
      <c r="C22" s="473">
        <v>5</v>
      </c>
      <c r="D22" s="473">
        <f t="shared" si="16"/>
        <v>14391.5</v>
      </c>
      <c r="E22" s="473"/>
      <c r="F22" s="473"/>
      <c r="G22" s="15">
        <v>22547.48</v>
      </c>
      <c r="H22" s="15">
        <v>7146.08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346"/>
      <c r="AI22" s="346"/>
      <c r="AJ22" s="346"/>
      <c r="AK22" s="346"/>
      <c r="AL22" s="346"/>
    </row>
    <row r="23" spans="1:38" x14ac:dyDescent="0.25">
      <c r="A23" s="15" t="s">
        <v>511</v>
      </c>
      <c r="B23" s="473">
        <v>4367</v>
      </c>
      <c r="C23" s="473">
        <v>5</v>
      </c>
      <c r="D23" s="473">
        <f t="shared" si="16"/>
        <v>21835</v>
      </c>
      <c r="E23" s="473"/>
      <c r="F23" s="473"/>
      <c r="G23" s="15">
        <v>34211.31</v>
      </c>
      <c r="H23" s="15">
        <v>12424.19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346"/>
      <c r="AI23" s="346"/>
      <c r="AJ23" s="346"/>
      <c r="AK23" s="346"/>
      <c r="AL23" s="346"/>
    </row>
    <row r="24" spans="1:38" x14ac:dyDescent="0.25">
      <c r="A24" s="493" t="s">
        <v>514</v>
      </c>
      <c r="B24" s="474">
        <f>SUM(B19:B23)</f>
        <v>20286.399999999998</v>
      </c>
      <c r="C24" s="474"/>
      <c r="D24" s="474">
        <f>SUM(D19:D23)</f>
        <v>101432</v>
      </c>
      <c r="E24" s="474"/>
      <c r="F24" s="474"/>
      <c r="G24" s="493">
        <f>SUM(G19:G23)</f>
        <v>158958.71999999997</v>
      </c>
      <c r="H24" s="493">
        <f>SUM(H19:H23)</f>
        <v>56068.810000000005</v>
      </c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346"/>
      <c r="AI24" s="346"/>
      <c r="AJ24" s="346"/>
      <c r="AK24" s="346"/>
      <c r="AL24" s="346"/>
    </row>
    <row r="25" spans="1:38" x14ac:dyDescent="0.25">
      <c r="A25" s="15"/>
      <c r="B25" s="472"/>
      <c r="C25" s="472"/>
      <c r="D25" s="472"/>
      <c r="E25" s="472"/>
      <c r="F25" s="472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346"/>
      <c r="AI25" s="346"/>
      <c r="AJ25" s="346"/>
      <c r="AK25" s="346"/>
      <c r="AL25" s="346"/>
    </row>
    <row r="26" spans="1:38" x14ac:dyDescent="0.25">
      <c r="A26" s="15"/>
      <c r="B26" s="472"/>
      <c r="C26" s="472"/>
      <c r="D26" s="472"/>
      <c r="E26" s="472"/>
      <c r="F26" s="472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346"/>
      <c r="AI26" s="346"/>
      <c r="AJ26" s="346"/>
      <c r="AK26" s="346"/>
      <c r="AL26" s="346"/>
    </row>
    <row r="27" spans="1:38" x14ac:dyDescent="0.25">
      <c r="A27" s="506" t="s">
        <v>516</v>
      </c>
      <c r="B27" s="494"/>
      <c r="C27" s="494"/>
      <c r="D27" s="472"/>
      <c r="E27" s="472"/>
      <c r="F27" s="472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346"/>
      <c r="AI27" s="346"/>
      <c r="AJ27" s="346"/>
      <c r="AK27" s="346"/>
      <c r="AL27" s="346"/>
    </row>
    <row r="28" spans="1:38" x14ac:dyDescent="0.25">
      <c r="A28" s="15"/>
      <c r="B28" s="472"/>
      <c r="C28" s="472"/>
      <c r="D28" s="472"/>
      <c r="E28" s="472"/>
      <c r="F28" s="472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346"/>
      <c r="AI28" s="346"/>
      <c r="AJ28" s="346"/>
      <c r="AK28" s="346"/>
      <c r="AL28" s="346"/>
    </row>
    <row r="29" spans="1:38" ht="15" customHeight="1" x14ac:dyDescent="0.25">
      <c r="A29" s="2033" t="s">
        <v>184</v>
      </c>
      <c r="B29" s="1995" t="s">
        <v>293</v>
      </c>
      <c r="C29" s="2010" t="s">
        <v>512</v>
      </c>
      <c r="D29" s="1995" t="s">
        <v>513</v>
      </c>
      <c r="E29" s="1961"/>
      <c r="F29" s="1961"/>
      <c r="G29" s="2285" t="s">
        <v>517</v>
      </c>
      <c r="H29" s="2286"/>
      <c r="I29" s="1964"/>
      <c r="J29" s="1964"/>
      <c r="K29" s="1964"/>
      <c r="L29" s="2020" t="s">
        <v>518</v>
      </c>
      <c r="M29" s="2020"/>
      <c r="N29" s="2009" t="s">
        <v>524</v>
      </c>
      <c r="O29" s="1987" t="s">
        <v>526</v>
      </c>
      <c r="P29" s="2005" t="s">
        <v>519</v>
      </c>
      <c r="Q29" s="1987" t="s">
        <v>175</v>
      </c>
      <c r="R29" s="1987" t="s">
        <v>183</v>
      </c>
      <c r="S29" s="2001"/>
      <c r="T29" s="2107" t="s">
        <v>503</v>
      </c>
      <c r="U29" s="1987"/>
      <c r="V29" s="2009"/>
      <c r="W29" s="2009"/>
      <c r="X29" s="2005"/>
      <c r="Y29" s="1987"/>
      <c r="Z29" s="2001"/>
      <c r="AA29" s="2107"/>
      <c r="AB29" s="1987"/>
      <c r="AC29" s="1987"/>
      <c r="AD29" s="1987"/>
      <c r="AE29" s="2009"/>
      <c r="AF29" s="2009"/>
      <c r="AG29" s="2005"/>
      <c r="AH29" s="346"/>
      <c r="AI29" s="346"/>
      <c r="AJ29" s="346"/>
      <c r="AK29" s="346"/>
      <c r="AL29" s="346"/>
    </row>
    <row r="30" spans="1:38" ht="24.75" customHeight="1" x14ac:dyDescent="0.25">
      <c r="A30" s="2034"/>
      <c r="B30" s="1996"/>
      <c r="C30" s="2011"/>
      <c r="D30" s="1996"/>
      <c r="E30" s="1962"/>
      <c r="F30" s="1962"/>
      <c r="G30" s="150" t="s">
        <v>15</v>
      </c>
      <c r="H30" s="1921" t="s">
        <v>16</v>
      </c>
      <c r="I30" s="1917"/>
      <c r="J30" s="1917"/>
      <c r="K30" s="1917"/>
      <c r="L30" s="2021"/>
      <c r="M30" s="2021"/>
      <c r="N30" s="2009"/>
      <c r="O30" s="1988"/>
      <c r="P30" s="2002"/>
      <c r="Q30" s="1988"/>
      <c r="R30" s="1988"/>
      <c r="S30" s="2002"/>
      <c r="T30" s="2107"/>
      <c r="U30" s="1988"/>
      <c r="V30" s="2009"/>
      <c r="W30" s="2108"/>
      <c r="X30" s="2006"/>
      <c r="Y30" s="1988"/>
      <c r="Z30" s="2002"/>
      <c r="AA30" s="2107"/>
      <c r="AB30" s="1988"/>
      <c r="AC30" s="1988"/>
      <c r="AD30" s="1988"/>
      <c r="AE30" s="2009"/>
      <c r="AF30" s="2108"/>
      <c r="AG30" s="2006"/>
      <c r="AH30" s="346"/>
      <c r="AI30" s="346"/>
      <c r="AJ30" s="346"/>
      <c r="AK30" s="346"/>
      <c r="AL30" s="346"/>
    </row>
    <row r="31" spans="1:38" x14ac:dyDescent="0.25">
      <c r="A31" s="15" t="s">
        <v>507</v>
      </c>
      <c r="B31" s="473">
        <v>5080.3999999999996</v>
      </c>
      <c r="C31" s="473">
        <v>4.7</v>
      </c>
      <c r="D31" s="473">
        <f>B31*C31</f>
        <v>23877.879999999997</v>
      </c>
      <c r="E31" s="473"/>
      <c r="F31" s="473"/>
      <c r="G31" s="15">
        <v>37440.339999999997</v>
      </c>
      <c r="H31" s="15">
        <v>12721.42</v>
      </c>
      <c r="I31" s="15"/>
      <c r="J31" s="15"/>
      <c r="K31" s="15"/>
      <c r="L31" s="47">
        <f>M31+N31+O31+P31</f>
        <v>55987.175021452786</v>
      </c>
      <c r="M31" s="47"/>
      <c r="N31" s="47">
        <f>209745/20286.4*B31</f>
        <v>52527.23489628519</v>
      </c>
      <c r="O31" s="47">
        <f>11494/20286.4*B31</f>
        <v>2878.4859610379362</v>
      </c>
      <c r="P31" s="47">
        <f>O31*0.202</f>
        <v>581.45416412966313</v>
      </c>
      <c r="Q31" s="47">
        <f>G31-L31</f>
        <v>-18546.835021452789</v>
      </c>
      <c r="R31" s="47">
        <f>H31/G31*100</f>
        <v>33.977843149928667</v>
      </c>
      <c r="S31" s="47"/>
      <c r="T31" s="47"/>
      <c r="U31" s="467"/>
      <c r="V31" s="46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346"/>
      <c r="AI31" s="346"/>
      <c r="AJ31" s="346"/>
      <c r="AK31" s="346"/>
      <c r="AL31" s="346"/>
    </row>
    <row r="32" spans="1:38" ht="15" customHeight="1" x14ac:dyDescent="0.25">
      <c r="A32" s="15" t="s">
        <v>508</v>
      </c>
      <c r="B32" s="473">
        <v>4252</v>
      </c>
      <c r="C32" s="473">
        <v>4.7</v>
      </c>
      <c r="D32" s="473">
        <f t="shared" ref="D32:D35" si="17">B32*C32</f>
        <v>19984.400000000001</v>
      </c>
      <c r="E32" s="473"/>
      <c r="F32" s="473"/>
      <c r="G32" s="15">
        <v>31314.77</v>
      </c>
      <c r="H32" s="15">
        <v>12806.01</v>
      </c>
      <c r="I32" s="15"/>
      <c r="J32" s="15"/>
      <c r="K32" s="15"/>
      <c r="L32" s="47">
        <f t="shared" ref="L32:L35" si="18">M32+N32+O32+P32</f>
        <v>46858.016729237315</v>
      </c>
      <c r="M32" s="47"/>
      <c r="N32" s="47">
        <f t="shared" ref="N32:N36" si="19">209745/20286.4*B32</f>
        <v>43962.24761416515</v>
      </c>
      <c r="O32" s="47">
        <f t="shared" ref="O32:O35" si="20">11494/20286.4*B32</f>
        <v>2409.1257196939819</v>
      </c>
      <c r="P32" s="47">
        <f t="shared" ref="P32:P35" si="21">O32*0.202</f>
        <v>486.64339537818438</v>
      </c>
      <c r="Q32" s="47">
        <f t="shared" ref="Q32:Q36" si="22">G32-L32</f>
        <v>-15543.246729237315</v>
      </c>
      <c r="R32" s="47">
        <f t="shared" ref="R32:R36" si="23">H32/G32*100</f>
        <v>40.894472480557894</v>
      </c>
      <c r="S32" s="47"/>
      <c r="T32" s="47"/>
      <c r="U32" s="467"/>
      <c r="V32" s="46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346"/>
      <c r="AI32" s="346"/>
      <c r="AJ32" s="346"/>
      <c r="AK32" s="346"/>
      <c r="AL32" s="346"/>
    </row>
    <row r="33" spans="1:38" x14ac:dyDescent="0.25">
      <c r="A33" s="15" t="s">
        <v>509</v>
      </c>
      <c r="B33" s="473">
        <v>3708.7</v>
      </c>
      <c r="C33" s="473">
        <v>4.7</v>
      </c>
      <c r="D33" s="473">
        <f t="shared" si="17"/>
        <v>17430.89</v>
      </c>
      <c r="E33" s="473"/>
      <c r="F33" s="473"/>
      <c r="G33" s="15">
        <v>27312.83</v>
      </c>
      <c r="H33" s="15">
        <v>8781.2099999999991</v>
      </c>
      <c r="I33" s="15"/>
      <c r="J33" s="15"/>
      <c r="K33" s="15"/>
      <c r="L33" s="47">
        <f t="shared" si="18"/>
        <v>40870.725927498213</v>
      </c>
      <c r="M33" s="47"/>
      <c r="N33" s="47">
        <f t="shared" si="19"/>
        <v>38344.964187830265</v>
      </c>
      <c r="O33" s="47">
        <f t="shared" si="20"/>
        <v>2101.299284249546</v>
      </c>
      <c r="P33" s="47">
        <f t="shared" si="21"/>
        <v>424.4624554184083</v>
      </c>
      <c r="Q33" s="47">
        <f t="shared" si="22"/>
        <v>-13557.895927498212</v>
      </c>
      <c r="R33" s="47">
        <f t="shared" si="23"/>
        <v>32.150494840703061</v>
      </c>
      <c r="S33" s="47"/>
      <c r="T33" s="47"/>
      <c r="U33" s="467"/>
      <c r="V33" s="46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346"/>
      <c r="AI33" s="346"/>
      <c r="AJ33" s="346"/>
      <c r="AK33" s="346"/>
      <c r="AL33" s="346"/>
    </row>
    <row r="34" spans="1:38" x14ac:dyDescent="0.25">
      <c r="A34" s="15" t="s">
        <v>510</v>
      </c>
      <c r="B34" s="473">
        <v>2878.3</v>
      </c>
      <c r="C34" s="473">
        <v>4.7</v>
      </c>
      <c r="D34" s="473">
        <f t="shared" si="17"/>
        <v>13528.010000000002</v>
      </c>
      <c r="E34" s="473"/>
      <c r="F34" s="473"/>
      <c r="G34" s="15">
        <v>21194.63</v>
      </c>
      <c r="H34" s="15">
        <v>6717.31</v>
      </c>
      <c r="I34" s="15"/>
      <c r="J34" s="15"/>
      <c r="K34" s="15"/>
      <c r="L34" s="47">
        <f t="shared" si="18"/>
        <v>31719.527175861662</v>
      </c>
      <c r="M34" s="47"/>
      <c r="N34" s="47">
        <f t="shared" si="19"/>
        <v>29759.298520190867</v>
      </c>
      <c r="O34" s="47">
        <f t="shared" si="20"/>
        <v>1630.8058699424244</v>
      </c>
      <c r="P34" s="47">
        <f t="shared" si="21"/>
        <v>329.42278572836972</v>
      </c>
      <c r="Q34" s="47">
        <f t="shared" si="22"/>
        <v>-10524.897175861661</v>
      </c>
      <c r="R34" s="47">
        <f t="shared" si="23"/>
        <v>31.693452539629142</v>
      </c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346"/>
      <c r="AI34" s="346"/>
      <c r="AJ34" s="346"/>
      <c r="AK34" s="346"/>
      <c r="AL34" s="346"/>
    </row>
    <row r="35" spans="1:38" x14ac:dyDescent="0.25">
      <c r="A35" s="15" t="s">
        <v>511</v>
      </c>
      <c r="B35" s="473">
        <v>4367</v>
      </c>
      <c r="C35" s="473">
        <v>4.7</v>
      </c>
      <c r="D35" s="473">
        <f t="shared" si="17"/>
        <v>20524.900000000001</v>
      </c>
      <c r="E35" s="473"/>
      <c r="F35" s="473"/>
      <c r="G35" s="15">
        <v>32158.63</v>
      </c>
      <c r="H35" s="15">
        <v>11678.74</v>
      </c>
      <c r="I35" s="15"/>
      <c r="J35" s="15"/>
      <c r="K35" s="15"/>
      <c r="L35" s="47">
        <f t="shared" si="18"/>
        <v>48125.343145949992</v>
      </c>
      <c r="M35" s="47"/>
      <c r="N35" s="47">
        <f t="shared" si="19"/>
        <v>45151.254781528507</v>
      </c>
      <c r="O35" s="47">
        <f t="shared" si="20"/>
        <v>2474.28316507611</v>
      </c>
      <c r="P35" s="47">
        <f t="shared" si="21"/>
        <v>499.80519934537426</v>
      </c>
      <c r="Q35" s="47">
        <f t="shared" si="22"/>
        <v>-15966.713145949991</v>
      </c>
      <c r="R35" s="47">
        <f t="shared" si="23"/>
        <v>36.316037094863802</v>
      </c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346"/>
      <c r="AI35" s="346"/>
      <c r="AJ35" s="346"/>
      <c r="AK35" s="346"/>
      <c r="AL35" s="346"/>
    </row>
    <row r="36" spans="1:38" x14ac:dyDescent="0.25">
      <c r="A36" s="496" t="s">
        <v>514</v>
      </c>
      <c r="B36" s="497">
        <f>SUM(B31:B35)</f>
        <v>20286.399999999998</v>
      </c>
      <c r="C36" s="497"/>
      <c r="D36" s="497">
        <f>SUM(D31:D35)</f>
        <v>95346.079999999987</v>
      </c>
      <c r="E36" s="497"/>
      <c r="F36" s="497"/>
      <c r="G36" s="498">
        <f>SUM(G31:G35)</f>
        <v>149421.20000000001</v>
      </c>
      <c r="H36" s="496">
        <f>SUM(H31:H35)</f>
        <v>52704.689999999995</v>
      </c>
      <c r="I36" s="496"/>
      <c r="J36" s="496"/>
      <c r="K36" s="496"/>
      <c r="L36" s="498">
        <f>SUM(L31:L35)</f>
        <v>223560.788</v>
      </c>
      <c r="M36" s="498"/>
      <c r="N36" s="495">
        <f t="shared" si="19"/>
        <v>209744.99999999997</v>
      </c>
      <c r="O36" s="498">
        <f>SUM(O31:O35)</f>
        <v>11493.999999999996</v>
      </c>
      <c r="P36" s="498">
        <f>SUM(P31:P35)</f>
        <v>2321.788</v>
      </c>
      <c r="Q36" s="495">
        <f t="shared" si="22"/>
        <v>-74139.587999999989</v>
      </c>
      <c r="R36" s="495">
        <f t="shared" si="23"/>
        <v>35.272565071087634</v>
      </c>
      <c r="S36" s="47"/>
      <c r="T36" s="498">
        <f t="shared" ref="T36" si="24">SUM(T31:T35)</f>
        <v>0</v>
      </c>
      <c r="U36" s="47"/>
      <c r="V36" s="47"/>
      <c r="W36" s="498"/>
      <c r="X36" s="498"/>
      <c r="Y36" s="498"/>
      <c r="Z36" s="498"/>
      <c r="AA36" s="498"/>
      <c r="AB36" s="498"/>
      <c r="AC36" s="498"/>
      <c r="AD36" s="498"/>
      <c r="AE36" s="498"/>
      <c r="AF36" s="498"/>
      <c r="AG36" s="498"/>
      <c r="AH36" s="346"/>
      <c r="AI36" s="346"/>
      <c r="AJ36" s="346"/>
      <c r="AK36" s="346"/>
      <c r="AL36" s="346"/>
    </row>
    <row r="37" spans="1:38" x14ac:dyDescent="0.25">
      <c r="A37" s="15"/>
      <c r="B37" s="15"/>
      <c r="C37" s="15"/>
      <c r="D37" s="15"/>
      <c r="E37" s="15"/>
      <c r="F37" s="15"/>
      <c r="G37" s="495">
        <f>G11+G24+G36</f>
        <v>3500239.9299999997</v>
      </c>
      <c r="H37" s="495">
        <f>H11+H24+H36</f>
        <v>2993571.17</v>
      </c>
      <c r="I37" s="495"/>
      <c r="J37" s="495"/>
      <c r="K37" s="495"/>
      <c r="L37" s="15"/>
      <c r="M37" s="15"/>
      <c r="N37" s="499"/>
      <c r="O37" s="15"/>
      <c r="P37" s="15"/>
      <c r="Q37" s="15"/>
      <c r="R37" s="499"/>
      <c r="S37" s="15"/>
      <c r="T37" s="15"/>
      <c r="U37" s="47"/>
      <c r="V37" s="47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346"/>
      <c r="AI37" s="346"/>
      <c r="AJ37" s="346"/>
      <c r="AK37" s="346"/>
      <c r="AL37" s="346"/>
    </row>
    <row r="38" spans="1:38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47"/>
      <c r="V38" s="47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346"/>
      <c r="AI38" s="346"/>
      <c r="AJ38" s="346"/>
      <c r="AK38" s="346"/>
      <c r="AL38" s="346"/>
    </row>
    <row r="39" spans="1:38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495"/>
      <c r="V39" s="498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346"/>
      <c r="AI39" s="346"/>
      <c r="AJ39" s="346"/>
      <c r="AK39" s="346"/>
      <c r="AL39" s="346"/>
    </row>
    <row r="40" spans="1:38" x14ac:dyDescent="0.25">
      <c r="AH40" s="346"/>
      <c r="AI40" s="346"/>
      <c r="AJ40" s="346"/>
      <c r="AK40" s="346"/>
      <c r="AL40" s="346"/>
    </row>
  </sheetData>
  <mergeCells count="80">
    <mergeCell ref="L4:L5"/>
    <mergeCell ref="A4:A5"/>
    <mergeCell ref="B4:B5"/>
    <mergeCell ref="C4:C5"/>
    <mergeCell ref="D4:D5"/>
    <mergeCell ref="G4:H4"/>
    <mergeCell ref="V4:V5"/>
    <mergeCell ref="W4:W5"/>
    <mergeCell ref="X4:X5"/>
    <mergeCell ref="M4:M5"/>
    <mergeCell ref="N4:N5"/>
    <mergeCell ref="O4:O5"/>
    <mergeCell ref="P4:P5"/>
    <mergeCell ref="Q4:Q5"/>
    <mergeCell ref="R4:R5"/>
    <mergeCell ref="AG4:AG5"/>
    <mergeCell ref="A17:A18"/>
    <mergeCell ref="B17:B18"/>
    <mergeCell ref="C17:C18"/>
    <mergeCell ref="D17:D18"/>
    <mergeCell ref="G17:H17"/>
    <mergeCell ref="L17:L18"/>
    <mergeCell ref="Y4:Y5"/>
    <mergeCell ref="Z4:Z5"/>
    <mergeCell ref="AA4:AA5"/>
    <mergeCell ref="AE4:AE5"/>
    <mergeCell ref="AF4:AF5"/>
    <mergeCell ref="AB4:AB5"/>
    <mergeCell ref="S4:S5"/>
    <mergeCell ref="T4:T5"/>
    <mergeCell ref="U4:U5"/>
    <mergeCell ref="AE17:AE18"/>
    <mergeCell ref="AF17:AF18"/>
    <mergeCell ref="AG17:AG18"/>
    <mergeCell ref="T17:T18"/>
    <mergeCell ref="U17:U18"/>
    <mergeCell ref="V17:V18"/>
    <mergeCell ref="W17:W18"/>
    <mergeCell ref="X17:X18"/>
    <mergeCell ref="Y17:Y18"/>
    <mergeCell ref="Y29:Y30"/>
    <mergeCell ref="Z29:Z30"/>
    <mergeCell ref="O29:O30"/>
    <mergeCell ref="P29:P30"/>
    <mergeCell ref="Q29:Q30"/>
    <mergeCell ref="Z17:Z18"/>
    <mergeCell ref="AA17:AA18"/>
    <mergeCell ref="M17:M18"/>
    <mergeCell ref="N17:N18"/>
    <mergeCell ref="O17:O18"/>
    <mergeCell ref="Q17:Q18"/>
    <mergeCell ref="R17:R18"/>
    <mergeCell ref="S17:S18"/>
    <mergeCell ref="A29:A30"/>
    <mergeCell ref="B29:B30"/>
    <mergeCell ref="C29:C30"/>
    <mergeCell ref="D29:D30"/>
    <mergeCell ref="G29:H29"/>
    <mergeCell ref="AG29:AG30"/>
    <mergeCell ref="E4:F4"/>
    <mergeCell ref="I4:I5"/>
    <mergeCell ref="J4:K4"/>
    <mergeCell ref="AC4:AC5"/>
    <mergeCell ref="AD4:AD5"/>
    <mergeCell ref="AA29:AA30"/>
    <mergeCell ref="AB29:AB30"/>
    <mergeCell ref="AC29:AC30"/>
    <mergeCell ref="AD29:AD30"/>
    <mergeCell ref="AE29:AE30"/>
    <mergeCell ref="AF29:AF30"/>
    <mergeCell ref="U29:U30"/>
    <mergeCell ref="L29:L30"/>
    <mergeCell ref="M29:M30"/>
    <mergeCell ref="N29:N30"/>
    <mergeCell ref="V29:V30"/>
    <mergeCell ref="W29:W30"/>
    <mergeCell ref="X29:X30"/>
    <mergeCell ref="R29:R30"/>
    <mergeCell ref="S29:S30"/>
    <mergeCell ref="T29:T30"/>
  </mergeCells>
  <pageMargins left="0.21" right="0.7" top="0.75" bottom="0.75" header="0.3" footer="0.3"/>
  <pageSetup paperSize="9" orientation="landscape" verticalDpi="0" r:id="rId1"/>
  <ignoredErrors>
    <ignoredError sqref="U11" formula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topLeftCell="A13" workbookViewId="0">
      <selection activeCell="F5" sqref="F5"/>
    </sheetView>
  </sheetViews>
  <sheetFormatPr defaultRowHeight="15" x14ac:dyDescent="0.25"/>
  <cols>
    <col min="1" max="1" width="15.42578125" customWidth="1"/>
    <col min="2" max="2" width="10" customWidth="1"/>
    <col min="3" max="3" width="9.42578125" customWidth="1"/>
    <col min="4" max="4" width="11.140625" customWidth="1"/>
    <col min="5" max="5" width="13.42578125" customWidth="1"/>
    <col min="6" max="6" width="13.85546875" customWidth="1"/>
    <col min="7" max="7" width="10.42578125" customWidth="1"/>
    <col min="10" max="10" width="10.85546875" customWidth="1"/>
    <col min="11" max="11" width="10.140625" customWidth="1"/>
    <col min="12" max="14" width="0" hidden="1" customWidth="1"/>
    <col min="15" max="15" width="9.5703125" customWidth="1"/>
    <col min="16" max="17" width="10.28515625" customWidth="1"/>
    <col min="18" max="18" width="0" hidden="1" customWidth="1"/>
    <col min="22" max="24" width="0" hidden="1" customWidth="1"/>
    <col min="25" max="25" width="10.7109375" customWidth="1"/>
  </cols>
  <sheetData>
    <row r="1" spans="1:30" x14ac:dyDescent="0.25">
      <c r="A1" s="355" t="s">
        <v>537</v>
      </c>
      <c r="B1" s="353"/>
      <c r="C1" s="353"/>
      <c r="D1" s="353"/>
    </row>
    <row r="3" spans="1:30" x14ac:dyDescent="0.25">
      <c r="A3" s="2033" t="s">
        <v>184</v>
      </c>
      <c r="B3" s="1995" t="s">
        <v>293</v>
      </c>
      <c r="C3" s="2010" t="s">
        <v>512</v>
      </c>
      <c r="D3" s="1995" t="s">
        <v>513</v>
      </c>
      <c r="E3" s="1989" t="s">
        <v>310</v>
      </c>
      <c r="F3" s="1990"/>
      <c r="G3" s="2020" t="s">
        <v>518</v>
      </c>
      <c r="H3" s="2017" t="s">
        <v>525</v>
      </c>
      <c r="I3" s="2009" t="s">
        <v>332</v>
      </c>
      <c r="J3" s="2009" t="s">
        <v>377</v>
      </c>
      <c r="K3" s="2009" t="s">
        <v>523</v>
      </c>
      <c r="L3" s="2003" t="s">
        <v>520</v>
      </c>
      <c r="M3" s="2003" t="s">
        <v>521</v>
      </c>
      <c r="N3" s="2003" t="s">
        <v>522</v>
      </c>
      <c r="O3" s="2003" t="s">
        <v>313</v>
      </c>
      <c r="P3" s="2003" t="s">
        <v>321</v>
      </c>
      <c r="Q3" s="2005" t="s">
        <v>519</v>
      </c>
      <c r="R3" s="2003" t="s">
        <v>10</v>
      </c>
      <c r="S3" s="2107" t="s">
        <v>503</v>
      </c>
      <c r="T3" s="1987" t="s">
        <v>316</v>
      </c>
      <c r="U3" s="1987" t="s">
        <v>369</v>
      </c>
      <c r="V3" s="2007" t="s">
        <v>527</v>
      </c>
      <c r="W3" s="2287"/>
      <c r="X3" s="2005"/>
      <c r="Y3" s="1987" t="s">
        <v>175</v>
      </c>
      <c r="Z3" s="1987" t="s">
        <v>183</v>
      </c>
      <c r="AA3" s="2001" t="s">
        <v>182</v>
      </c>
      <c r="AB3" s="1987"/>
      <c r="AC3" s="2001"/>
      <c r="AD3" s="1999"/>
    </row>
    <row r="4" spans="1:30" ht="36" customHeight="1" x14ac:dyDescent="0.25">
      <c r="A4" s="2034"/>
      <c r="B4" s="1996"/>
      <c r="C4" s="2011"/>
      <c r="D4" s="1996"/>
      <c r="E4" s="150" t="s">
        <v>15</v>
      </c>
      <c r="F4" s="503" t="s">
        <v>16</v>
      </c>
      <c r="G4" s="2021"/>
      <c r="H4" s="2017"/>
      <c r="I4" s="2009"/>
      <c r="J4" s="2009"/>
      <c r="K4" s="2009"/>
      <c r="L4" s="2004"/>
      <c r="M4" s="2004"/>
      <c r="N4" s="2004"/>
      <c r="O4" s="2004"/>
      <c r="P4" s="2004"/>
      <c r="Q4" s="2002"/>
      <c r="R4" s="2002"/>
      <c r="S4" s="2107"/>
      <c r="T4" s="1988"/>
      <c r="U4" s="1988"/>
      <c r="V4" s="502" t="s">
        <v>528</v>
      </c>
      <c r="W4" s="502" t="s">
        <v>529</v>
      </c>
      <c r="X4" s="502" t="s">
        <v>530</v>
      </c>
      <c r="Y4" s="1988"/>
      <c r="Z4" s="1988"/>
      <c r="AA4" s="2002"/>
      <c r="AB4" s="1988"/>
      <c r="AC4" s="2002"/>
      <c r="AD4" s="2000"/>
    </row>
    <row r="5" spans="1:30" x14ac:dyDescent="0.25">
      <c r="A5" s="493" t="s">
        <v>531</v>
      </c>
      <c r="B5" s="473">
        <v>6183.4</v>
      </c>
      <c r="C5" s="472">
        <v>13.11</v>
      </c>
      <c r="D5" s="473">
        <f>B5*C5</f>
        <v>81064.373999999996</v>
      </c>
      <c r="E5" s="15">
        <v>176023.57</v>
      </c>
      <c r="F5" s="15">
        <v>39493.72</v>
      </c>
      <c r="G5" s="47">
        <f>H5+I5+J5+K5+L5+M5+N5+O5+P5+Q5+R5+S5+T5+U5+V5+W5+X5</f>
        <v>142768.67965999999</v>
      </c>
      <c r="H5" s="47">
        <v>5336.6</v>
      </c>
      <c r="I5" s="47">
        <v>4039.32</v>
      </c>
      <c r="J5" s="47">
        <v>4265.6400000000003</v>
      </c>
      <c r="K5" s="47">
        <v>970</v>
      </c>
      <c r="L5" s="47"/>
      <c r="M5" s="47"/>
      <c r="N5" s="47"/>
      <c r="O5" s="47">
        <v>10790</v>
      </c>
      <c r="P5" s="47">
        <v>49151.83</v>
      </c>
      <c r="Q5" s="47">
        <f>(O5+P5)*0.202</f>
        <v>12108.249660000001</v>
      </c>
      <c r="R5" s="47"/>
      <c r="S5" s="47">
        <v>4434.2</v>
      </c>
      <c r="T5" s="47">
        <v>42220.92</v>
      </c>
      <c r="U5" s="47">
        <v>9451.92</v>
      </c>
      <c r="V5" s="47"/>
      <c r="W5" s="47"/>
      <c r="X5" s="47"/>
      <c r="Y5" s="47">
        <f>E5-G5</f>
        <v>33254.890340000013</v>
      </c>
      <c r="Z5" s="47">
        <f>F5/E5*100</f>
        <v>22.436608915499214</v>
      </c>
      <c r="AA5" s="47">
        <f>G5/B5/1.5</f>
        <v>15.392683600176818</v>
      </c>
      <c r="AB5" s="15"/>
      <c r="AC5" s="15"/>
      <c r="AD5" s="47"/>
    </row>
    <row r="6" spans="1:30" x14ac:dyDescent="0.25">
      <c r="A6" s="15"/>
      <c r="B6" s="473"/>
      <c r="C6" s="472"/>
      <c r="D6" s="473"/>
      <c r="E6" s="15"/>
      <c r="F6" s="15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15"/>
      <c r="AC6" s="15"/>
      <c r="AD6" s="47"/>
    </row>
    <row r="7" spans="1:30" x14ac:dyDescent="0.25">
      <c r="A7" s="15"/>
      <c r="B7" s="473"/>
      <c r="C7" s="472"/>
      <c r="D7" s="473"/>
      <c r="E7" s="15"/>
      <c r="F7" s="15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15"/>
      <c r="AC7" s="15"/>
      <c r="AD7" s="47"/>
    </row>
    <row r="8" spans="1:30" x14ac:dyDescent="0.25">
      <c r="A8" s="15"/>
      <c r="B8" s="473"/>
      <c r="C8" s="472"/>
      <c r="D8" s="473"/>
      <c r="E8" s="15"/>
      <c r="F8" s="15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15"/>
      <c r="AC8" s="15"/>
      <c r="AD8" s="47"/>
    </row>
    <row r="9" spans="1:30" x14ac:dyDescent="0.25">
      <c r="A9" s="506" t="s">
        <v>532</v>
      </c>
      <c r="B9" s="473"/>
      <c r="C9" s="472"/>
      <c r="D9" s="473"/>
      <c r="E9" s="15"/>
      <c r="F9" s="15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15"/>
      <c r="AC9" s="15"/>
      <c r="AD9" s="47"/>
    </row>
    <row r="10" spans="1:30" x14ac:dyDescent="0.25">
      <c r="A10" s="493"/>
      <c r="B10" s="474"/>
      <c r="C10" s="494"/>
      <c r="D10" s="474"/>
      <c r="E10" s="493"/>
      <c r="F10" s="493"/>
      <c r="G10" s="495"/>
      <c r="H10" s="495"/>
      <c r="I10" s="495"/>
      <c r="J10" s="495"/>
      <c r="K10" s="495"/>
      <c r="L10" s="495"/>
      <c r="M10" s="495"/>
      <c r="N10" s="495"/>
      <c r="O10" s="495"/>
      <c r="P10" s="495"/>
      <c r="Q10" s="495"/>
      <c r="R10" s="495"/>
      <c r="S10" s="495"/>
      <c r="T10" s="495"/>
      <c r="U10" s="495"/>
      <c r="V10" s="495"/>
      <c r="W10" s="495"/>
      <c r="X10" s="495"/>
      <c r="Y10" s="495"/>
      <c r="Z10" s="495"/>
      <c r="AA10" s="495"/>
      <c r="AB10" s="493"/>
      <c r="AC10" s="493"/>
      <c r="AD10" s="495"/>
    </row>
    <row r="11" spans="1:30" x14ac:dyDescent="0.25">
      <c r="A11" s="2033" t="s">
        <v>184</v>
      </c>
      <c r="B11" s="1995" t="s">
        <v>293</v>
      </c>
      <c r="C11" s="2010" t="s">
        <v>512</v>
      </c>
      <c r="D11" s="1995" t="s">
        <v>513</v>
      </c>
      <c r="E11" s="1989" t="s">
        <v>284</v>
      </c>
      <c r="F11" s="1990"/>
      <c r="G11" s="2020" t="s">
        <v>518</v>
      </c>
      <c r="H11" s="2009" t="s">
        <v>535</v>
      </c>
      <c r="I11" s="2009"/>
      <c r="J11" s="2009"/>
      <c r="K11" s="2300"/>
      <c r="L11" s="47"/>
      <c r="M11" s="47"/>
      <c r="N11" s="47"/>
      <c r="O11" s="2300"/>
      <c r="P11" s="2300"/>
      <c r="Q11" s="2300"/>
      <c r="R11" s="47"/>
      <c r="S11" s="2300"/>
      <c r="T11" s="2300"/>
      <c r="U11" s="2300"/>
      <c r="V11" s="47"/>
      <c r="W11" s="47"/>
      <c r="X11" s="47"/>
      <c r="Y11" s="2300"/>
      <c r="Z11" s="2300"/>
      <c r="AA11" s="2300"/>
      <c r="AB11" s="15"/>
      <c r="AC11" s="15"/>
      <c r="AD11" s="15"/>
    </row>
    <row r="12" spans="1:30" ht="25.5" customHeight="1" x14ac:dyDescent="0.25">
      <c r="A12" s="2034"/>
      <c r="B12" s="1996"/>
      <c r="C12" s="2011"/>
      <c r="D12" s="1996"/>
      <c r="E12" s="150" t="s">
        <v>15</v>
      </c>
      <c r="F12" s="503" t="s">
        <v>16</v>
      </c>
      <c r="G12" s="2021"/>
      <c r="H12" s="2009"/>
      <c r="I12" s="2009"/>
      <c r="J12" s="2009"/>
      <c r="K12" s="2301"/>
      <c r="L12" s="15"/>
      <c r="M12" s="15"/>
      <c r="N12" s="15"/>
      <c r="O12" s="2301"/>
      <c r="P12" s="2301"/>
      <c r="Q12" s="2301"/>
      <c r="R12" s="15"/>
      <c r="S12" s="2301"/>
      <c r="T12" s="2301"/>
      <c r="U12" s="2301"/>
      <c r="V12" s="493"/>
      <c r="W12" s="493"/>
      <c r="X12" s="493"/>
      <c r="Y12" s="2301"/>
      <c r="Z12" s="2301"/>
      <c r="AA12" s="2301"/>
      <c r="AB12" s="15"/>
      <c r="AC12" s="15"/>
      <c r="AD12" s="15"/>
    </row>
    <row r="13" spans="1:30" x14ac:dyDescent="0.25">
      <c r="A13" s="493" t="s">
        <v>531</v>
      </c>
      <c r="B13" s="473">
        <v>6183.4</v>
      </c>
      <c r="C13" s="472">
        <v>5.69</v>
      </c>
      <c r="D13" s="473">
        <f>B13*C13</f>
        <v>35183.546000000002</v>
      </c>
      <c r="E13" s="15">
        <v>55120.9</v>
      </c>
      <c r="F13" s="15">
        <v>17141.060000000001</v>
      </c>
      <c r="G13" s="47">
        <f>H13+I13+J13+K13+L13+M13+O13+P13+Q13+S13+T13+U13+V13+W13+X13</f>
        <v>3288.97</v>
      </c>
      <c r="H13" s="47">
        <v>3288.97</v>
      </c>
      <c r="I13" s="47"/>
      <c r="J13" s="47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47">
        <f>E13-G13</f>
        <v>51831.93</v>
      </c>
      <c r="Z13" s="47">
        <f>F13/E13*100</f>
        <v>31.097206322828548</v>
      </c>
      <c r="AA13" s="47">
        <f>G13/B13/1.5</f>
        <v>0.35460210671583053</v>
      </c>
      <c r="AB13" s="15"/>
      <c r="AC13" s="15"/>
      <c r="AD13" s="15"/>
    </row>
    <row r="14" spans="1:30" x14ac:dyDescent="0.25">
      <c r="A14" s="493"/>
      <c r="B14" s="494"/>
      <c r="C14" s="494"/>
      <c r="D14" s="472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x14ac:dyDescent="0.25">
      <c r="A19" s="506" t="s">
        <v>533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x14ac:dyDescent="0.25">
      <c r="A21" s="2297" t="s">
        <v>184</v>
      </c>
      <c r="B21" s="2298" t="s">
        <v>293</v>
      </c>
      <c r="C21" s="2299" t="s">
        <v>512</v>
      </c>
      <c r="D21" s="2298" t="s">
        <v>513</v>
      </c>
      <c r="E21" s="2017" t="s">
        <v>534</v>
      </c>
      <c r="F21" s="2017"/>
      <c r="G21" s="2017"/>
      <c r="H21" s="2017"/>
      <c r="I21" s="2009"/>
      <c r="J21" s="2009"/>
      <c r="K21" s="2033"/>
      <c r="L21" s="15"/>
      <c r="M21" s="15"/>
      <c r="N21" s="15"/>
      <c r="O21" s="2033"/>
      <c r="P21" s="2033"/>
      <c r="Q21" s="2033"/>
      <c r="R21" s="15"/>
      <c r="S21" s="2033"/>
      <c r="T21" s="2033"/>
      <c r="U21" s="2033"/>
      <c r="V21" s="15"/>
      <c r="W21" s="15"/>
      <c r="X21" s="15"/>
      <c r="Y21" s="2033"/>
      <c r="Z21" s="2033"/>
      <c r="AA21" s="2033"/>
      <c r="AB21" s="15"/>
      <c r="AC21" s="15"/>
      <c r="AD21" s="15"/>
    </row>
    <row r="22" spans="1:30" ht="13.5" customHeight="1" x14ac:dyDescent="0.25">
      <c r="A22" s="2297"/>
      <c r="B22" s="2298"/>
      <c r="C22" s="2299"/>
      <c r="D22" s="2298"/>
      <c r="E22" s="503" t="s">
        <v>15</v>
      </c>
      <c r="F22" s="503" t="s">
        <v>16</v>
      </c>
      <c r="G22" s="2017"/>
      <c r="H22" s="2017"/>
      <c r="I22" s="2009"/>
      <c r="J22" s="2009"/>
      <c r="K22" s="2034"/>
      <c r="L22" s="15"/>
      <c r="M22" s="15"/>
      <c r="N22" s="15"/>
      <c r="O22" s="2034"/>
      <c r="P22" s="2034"/>
      <c r="Q22" s="2034"/>
      <c r="R22" s="15"/>
      <c r="S22" s="2034"/>
      <c r="T22" s="2034"/>
      <c r="U22" s="2034"/>
      <c r="V22" s="15"/>
      <c r="W22" s="15"/>
      <c r="X22" s="15"/>
      <c r="Y22" s="2034"/>
      <c r="Z22" s="2034"/>
      <c r="AA22" s="2034"/>
      <c r="AB22" s="15"/>
      <c r="AC22" s="15"/>
      <c r="AD22" s="15"/>
    </row>
    <row r="23" spans="1:30" x14ac:dyDescent="0.25">
      <c r="A23" s="493" t="s">
        <v>531</v>
      </c>
      <c r="B23" s="473">
        <v>6183.4</v>
      </c>
      <c r="C23" s="473">
        <v>4.7</v>
      </c>
      <c r="D23" s="473">
        <f>B23*C23</f>
        <v>29061.98</v>
      </c>
      <c r="E23" s="15">
        <v>45530.44</v>
      </c>
      <c r="F23" s="15">
        <v>14158.69</v>
      </c>
      <c r="G23" s="47"/>
      <c r="H23" s="47"/>
      <c r="I23" s="47"/>
      <c r="J23" s="47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47">
        <f>E23-G23</f>
        <v>45530.44</v>
      </c>
      <c r="Z23" s="47">
        <f>F23/E23*100</f>
        <v>31.097195634393167</v>
      </c>
      <c r="AA23" s="47">
        <f>G23/B23/1.5</f>
        <v>0</v>
      </c>
      <c r="AB23" s="15"/>
      <c r="AC23" s="15"/>
      <c r="AD23" s="15"/>
    </row>
    <row r="24" spans="1:30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x14ac:dyDescent="0.25">
      <c r="A25" s="15"/>
      <c r="B25" s="15"/>
      <c r="C25" s="15"/>
      <c r="D25" s="15"/>
      <c r="E25" s="15">
        <f>E5+E13+E23</f>
        <v>276674.91000000003</v>
      </c>
      <c r="F25" s="15">
        <f>F5+F13+F23</f>
        <v>70793.47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</sheetData>
  <mergeCells count="65">
    <mergeCell ref="T21:T22"/>
    <mergeCell ref="U21:U22"/>
    <mergeCell ref="Y21:Y22"/>
    <mergeCell ref="Z21:Z22"/>
    <mergeCell ref="AA21:AA22"/>
    <mergeCell ref="K21:K22"/>
    <mergeCell ref="O21:O22"/>
    <mergeCell ref="P21:P22"/>
    <mergeCell ref="Q21:Q22"/>
    <mergeCell ref="S21:S22"/>
    <mergeCell ref="K11:K12"/>
    <mergeCell ref="O11:O12"/>
    <mergeCell ref="P11:P12"/>
    <mergeCell ref="Q11:Q12"/>
    <mergeCell ref="Q3:Q4"/>
    <mergeCell ref="S11:S12"/>
    <mergeCell ref="T11:T12"/>
    <mergeCell ref="U11:U12"/>
    <mergeCell ref="Y11:Y12"/>
    <mergeCell ref="Z11:Z12"/>
    <mergeCell ref="D3:D4"/>
    <mergeCell ref="E3:F3"/>
    <mergeCell ref="S3:S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G3:G4"/>
    <mergeCell ref="AB3:AB4"/>
    <mergeCell ref="AC3:AC4"/>
    <mergeCell ref="AD3:AD4"/>
    <mergeCell ref="A11:A12"/>
    <mergeCell ref="B11:B12"/>
    <mergeCell ref="C11:C12"/>
    <mergeCell ref="D11:D12"/>
    <mergeCell ref="E11:F11"/>
    <mergeCell ref="G11:G12"/>
    <mergeCell ref="H11:H12"/>
    <mergeCell ref="T3:T4"/>
    <mergeCell ref="U3:U4"/>
    <mergeCell ref="V3:X3"/>
    <mergeCell ref="Y3:Y4"/>
    <mergeCell ref="Z3:Z4"/>
    <mergeCell ref="AA11:AA12"/>
    <mergeCell ref="AA3:AA4"/>
    <mergeCell ref="J21:J22"/>
    <mergeCell ref="I11:I12"/>
    <mergeCell ref="J11:J12"/>
    <mergeCell ref="A21:A22"/>
    <mergeCell ref="B21:B22"/>
    <mergeCell ref="C21:C22"/>
    <mergeCell ref="D21:D22"/>
    <mergeCell ref="E21:F21"/>
    <mergeCell ref="G21:G22"/>
    <mergeCell ref="H21:H22"/>
    <mergeCell ref="I21:I22"/>
    <mergeCell ref="R3:R4"/>
    <mergeCell ref="A3:A4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20"/>
  <sheetViews>
    <sheetView topLeftCell="D13" zoomScaleNormal="100" workbookViewId="0">
      <selection activeCell="AI35" sqref="AI35:AI42"/>
    </sheetView>
  </sheetViews>
  <sheetFormatPr defaultRowHeight="15" x14ac:dyDescent="0.25"/>
  <cols>
    <col min="1" max="1" width="5.140625" customWidth="1"/>
    <col min="2" max="2" width="9.28515625" customWidth="1"/>
    <col min="3" max="3" width="25.28515625" customWidth="1"/>
    <col min="4" max="4" width="8" customWidth="1"/>
    <col min="5" max="5" width="6.85546875" customWidth="1"/>
    <col min="6" max="6" width="7.7109375" customWidth="1"/>
    <col min="7" max="7" width="7" customWidth="1"/>
    <col min="8" max="8" width="8.85546875" customWidth="1"/>
    <col min="9" max="9" width="9.140625" hidden="1" customWidth="1"/>
    <col min="10" max="10" width="11.42578125" hidden="1" customWidth="1"/>
    <col min="11" max="11" width="11.140625" hidden="1" customWidth="1"/>
    <col min="12" max="12" width="12" customWidth="1"/>
    <col min="13" max="13" width="13.28515625" customWidth="1"/>
    <col min="14" max="14" width="11.42578125" hidden="1" customWidth="1"/>
    <col min="15" max="15" width="12" hidden="1" customWidth="1"/>
    <col min="16" max="16" width="10.28515625" customWidth="1"/>
    <col min="17" max="17" width="10.5703125" hidden="1" customWidth="1"/>
    <col min="18" max="18" width="10.42578125" hidden="1" customWidth="1"/>
    <col min="19" max="19" width="11" hidden="1" customWidth="1"/>
    <col min="20" max="20" width="10.42578125" hidden="1" customWidth="1"/>
    <col min="21" max="24" width="9.140625" hidden="1" customWidth="1"/>
    <col min="25" max="25" width="10" hidden="1" customWidth="1"/>
    <col min="26" max="26" width="9.140625" hidden="1" customWidth="1"/>
    <col min="27" max="27" width="9.7109375" customWidth="1"/>
    <col min="28" max="28" width="9.140625" customWidth="1"/>
    <col min="29" max="29" width="9.140625" hidden="1" customWidth="1"/>
    <col min="30" max="30" width="10.5703125" customWidth="1"/>
    <col min="31" max="31" width="9.140625" customWidth="1"/>
    <col min="32" max="32" width="9.140625" hidden="1" customWidth="1"/>
    <col min="33" max="33" width="9.140625" customWidth="1"/>
    <col min="34" max="34" width="10" customWidth="1"/>
    <col min="35" max="35" width="10.42578125" customWidth="1"/>
  </cols>
  <sheetData>
    <row r="2" spans="1:35" ht="15.75" x14ac:dyDescent="0.25">
      <c r="A2" s="10"/>
      <c r="B2" s="10"/>
      <c r="C2" s="11" t="s">
        <v>617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Z2" s="250"/>
      <c r="AA2" s="250"/>
      <c r="AB2" s="250"/>
    </row>
    <row r="3" spans="1:35" ht="15.75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Z3" s="250"/>
      <c r="AA3" s="250"/>
      <c r="AB3" s="250"/>
    </row>
    <row r="4" spans="1:35" ht="15.75" x14ac:dyDescent="0.2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Z4" s="250"/>
      <c r="AA4" s="250"/>
      <c r="AB4" s="250"/>
    </row>
    <row r="5" spans="1:35" ht="15.75" x14ac:dyDescent="0.2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Z5" s="250"/>
      <c r="AA5" s="250"/>
      <c r="AB5" s="250"/>
    </row>
    <row r="6" spans="1:35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Z6" s="167"/>
      <c r="AA6" s="167"/>
      <c r="AB6" s="167"/>
    </row>
    <row r="7" spans="1:35" ht="42.75" customHeight="1" x14ac:dyDescent="0.25">
      <c r="A7" s="2017" t="s">
        <v>0</v>
      </c>
      <c r="B7" s="2020"/>
      <c r="C7" s="2017" t="s">
        <v>184</v>
      </c>
      <c r="D7" s="2017" t="s">
        <v>54</v>
      </c>
      <c r="E7" s="2017" t="s">
        <v>55</v>
      </c>
      <c r="F7" s="2017" t="s">
        <v>56</v>
      </c>
      <c r="G7" s="2017" t="s">
        <v>57</v>
      </c>
      <c r="H7" s="2017" t="s">
        <v>6</v>
      </c>
      <c r="I7" s="2020" t="s">
        <v>282</v>
      </c>
      <c r="J7" s="2097" t="s">
        <v>593</v>
      </c>
      <c r="K7" s="2060"/>
      <c r="L7" s="2249" t="s">
        <v>310</v>
      </c>
      <c r="M7" s="2250"/>
      <c r="N7" s="2017" t="s">
        <v>598</v>
      </c>
      <c r="O7" s="2017"/>
      <c r="P7" s="1987" t="s">
        <v>457</v>
      </c>
      <c r="Q7" s="2009" t="s">
        <v>370</v>
      </c>
      <c r="R7" s="1987" t="s">
        <v>333</v>
      </c>
      <c r="S7" s="2102" t="s">
        <v>542</v>
      </c>
      <c r="T7" s="2003" t="s">
        <v>578</v>
      </c>
      <c r="U7" s="2003" t="s">
        <v>10</v>
      </c>
      <c r="V7" s="2003" t="s">
        <v>476</v>
      </c>
      <c r="W7" s="2003" t="s">
        <v>309</v>
      </c>
      <c r="X7" s="2003" t="s">
        <v>319</v>
      </c>
      <c r="Y7" s="2194" t="s">
        <v>461</v>
      </c>
      <c r="Z7" s="2107" t="s">
        <v>338</v>
      </c>
      <c r="AA7" s="2009" t="s">
        <v>321</v>
      </c>
      <c r="AB7" s="2005" t="s">
        <v>569</v>
      </c>
      <c r="AC7" s="1987" t="s">
        <v>369</v>
      </c>
      <c r="AD7" s="1987" t="s">
        <v>175</v>
      </c>
      <c r="AE7" s="2005" t="s">
        <v>610</v>
      </c>
      <c r="AF7" s="2005" t="s">
        <v>611</v>
      </c>
      <c r="AG7" s="2251" t="s">
        <v>182</v>
      </c>
      <c r="AH7" s="2302" t="s">
        <v>544</v>
      </c>
      <c r="AI7" s="2257" t="s">
        <v>566</v>
      </c>
    </row>
    <row r="8" spans="1:35" ht="56.25" customHeight="1" x14ac:dyDescent="0.25">
      <c r="A8" s="2017"/>
      <c r="B8" s="2021"/>
      <c r="C8" s="2017"/>
      <c r="D8" s="2017"/>
      <c r="E8" s="2017"/>
      <c r="F8" s="2017"/>
      <c r="G8" s="2017"/>
      <c r="H8" s="2017"/>
      <c r="I8" s="2021"/>
      <c r="J8" s="150" t="s">
        <v>15</v>
      </c>
      <c r="K8" s="1066" t="s">
        <v>16</v>
      </c>
      <c r="L8" s="51" t="s">
        <v>15</v>
      </c>
      <c r="M8" s="543" t="s">
        <v>16</v>
      </c>
      <c r="N8" s="150" t="s">
        <v>15</v>
      </c>
      <c r="O8" s="1066" t="s">
        <v>16</v>
      </c>
      <c r="P8" s="1988"/>
      <c r="Q8" s="2009"/>
      <c r="R8" s="1988"/>
      <c r="S8" s="2102"/>
      <c r="T8" s="2004"/>
      <c r="U8" s="2002"/>
      <c r="V8" s="2004"/>
      <c r="W8" s="2004"/>
      <c r="X8" s="2004"/>
      <c r="Y8" s="2004"/>
      <c r="Z8" s="2107"/>
      <c r="AA8" s="2009"/>
      <c r="AB8" s="2099"/>
      <c r="AC8" s="2002"/>
      <c r="AD8" s="1988"/>
      <c r="AE8" s="2006"/>
      <c r="AF8" s="2006"/>
      <c r="AG8" s="2252"/>
      <c r="AH8" s="2303"/>
      <c r="AI8" s="2258"/>
    </row>
    <row r="9" spans="1:35" x14ac:dyDescent="0.25">
      <c r="A9" s="13">
        <v>1</v>
      </c>
      <c r="B9" s="1091" t="s">
        <v>621</v>
      </c>
      <c r="C9" s="42" t="s">
        <v>228</v>
      </c>
      <c r="D9" s="705">
        <v>1967</v>
      </c>
      <c r="E9" s="705">
        <v>2</v>
      </c>
      <c r="F9" s="705">
        <v>12</v>
      </c>
      <c r="G9" s="705">
        <v>32</v>
      </c>
      <c r="H9" s="707">
        <v>506.67</v>
      </c>
      <c r="I9" s="707">
        <v>24.4</v>
      </c>
      <c r="J9" s="707">
        <v>454.96</v>
      </c>
      <c r="K9" s="707">
        <v>213.99</v>
      </c>
      <c r="L9" s="1092">
        <v>18147.64</v>
      </c>
      <c r="M9" s="1092">
        <v>12629.26</v>
      </c>
      <c r="N9" s="1092">
        <f>J9+L9</f>
        <v>18602.599999999999</v>
      </c>
      <c r="O9" s="1092">
        <f>K9+M9</f>
        <v>12843.25</v>
      </c>
      <c r="P9" s="655">
        <f>Q9+R9+S9+T9+U9+V9+W9+X9+Y9+Z9+AA9+AB9+AC9</f>
        <v>16133.44511405248</v>
      </c>
      <c r="Q9" s="656">
        <v>79.88</v>
      </c>
      <c r="R9" s="660"/>
      <c r="S9" s="660">
        <v>611.24</v>
      </c>
      <c r="T9" s="660">
        <f>2377.16/4685.84*H9</f>
        <v>257.03729901148995</v>
      </c>
      <c r="U9" s="660"/>
      <c r="V9" s="660"/>
      <c r="W9" s="660"/>
      <c r="X9" s="659"/>
      <c r="Y9" s="1093">
        <f>55263.91/175030.46*L9</f>
        <v>5729.9143456081874</v>
      </c>
      <c r="Z9" s="1122">
        <f>6615.01/4685.84*H9</f>
        <v>715.26708481296851</v>
      </c>
      <c r="AA9" s="1122">
        <f>45641.05/4685.84*H9</f>
        <v>4935.0705110503131</v>
      </c>
      <c r="AB9" s="1122">
        <f>AA9*0.202</f>
        <v>996.88424323216327</v>
      </c>
      <c r="AC9" s="1122">
        <f>25970.65/4685.84*H9</f>
        <v>2808.1516303373569</v>
      </c>
      <c r="AD9" s="1095">
        <f>N9-P9</f>
        <v>2469.1548859475188</v>
      </c>
      <c r="AE9" s="524">
        <f>M9/L9*100</f>
        <v>69.591748568959929</v>
      </c>
      <c r="AF9" s="524">
        <f>K9/J9*100</f>
        <v>47.03490416739934</v>
      </c>
      <c r="AG9" s="1095">
        <f>P9/H9/4</f>
        <v>7.9605290988476121</v>
      </c>
      <c r="AH9" s="1129">
        <v>8.94</v>
      </c>
      <c r="AI9" s="47">
        <f>N9-O9</f>
        <v>5759.3499999999985</v>
      </c>
    </row>
    <row r="10" spans="1:35" x14ac:dyDescent="0.25">
      <c r="A10" s="13">
        <v>2</v>
      </c>
      <c r="B10" s="1091" t="s">
        <v>622</v>
      </c>
      <c r="C10" s="42" t="s">
        <v>229</v>
      </c>
      <c r="D10" s="705">
        <v>1967</v>
      </c>
      <c r="E10" s="705">
        <v>2</v>
      </c>
      <c r="F10" s="705">
        <v>12</v>
      </c>
      <c r="G10" s="705">
        <v>38</v>
      </c>
      <c r="H10" s="707">
        <v>538.85</v>
      </c>
      <c r="I10" s="707">
        <v>24.4</v>
      </c>
      <c r="J10" s="707">
        <v>429.21</v>
      </c>
      <c r="K10" s="707">
        <v>233.37</v>
      </c>
      <c r="L10" s="1092">
        <v>18161.439999999999</v>
      </c>
      <c r="M10" s="1092">
        <v>15903.87</v>
      </c>
      <c r="N10" s="1092">
        <f t="shared" ref="N10:N16" si="0">J10+L10</f>
        <v>18590.649999999998</v>
      </c>
      <c r="O10" s="1092">
        <f t="shared" ref="O10:O16" si="1">K10+M10</f>
        <v>16137.240000000002</v>
      </c>
      <c r="P10" s="655">
        <f t="shared" ref="P10:P16" si="2">Q10+R10+S10+T10+U10+V10+W10+X10+Y10+Z10+AA10+AB10+AC10</f>
        <v>16744.644130070461</v>
      </c>
      <c r="Q10" s="656">
        <v>69.86</v>
      </c>
      <c r="R10" s="660"/>
      <c r="S10" s="660">
        <v>611.24</v>
      </c>
      <c r="T10" s="660">
        <f t="shared" ref="T10:T16" si="3">2377.16/4685.84*H10</f>
        <v>273.36244216618582</v>
      </c>
      <c r="U10" s="660"/>
      <c r="V10" s="660"/>
      <c r="W10" s="660"/>
      <c r="X10" s="659"/>
      <c r="Y10" s="1093">
        <f t="shared" ref="Y10:Y16" si="4">55263.91/175030.46*L10</f>
        <v>5734.2715412528769</v>
      </c>
      <c r="Z10" s="1122">
        <f t="shared" ref="Z10:Z16" si="5">6615.01/4685.84*H10</f>
        <v>760.69565723541564</v>
      </c>
      <c r="AA10" s="1122">
        <f t="shared" ref="AA10:AA16" si="6">45641.05/4685.84*H10</f>
        <v>5248.5103615360322</v>
      </c>
      <c r="AB10" s="1122">
        <f t="shared" ref="AB10:AB16" si="7">AA10*0.202</f>
        <v>1060.1990930302786</v>
      </c>
      <c r="AC10" s="1122">
        <f t="shared" ref="AC10:AC16" si="8">25970.65/4685.84*H10</f>
        <v>2986.5050348496748</v>
      </c>
      <c r="AD10" s="1095">
        <f t="shared" ref="AD10:AD16" si="9">N10-P10</f>
        <v>1846.0058699295369</v>
      </c>
      <c r="AE10" s="524">
        <f t="shared" ref="AE10:AE17" si="10">M10/L10*100</f>
        <v>87.569432820305011</v>
      </c>
      <c r="AF10" s="524">
        <f t="shared" ref="AF10:AF17" si="11">K10/J10*100</f>
        <v>54.371985741245545</v>
      </c>
      <c r="AG10" s="1095">
        <f t="shared" ref="AG10:AG16" si="12">P10/H10/4</f>
        <v>7.7686945022132594</v>
      </c>
      <c r="AH10" s="1129">
        <v>8.94</v>
      </c>
      <c r="AI10" s="47">
        <f t="shared" ref="AI10:AI17" si="13">N10-O10</f>
        <v>2453.4099999999962</v>
      </c>
    </row>
    <row r="11" spans="1:35" x14ac:dyDescent="0.25">
      <c r="A11" s="13">
        <v>3</v>
      </c>
      <c r="B11" s="1091" t="s">
        <v>560</v>
      </c>
      <c r="C11" s="45" t="s">
        <v>231</v>
      </c>
      <c r="D11" s="690">
        <v>1990</v>
      </c>
      <c r="E11" s="690">
        <v>1</v>
      </c>
      <c r="F11" s="690">
        <v>1</v>
      </c>
      <c r="G11" s="690">
        <v>6</v>
      </c>
      <c r="H11" s="707">
        <v>63.7</v>
      </c>
      <c r="I11" s="707"/>
      <c r="J11" s="707">
        <v>0</v>
      </c>
      <c r="K11" s="707">
        <v>0</v>
      </c>
      <c r="L11" s="1092">
        <v>1268.92</v>
      </c>
      <c r="M11" s="1092">
        <v>1268.94</v>
      </c>
      <c r="N11" s="1092">
        <f t="shared" si="0"/>
        <v>1268.92</v>
      </c>
      <c r="O11" s="1092">
        <f t="shared" si="1"/>
        <v>1268.94</v>
      </c>
      <c r="P11" s="655">
        <f t="shared" si="2"/>
        <v>1621.7193279235285</v>
      </c>
      <c r="Q11" s="662"/>
      <c r="R11" s="660"/>
      <c r="S11" s="1096"/>
      <c r="T11" s="660">
        <f t="shared" si="3"/>
        <v>32.315463609512918</v>
      </c>
      <c r="U11" s="1096"/>
      <c r="V11" s="1096"/>
      <c r="W11" s="1096"/>
      <c r="X11" s="1097"/>
      <c r="Y11" s="1093">
        <f t="shared" si="4"/>
        <v>400.64729691734806</v>
      </c>
      <c r="Z11" s="1122">
        <f t="shared" si="5"/>
        <v>89.925421482594373</v>
      </c>
      <c r="AA11" s="1122">
        <f t="shared" si="6"/>
        <v>620.45116457241397</v>
      </c>
      <c r="AB11" s="1122">
        <f t="shared" si="7"/>
        <v>125.33113524362763</v>
      </c>
      <c r="AC11" s="1122">
        <f t="shared" si="8"/>
        <v>353.0488460980315</v>
      </c>
      <c r="AD11" s="1095">
        <f t="shared" si="9"/>
        <v>-352.79932792352838</v>
      </c>
      <c r="AE11" s="524">
        <f t="shared" si="10"/>
        <v>100.0015761434921</v>
      </c>
      <c r="AF11" s="524">
        <v>0</v>
      </c>
      <c r="AG11" s="1095">
        <f t="shared" si="12"/>
        <v>6.364675541301132</v>
      </c>
      <c r="AH11" s="1129">
        <v>4.9800000000000004</v>
      </c>
      <c r="AI11" s="47">
        <f t="shared" si="13"/>
        <v>-1.999999999998181E-2</v>
      </c>
    </row>
    <row r="12" spans="1:35" x14ac:dyDescent="0.25">
      <c r="A12" s="13">
        <v>4</v>
      </c>
      <c r="B12" s="1091" t="s">
        <v>620</v>
      </c>
      <c r="C12" s="45" t="s">
        <v>230</v>
      </c>
      <c r="D12" s="690">
        <v>1967</v>
      </c>
      <c r="E12" s="690">
        <v>2</v>
      </c>
      <c r="F12" s="690">
        <v>2</v>
      </c>
      <c r="G12" s="690">
        <v>12</v>
      </c>
      <c r="H12" s="707">
        <v>530.91999999999996</v>
      </c>
      <c r="I12" s="707"/>
      <c r="J12" s="707">
        <v>449.07</v>
      </c>
      <c r="K12" s="707">
        <v>167.29</v>
      </c>
      <c r="L12" s="1092">
        <v>31226.14</v>
      </c>
      <c r="M12" s="1092">
        <v>13202.54</v>
      </c>
      <c r="N12" s="1092">
        <f t="shared" si="0"/>
        <v>31675.21</v>
      </c>
      <c r="O12" s="1092">
        <f t="shared" si="1"/>
        <v>13369.830000000002</v>
      </c>
      <c r="P12" s="655">
        <f t="shared" si="2"/>
        <v>20946.426016271987</v>
      </c>
      <c r="Q12" s="662">
        <v>49.98</v>
      </c>
      <c r="R12" s="660"/>
      <c r="S12" s="1096">
        <v>859.88</v>
      </c>
      <c r="T12" s="660">
        <f t="shared" si="3"/>
        <v>269.33949669643005</v>
      </c>
      <c r="U12" s="1096"/>
      <c r="V12" s="1096"/>
      <c r="W12" s="1096"/>
      <c r="X12" s="1097"/>
      <c r="Y12" s="1093">
        <f t="shared" si="4"/>
        <v>9859.3044353959885</v>
      </c>
      <c r="Z12" s="1122">
        <f t="shared" si="5"/>
        <v>749.5008598671742</v>
      </c>
      <c r="AA12" s="1122">
        <f t="shared" si="6"/>
        <v>5171.2705226810986</v>
      </c>
      <c r="AB12" s="1122">
        <f t="shared" si="7"/>
        <v>1044.5966455815819</v>
      </c>
      <c r="AC12" s="1122">
        <f t="shared" si="8"/>
        <v>2942.5540560497152</v>
      </c>
      <c r="AD12" s="1095">
        <f t="shared" si="9"/>
        <v>10728.783983728012</v>
      </c>
      <c r="AE12" s="524">
        <f t="shared" si="10"/>
        <v>42.280409938596321</v>
      </c>
      <c r="AF12" s="524">
        <f t="shared" si="11"/>
        <v>37.25254414679226</v>
      </c>
      <c r="AG12" s="1095">
        <f t="shared" si="12"/>
        <v>9.8632684850222212</v>
      </c>
      <c r="AH12" s="1129">
        <v>8.94</v>
      </c>
      <c r="AI12" s="47">
        <f t="shared" si="13"/>
        <v>18305.379999999997</v>
      </c>
    </row>
    <row r="13" spans="1:35" x14ac:dyDescent="0.25">
      <c r="A13" s="571">
        <v>5</v>
      </c>
      <c r="B13" s="1091" t="s">
        <v>560</v>
      </c>
      <c r="C13" s="45" t="s">
        <v>232</v>
      </c>
      <c r="D13" s="690">
        <v>1990</v>
      </c>
      <c r="E13" s="690">
        <v>1</v>
      </c>
      <c r="F13" s="690">
        <v>1</v>
      </c>
      <c r="G13" s="690">
        <v>9</v>
      </c>
      <c r="H13" s="707">
        <v>72.5</v>
      </c>
      <c r="I13" s="707">
        <v>24.08</v>
      </c>
      <c r="J13" s="707">
        <v>0</v>
      </c>
      <c r="K13" s="707">
        <v>0</v>
      </c>
      <c r="L13" s="1092">
        <v>1444.2</v>
      </c>
      <c r="M13" s="1092">
        <v>841.61</v>
      </c>
      <c r="N13" s="1092">
        <f t="shared" si="0"/>
        <v>1444.2</v>
      </c>
      <c r="O13" s="1092">
        <f t="shared" si="1"/>
        <v>841.61</v>
      </c>
      <c r="P13" s="655">
        <f t="shared" si="2"/>
        <v>1845.7501572595072</v>
      </c>
      <c r="Q13" s="662"/>
      <c r="R13" s="660"/>
      <c r="S13" s="1096"/>
      <c r="T13" s="660">
        <f t="shared" si="3"/>
        <v>36.779766274563364</v>
      </c>
      <c r="U13" s="1096"/>
      <c r="V13" s="1096"/>
      <c r="W13" s="1096"/>
      <c r="X13" s="1097"/>
      <c r="Y13" s="1093">
        <f t="shared" si="4"/>
        <v>455.98999638120137</v>
      </c>
      <c r="Z13" s="1122">
        <f t="shared" si="5"/>
        <v>102.34839964659484</v>
      </c>
      <c r="AA13" s="1122">
        <f t="shared" si="6"/>
        <v>706.1649832260598</v>
      </c>
      <c r="AB13" s="1122">
        <f t="shared" si="7"/>
        <v>142.6453266116641</v>
      </c>
      <c r="AC13" s="1122">
        <f t="shared" si="8"/>
        <v>401.82168511942359</v>
      </c>
      <c r="AD13" s="1095">
        <f t="shared" si="9"/>
        <v>-401.55015725950716</v>
      </c>
      <c r="AE13" s="524">
        <f t="shared" si="10"/>
        <v>58.275169644093616</v>
      </c>
      <c r="AF13" s="524">
        <v>0</v>
      </c>
      <c r="AG13" s="1095">
        <f t="shared" si="12"/>
        <v>6.3646557146879559</v>
      </c>
      <c r="AH13" s="1129">
        <v>4.9800000000000004</v>
      </c>
      <c r="AI13" s="47">
        <f t="shared" si="13"/>
        <v>602.59</v>
      </c>
    </row>
    <row r="14" spans="1:35" x14ac:dyDescent="0.25">
      <c r="A14" s="13">
        <v>6</v>
      </c>
      <c r="B14" s="1091" t="s">
        <v>621</v>
      </c>
      <c r="C14" s="42" t="s">
        <v>233</v>
      </c>
      <c r="D14" s="705">
        <v>1994</v>
      </c>
      <c r="E14" s="705">
        <v>3</v>
      </c>
      <c r="F14" s="705">
        <v>24</v>
      </c>
      <c r="G14" s="705">
        <v>65</v>
      </c>
      <c r="H14" s="707">
        <v>1442.3</v>
      </c>
      <c r="I14" s="707">
        <v>129.6</v>
      </c>
      <c r="J14" s="707">
        <v>3513.24</v>
      </c>
      <c r="K14" s="707">
        <v>2076.11</v>
      </c>
      <c r="L14" s="1092">
        <v>51403.56</v>
      </c>
      <c r="M14" s="1092">
        <v>50920.98</v>
      </c>
      <c r="N14" s="1092">
        <f t="shared" si="0"/>
        <v>54916.799999999996</v>
      </c>
      <c r="O14" s="1092">
        <f t="shared" si="1"/>
        <v>52997.090000000004</v>
      </c>
      <c r="P14" s="655">
        <f t="shared" si="2"/>
        <v>46405.780216503037</v>
      </c>
      <c r="Q14" s="656">
        <v>129.74</v>
      </c>
      <c r="R14" s="660"/>
      <c r="S14" s="660">
        <v>2398.34</v>
      </c>
      <c r="T14" s="660">
        <f t="shared" si="3"/>
        <v>731.68906065934812</v>
      </c>
      <c r="U14" s="660"/>
      <c r="V14" s="660"/>
      <c r="W14" s="660"/>
      <c r="X14" s="659"/>
      <c r="Y14" s="1093">
        <f t="shared" si="4"/>
        <v>16230.099112575035</v>
      </c>
      <c r="Z14" s="1122">
        <f t="shared" si="5"/>
        <v>2036.0978870383965</v>
      </c>
      <c r="AA14" s="1122">
        <f t="shared" si="6"/>
        <v>14048.300073199254</v>
      </c>
      <c r="AB14" s="1122">
        <f t="shared" si="7"/>
        <v>2837.7566147862494</v>
      </c>
      <c r="AC14" s="1122">
        <f t="shared" si="8"/>
        <v>7993.7574682447539</v>
      </c>
      <c r="AD14" s="1095">
        <f t="shared" si="9"/>
        <v>8511.0197834969586</v>
      </c>
      <c r="AE14" s="524">
        <f t="shared" si="10"/>
        <v>99.061193427070037</v>
      </c>
      <c r="AF14" s="524">
        <f t="shared" si="11"/>
        <v>59.093884847035795</v>
      </c>
      <c r="AG14" s="1095">
        <f t="shared" si="12"/>
        <v>8.0437114706550368</v>
      </c>
      <c r="AH14" s="1129">
        <v>8.91</v>
      </c>
      <c r="AI14" s="47">
        <f t="shared" si="13"/>
        <v>1919.7099999999919</v>
      </c>
    </row>
    <row r="15" spans="1:35" x14ac:dyDescent="0.25">
      <c r="A15" s="13">
        <v>7</v>
      </c>
      <c r="B15" s="1091" t="s">
        <v>621</v>
      </c>
      <c r="C15" s="42" t="s">
        <v>234</v>
      </c>
      <c r="D15" s="705">
        <v>1989</v>
      </c>
      <c r="E15" s="705">
        <v>3</v>
      </c>
      <c r="F15" s="705">
        <v>24</v>
      </c>
      <c r="G15" s="705">
        <v>61</v>
      </c>
      <c r="H15" s="707">
        <v>1454.5</v>
      </c>
      <c r="I15" s="707">
        <v>129.6</v>
      </c>
      <c r="J15" s="707">
        <v>3513.27</v>
      </c>
      <c r="K15" s="707">
        <v>1913.91</v>
      </c>
      <c r="L15" s="1092">
        <v>51838.32</v>
      </c>
      <c r="M15" s="1092">
        <v>45772.97</v>
      </c>
      <c r="N15" s="1092">
        <f t="shared" si="0"/>
        <v>55351.59</v>
      </c>
      <c r="O15" s="1092">
        <f t="shared" si="1"/>
        <v>47686.880000000005</v>
      </c>
      <c r="P15" s="655">
        <f t="shared" si="2"/>
        <v>48805.263912780552</v>
      </c>
      <c r="Q15" s="656">
        <v>119.76</v>
      </c>
      <c r="R15" s="660"/>
      <c r="S15" s="660">
        <v>4436.67</v>
      </c>
      <c r="T15" s="660">
        <f t="shared" si="3"/>
        <v>737.8782075358954</v>
      </c>
      <c r="U15" s="660"/>
      <c r="V15" s="660"/>
      <c r="W15" s="660"/>
      <c r="X15" s="659"/>
      <c r="Y15" s="1093">
        <f t="shared" si="4"/>
        <v>16367.369719711645</v>
      </c>
      <c r="Z15" s="1122">
        <f t="shared" si="5"/>
        <v>2053.3206522203063</v>
      </c>
      <c r="AA15" s="1122">
        <f t="shared" si="6"/>
        <v>14167.130594514538</v>
      </c>
      <c r="AB15" s="1122">
        <f t="shared" si="7"/>
        <v>2861.7603800919369</v>
      </c>
      <c r="AC15" s="1122">
        <f t="shared" si="8"/>
        <v>8061.374358706229</v>
      </c>
      <c r="AD15" s="1095">
        <f t="shared" si="9"/>
        <v>6546.3260872194442</v>
      </c>
      <c r="AE15" s="524">
        <f t="shared" si="10"/>
        <v>88.299485785804791</v>
      </c>
      <c r="AF15" s="524">
        <f t="shared" si="11"/>
        <v>54.476598724265436</v>
      </c>
      <c r="AG15" s="1095">
        <f t="shared" si="12"/>
        <v>8.3886668808491844</v>
      </c>
      <c r="AH15" s="1129">
        <v>8.91</v>
      </c>
      <c r="AI15" s="47">
        <f t="shared" si="13"/>
        <v>7664.7099999999919</v>
      </c>
    </row>
    <row r="16" spans="1:35" ht="15.75" thickBot="1" x14ac:dyDescent="0.3">
      <c r="A16" s="187">
        <v>8</v>
      </c>
      <c r="B16" s="1091" t="s">
        <v>621</v>
      </c>
      <c r="C16" s="188" t="s">
        <v>235</v>
      </c>
      <c r="D16" s="709">
        <v>1961</v>
      </c>
      <c r="E16" s="709">
        <v>1</v>
      </c>
      <c r="F16" s="709">
        <v>2</v>
      </c>
      <c r="G16" s="709">
        <v>0</v>
      </c>
      <c r="H16" s="1099">
        <v>76.400000000000006</v>
      </c>
      <c r="I16" s="1098"/>
      <c r="J16" s="1099">
        <v>0</v>
      </c>
      <c r="K16" s="1099">
        <v>0</v>
      </c>
      <c r="L16" s="1092">
        <v>1540.24</v>
      </c>
      <c r="M16" s="1092">
        <v>1153.42</v>
      </c>
      <c r="N16" s="1092">
        <f t="shared" si="0"/>
        <v>1540.24</v>
      </c>
      <c r="O16" s="1092">
        <f t="shared" si="1"/>
        <v>1153.42</v>
      </c>
      <c r="P16" s="655">
        <f t="shared" si="2"/>
        <v>1950.8332251384466</v>
      </c>
      <c r="Q16" s="1100"/>
      <c r="R16" s="1101"/>
      <c r="S16" s="1102"/>
      <c r="T16" s="660">
        <f t="shared" si="3"/>
        <v>38.758264046574361</v>
      </c>
      <c r="U16" s="1102"/>
      <c r="V16" s="1102"/>
      <c r="W16" s="1102"/>
      <c r="X16" s="1103"/>
      <c r="Y16" s="1093">
        <f t="shared" si="4"/>
        <v>486.31355215772163</v>
      </c>
      <c r="Z16" s="1122">
        <f t="shared" si="5"/>
        <v>107.85403769654961</v>
      </c>
      <c r="AA16" s="1122">
        <f t="shared" si="6"/>
        <v>744.15178922028929</v>
      </c>
      <c r="AB16" s="1122">
        <f t="shared" si="7"/>
        <v>150.31866142249845</v>
      </c>
      <c r="AC16" s="1122">
        <f t="shared" si="8"/>
        <v>423.43692059481333</v>
      </c>
      <c r="AD16" s="1095">
        <f t="shared" si="9"/>
        <v>-410.59322513844654</v>
      </c>
      <c r="AE16" s="528">
        <f t="shared" si="10"/>
        <v>74.885732093699687</v>
      </c>
      <c r="AF16" s="528">
        <v>0</v>
      </c>
      <c r="AG16" s="1095">
        <f t="shared" si="12"/>
        <v>6.3836165744059112</v>
      </c>
      <c r="AH16" s="1130">
        <v>5.04</v>
      </c>
      <c r="AI16" s="1133">
        <f t="shared" si="13"/>
        <v>386.81999999999994</v>
      </c>
    </row>
    <row r="17" spans="1:36" ht="15.75" thickBot="1" x14ac:dyDescent="0.3">
      <c r="A17" s="195"/>
      <c r="B17" s="579"/>
      <c r="C17" s="196" t="s">
        <v>297</v>
      </c>
      <c r="D17" s="711"/>
      <c r="E17" s="711"/>
      <c r="F17" s="712">
        <f t="shared" ref="F17:AD17" si="14">SUM(F9:F16)</f>
        <v>78</v>
      </c>
      <c r="G17" s="712">
        <f t="shared" si="14"/>
        <v>223</v>
      </c>
      <c r="H17" s="1104">
        <f t="shared" si="14"/>
        <v>4685.8399999999992</v>
      </c>
      <c r="I17" s="1104">
        <f t="shared" si="14"/>
        <v>332.08</v>
      </c>
      <c r="J17" s="1104">
        <f t="shared" ref="J17:O17" si="15">SUM(J9:J16)</f>
        <v>8359.75</v>
      </c>
      <c r="K17" s="1104">
        <f t="shared" si="15"/>
        <v>4604.67</v>
      </c>
      <c r="L17" s="1105">
        <f t="shared" si="15"/>
        <v>175030.46</v>
      </c>
      <c r="M17" s="1105">
        <f t="shared" si="15"/>
        <v>141693.59000000003</v>
      </c>
      <c r="N17" s="1105">
        <f t="shared" si="15"/>
        <v>183390.21</v>
      </c>
      <c r="O17" s="1105">
        <f t="shared" si="15"/>
        <v>146298.26000000004</v>
      </c>
      <c r="P17" s="1106">
        <f t="shared" si="14"/>
        <v>154453.8621</v>
      </c>
      <c r="Q17" s="1107">
        <f t="shared" si="14"/>
        <v>449.22</v>
      </c>
      <c r="R17" s="1108">
        <f t="shared" si="14"/>
        <v>0</v>
      </c>
      <c r="S17" s="1108">
        <f t="shared" si="14"/>
        <v>8917.3700000000008</v>
      </c>
      <c r="T17" s="1108">
        <f t="shared" si="14"/>
        <v>2377.16</v>
      </c>
      <c r="U17" s="1108">
        <f t="shared" si="14"/>
        <v>0</v>
      </c>
      <c r="V17" s="1108">
        <f t="shared" si="14"/>
        <v>0</v>
      </c>
      <c r="W17" s="1108">
        <f t="shared" si="14"/>
        <v>0</v>
      </c>
      <c r="X17" s="1108">
        <f t="shared" si="14"/>
        <v>0</v>
      </c>
      <c r="Y17" s="1108">
        <f t="shared" si="14"/>
        <v>55263.91</v>
      </c>
      <c r="Z17" s="1108">
        <f t="shared" si="14"/>
        <v>6615.01</v>
      </c>
      <c r="AA17" s="1108">
        <f t="shared" si="14"/>
        <v>45641.05</v>
      </c>
      <c r="AB17" s="1108">
        <f t="shared" si="14"/>
        <v>9219.4920999999995</v>
      </c>
      <c r="AC17" s="1108">
        <f t="shared" si="14"/>
        <v>25970.649999999998</v>
      </c>
      <c r="AD17" s="1124">
        <f t="shared" si="14"/>
        <v>28936.347899999986</v>
      </c>
      <c r="AE17" s="1126">
        <f t="shared" si="10"/>
        <v>80.953675148885523</v>
      </c>
      <c r="AF17" s="1127">
        <f t="shared" si="11"/>
        <v>55.081431861000631</v>
      </c>
      <c r="AG17" s="1128">
        <f>P17/H17/12</f>
        <v>2.7468191775647486</v>
      </c>
      <c r="AH17" s="1131"/>
      <c r="AI17" s="1134">
        <f t="shared" si="13"/>
        <v>37091.949999999953</v>
      </c>
      <c r="AJ17" t="s">
        <v>180</v>
      </c>
    </row>
    <row r="18" spans="1:36" x14ac:dyDescent="0.25">
      <c r="A18" s="547"/>
      <c r="B18" s="547"/>
      <c r="C18" s="547"/>
      <c r="D18" s="547"/>
      <c r="E18" s="547"/>
      <c r="F18" s="547"/>
      <c r="G18" s="547"/>
      <c r="H18" s="547"/>
      <c r="I18" s="547"/>
      <c r="J18" s="547"/>
      <c r="K18" s="547"/>
      <c r="L18" s="547"/>
      <c r="M18" s="547"/>
      <c r="N18" s="547"/>
      <c r="O18" s="547"/>
      <c r="P18" s="547"/>
      <c r="Q18" s="547"/>
      <c r="R18" s="547"/>
      <c r="S18" s="547"/>
      <c r="T18" s="547"/>
      <c r="U18" s="547"/>
      <c r="V18" s="547"/>
      <c r="W18" s="547"/>
      <c r="X18" s="547"/>
      <c r="Y18" s="547"/>
      <c r="Z18" s="547"/>
      <c r="AA18" s="1123">
        <f>AA17+AB17</f>
        <v>54860.542100000006</v>
      </c>
      <c r="AB18" s="547"/>
      <c r="AC18" s="547"/>
      <c r="AD18" s="547"/>
      <c r="AE18" s="547"/>
      <c r="AF18" s="547"/>
      <c r="AG18" s="547"/>
      <c r="AH18" s="547"/>
      <c r="AJ18" s="93"/>
    </row>
    <row r="19" spans="1:36" x14ac:dyDescent="0.25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</row>
    <row r="20" spans="1:36" x14ac:dyDescent="0.25">
      <c r="A20" s="247"/>
      <c r="B20" s="247"/>
      <c r="C20" s="548" t="s">
        <v>618</v>
      </c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</row>
    <row r="21" spans="1:36" x14ac:dyDescent="0.25">
      <c r="A21" s="247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</row>
    <row r="22" spans="1:36" x14ac:dyDescent="0.25">
      <c r="A22" s="247"/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</row>
    <row r="23" spans="1:36" ht="15" customHeight="1" x14ac:dyDescent="0.25">
      <c r="A23" s="2017" t="s">
        <v>0</v>
      </c>
      <c r="B23" s="2020"/>
      <c r="C23" s="2017" t="s">
        <v>184</v>
      </c>
      <c r="D23" s="2017" t="s">
        <v>54</v>
      </c>
      <c r="E23" s="2017" t="s">
        <v>55</v>
      </c>
      <c r="F23" s="2017" t="s">
        <v>56</v>
      </c>
      <c r="G23" s="2017" t="s">
        <v>57</v>
      </c>
      <c r="H23" s="2017" t="s">
        <v>6</v>
      </c>
      <c r="I23" s="2020" t="s">
        <v>282</v>
      </c>
      <c r="J23" s="1089"/>
      <c r="K23" s="1089"/>
      <c r="L23" s="2249" t="s">
        <v>284</v>
      </c>
      <c r="M23" s="2250"/>
      <c r="N23" s="615"/>
      <c r="O23" s="615"/>
      <c r="P23" s="1987" t="s">
        <v>457</v>
      </c>
      <c r="Q23" s="2009" t="s">
        <v>370</v>
      </c>
      <c r="R23" s="1987" t="s">
        <v>333</v>
      </c>
      <c r="S23" s="2102" t="s">
        <v>477</v>
      </c>
      <c r="T23" s="2003" t="s">
        <v>475</v>
      </c>
      <c r="U23" s="2003" t="s">
        <v>10</v>
      </c>
      <c r="V23" s="2003" t="s">
        <v>476</v>
      </c>
      <c r="W23" s="2003" t="s">
        <v>309</v>
      </c>
      <c r="X23" s="2003" t="s">
        <v>319</v>
      </c>
      <c r="Y23" s="2194" t="s">
        <v>461</v>
      </c>
      <c r="Z23" s="2107" t="s">
        <v>338</v>
      </c>
      <c r="AA23" s="2009" t="s">
        <v>321</v>
      </c>
      <c r="AB23" s="2005" t="s">
        <v>569</v>
      </c>
      <c r="AC23" s="1987" t="s">
        <v>369</v>
      </c>
      <c r="AD23" s="1987" t="s">
        <v>175</v>
      </c>
      <c r="AE23" s="1987" t="s">
        <v>183</v>
      </c>
      <c r="AF23" s="1987"/>
      <c r="AG23" s="2251" t="s">
        <v>182</v>
      </c>
      <c r="AH23" s="2302" t="s">
        <v>544</v>
      </c>
      <c r="AI23" s="2257" t="s">
        <v>566</v>
      </c>
    </row>
    <row r="24" spans="1:36" ht="50.25" customHeight="1" x14ac:dyDescent="0.25">
      <c r="A24" s="2017"/>
      <c r="B24" s="2021"/>
      <c r="C24" s="2017"/>
      <c r="D24" s="2017"/>
      <c r="E24" s="2017"/>
      <c r="F24" s="2017"/>
      <c r="G24" s="2017"/>
      <c r="H24" s="2017"/>
      <c r="I24" s="2021"/>
      <c r="J24" s="1090"/>
      <c r="K24" s="1090"/>
      <c r="L24" s="51" t="s">
        <v>15</v>
      </c>
      <c r="M24" s="543" t="s">
        <v>16</v>
      </c>
      <c r="N24" s="616"/>
      <c r="O24" s="616"/>
      <c r="P24" s="1988"/>
      <c r="Q24" s="2009"/>
      <c r="R24" s="1988"/>
      <c r="S24" s="2102"/>
      <c r="T24" s="2004"/>
      <c r="U24" s="2002"/>
      <c r="V24" s="2004"/>
      <c r="W24" s="2004"/>
      <c r="X24" s="2004"/>
      <c r="Y24" s="2004"/>
      <c r="Z24" s="2107"/>
      <c r="AA24" s="2009"/>
      <c r="AB24" s="2099"/>
      <c r="AC24" s="2002"/>
      <c r="AD24" s="1988"/>
      <c r="AE24" s="1988"/>
      <c r="AF24" s="1988"/>
      <c r="AG24" s="2252"/>
      <c r="AH24" s="2303"/>
      <c r="AI24" s="2258"/>
    </row>
    <row r="25" spans="1:36" x14ac:dyDescent="0.25">
      <c r="A25" s="13">
        <v>1</v>
      </c>
      <c r="B25" s="13"/>
      <c r="C25" s="42" t="s">
        <v>228</v>
      </c>
      <c r="D25" s="705">
        <v>1967</v>
      </c>
      <c r="E25" s="705">
        <v>2</v>
      </c>
      <c r="F25" s="705">
        <v>12</v>
      </c>
      <c r="G25" s="705">
        <v>32</v>
      </c>
      <c r="H25" s="707">
        <v>506.67</v>
      </c>
      <c r="I25" s="707">
        <v>24.4</v>
      </c>
      <c r="J25" s="715"/>
      <c r="K25" s="715"/>
      <c r="L25" s="1092">
        <v>3755.44</v>
      </c>
      <c r="M25" s="1092">
        <v>2613.44</v>
      </c>
      <c r="N25" s="1111"/>
      <c r="O25" s="1111"/>
      <c r="P25" s="655">
        <f>Q25+R25+S25+T25+U25+V25+W25+X25+Y25+Z25+AA25+AB25+AC25</f>
        <v>0</v>
      </c>
      <c r="Q25" s="656"/>
      <c r="R25" s="660"/>
      <c r="S25" s="660"/>
      <c r="T25" s="660"/>
      <c r="U25" s="660"/>
      <c r="V25" s="660"/>
      <c r="W25" s="660"/>
      <c r="X25" s="659"/>
      <c r="Y25" s="1093"/>
      <c r="Z25" s="1094"/>
      <c r="AA25" s="1094"/>
      <c r="AB25" s="1094"/>
      <c r="AC25" s="1094"/>
      <c r="AD25" s="1095">
        <f>L25-P25</f>
        <v>3755.44</v>
      </c>
      <c r="AE25" s="524">
        <f>M25/L25*100</f>
        <v>69.590780308033146</v>
      </c>
      <c r="AF25" s="524"/>
      <c r="AG25" s="1095">
        <f>P25/H25/4</f>
        <v>0</v>
      </c>
      <c r="AH25" s="1129">
        <v>1.85</v>
      </c>
      <c r="AI25" s="47">
        <f>L25-M25</f>
        <v>1142</v>
      </c>
    </row>
    <row r="26" spans="1:36" x14ac:dyDescent="0.25">
      <c r="A26" s="13">
        <v>2</v>
      </c>
      <c r="B26" s="13"/>
      <c r="C26" s="42" t="s">
        <v>229</v>
      </c>
      <c r="D26" s="705">
        <v>1967</v>
      </c>
      <c r="E26" s="705">
        <v>2</v>
      </c>
      <c r="F26" s="705">
        <v>12</v>
      </c>
      <c r="G26" s="705">
        <v>38</v>
      </c>
      <c r="H26" s="707">
        <v>538.85</v>
      </c>
      <c r="I26" s="707">
        <v>24.4</v>
      </c>
      <c r="J26" s="715"/>
      <c r="K26" s="715"/>
      <c r="L26" s="1092">
        <v>3778.48</v>
      </c>
      <c r="M26" s="1092">
        <v>3308.82</v>
      </c>
      <c r="N26" s="1111"/>
      <c r="O26" s="1111"/>
      <c r="P26" s="655">
        <f>Q26+R26+S26+T26+U26+V26+W26+X26+Y26+Z26+AA26+AB26+AC26</f>
        <v>0</v>
      </c>
      <c r="Q26" s="656"/>
      <c r="R26" s="660"/>
      <c r="S26" s="660"/>
      <c r="T26" s="660"/>
      <c r="U26" s="660"/>
      <c r="V26" s="660"/>
      <c r="W26" s="660"/>
      <c r="X26" s="659"/>
      <c r="Y26" s="1093"/>
      <c r="Z26" s="1094"/>
      <c r="AA26" s="1094"/>
      <c r="AB26" s="1094"/>
      <c r="AC26" s="1094"/>
      <c r="AD26" s="1095">
        <f t="shared" ref="AD26:AD29" si="16">L26-P26</f>
        <v>3778.48</v>
      </c>
      <c r="AE26" s="524">
        <f t="shared" ref="AE26:AE30" si="17">M26/L26*100</f>
        <v>87.570134022146476</v>
      </c>
      <c r="AF26" s="524"/>
      <c r="AG26" s="1095">
        <f t="shared" ref="AG26:AG30" si="18">P26/H26/4</f>
        <v>0</v>
      </c>
      <c r="AH26" s="1129">
        <v>1.86</v>
      </c>
      <c r="AI26" s="47">
        <f t="shared" ref="AI26:AI30" si="19">L26-M26</f>
        <v>469.65999999999985</v>
      </c>
    </row>
    <row r="27" spans="1:36" x14ac:dyDescent="0.25">
      <c r="A27" s="13">
        <v>4</v>
      </c>
      <c r="B27" s="13"/>
      <c r="C27" s="42" t="s">
        <v>230</v>
      </c>
      <c r="D27" s="705">
        <v>1967</v>
      </c>
      <c r="E27" s="705">
        <v>2</v>
      </c>
      <c r="F27" s="705">
        <v>12</v>
      </c>
      <c r="G27" s="705">
        <v>38</v>
      </c>
      <c r="H27" s="707">
        <v>508.35</v>
      </c>
      <c r="I27" s="707">
        <v>24.4</v>
      </c>
      <c r="J27" s="715"/>
      <c r="K27" s="715"/>
      <c r="L27" s="1092">
        <v>6100.2</v>
      </c>
      <c r="M27" s="1092">
        <v>4156.8</v>
      </c>
      <c r="N27" s="1111"/>
      <c r="O27" s="1111"/>
      <c r="P27" s="655">
        <f>Q27+R27+S27+T27+U27+V27+W27+X27+Y27+Z27+AA27+AB27+AC27</f>
        <v>0</v>
      </c>
      <c r="Q27" s="656"/>
      <c r="R27" s="660"/>
      <c r="S27" s="660"/>
      <c r="T27" s="660"/>
      <c r="U27" s="660"/>
      <c r="V27" s="660"/>
      <c r="W27" s="660"/>
      <c r="X27" s="659"/>
      <c r="Y27" s="1093"/>
      <c r="Z27" s="1094"/>
      <c r="AA27" s="1094"/>
      <c r="AB27" s="1094"/>
      <c r="AC27" s="1094"/>
      <c r="AD27" s="1095">
        <f t="shared" si="16"/>
        <v>6100.2</v>
      </c>
      <c r="AE27" s="524">
        <f t="shared" si="17"/>
        <v>68.142028130225242</v>
      </c>
      <c r="AF27" s="524"/>
      <c r="AG27" s="1095">
        <f t="shared" si="18"/>
        <v>0</v>
      </c>
      <c r="AH27" s="1129">
        <v>3</v>
      </c>
      <c r="AI27" s="47">
        <f t="shared" si="19"/>
        <v>1943.3999999999996</v>
      </c>
    </row>
    <row r="28" spans="1:36" x14ac:dyDescent="0.25">
      <c r="A28" s="13">
        <v>6</v>
      </c>
      <c r="B28" s="13"/>
      <c r="C28" s="42" t="s">
        <v>233</v>
      </c>
      <c r="D28" s="705">
        <v>1994</v>
      </c>
      <c r="E28" s="705">
        <v>3</v>
      </c>
      <c r="F28" s="705">
        <v>24</v>
      </c>
      <c r="G28" s="705">
        <v>65</v>
      </c>
      <c r="H28" s="707">
        <v>1442.3</v>
      </c>
      <c r="I28" s="707">
        <v>129.6</v>
      </c>
      <c r="J28" s="715"/>
      <c r="K28" s="715"/>
      <c r="L28" s="1092">
        <v>10961.48</v>
      </c>
      <c r="M28" s="1092">
        <v>10858.56</v>
      </c>
      <c r="N28" s="1111"/>
      <c r="O28" s="1111"/>
      <c r="P28" s="655">
        <f>Q28+R28+S28+T28+U28+V28+W28+X28+Y28+Z28+AA28+AB28+AC28</f>
        <v>2264.5700000000002</v>
      </c>
      <c r="Q28" s="656">
        <v>2264.5700000000002</v>
      </c>
      <c r="R28" s="660"/>
      <c r="S28" s="660"/>
      <c r="T28" s="660"/>
      <c r="U28" s="660"/>
      <c r="V28" s="660"/>
      <c r="W28" s="660"/>
      <c r="X28" s="659"/>
      <c r="Y28" s="1093"/>
      <c r="Z28" s="1094"/>
      <c r="AA28" s="1094"/>
      <c r="AB28" s="1094"/>
      <c r="AC28" s="1094"/>
      <c r="AD28" s="1095">
        <f t="shared" si="16"/>
        <v>8696.91</v>
      </c>
      <c r="AE28" s="524">
        <f t="shared" si="17"/>
        <v>99.061075694158092</v>
      </c>
      <c r="AF28" s="524"/>
      <c r="AG28" s="1095">
        <f t="shared" si="18"/>
        <v>0.39252756014698748</v>
      </c>
      <c r="AH28" s="1129">
        <v>1.9</v>
      </c>
      <c r="AI28" s="47">
        <f t="shared" si="19"/>
        <v>102.92000000000007</v>
      </c>
    </row>
    <row r="29" spans="1:36" ht="15.75" thickBot="1" x14ac:dyDescent="0.3">
      <c r="A29" s="13">
        <v>7</v>
      </c>
      <c r="B29" s="13"/>
      <c r="C29" s="42" t="s">
        <v>234</v>
      </c>
      <c r="D29" s="705">
        <v>1989</v>
      </c>
      <c r="E29" s="705">
        <v>3</v>
      </c>
      <c r="F29" s="705">
        <v>24</v>
      </c>
      <c r="G29" s="705">
        <v>61</v>
      </c>
      <c r="H29" s="707">
        <v>1454.5</v>
      </c>
      <c r="I29" s="707">
        <v>129.6</v>
      </c>
      <c r="J29" s="715"/>
      <c r="K29" s="715"/>
      <c r="L29" s="1092">
        <v>11054.2</v>
      </c>
      <c r="M29" s="1092">
        <v>9757.98</v>
      </c>
      <c r="N29" s="1111"/>
      <c r="O29" s="1111"/>
      <c r="P29" s="655">
        <f>Q29+R29+S29+T29+U29+V29+W29+X29+Y29+Z29+AA29+AB29+AC29</f>
        <v>0</v>
      </c>
      <c r="Q29" s="656"/>
      <c r="R29" s="660"/>
      <c r="S29" s="660"/>
      <c r="T29" s="660"/>
      <c r="U29" s="660"/>
      <c r="V29" s="660"/>
      <c r="W29" s="660"/>
      <c r="X29" s="659"/>
      <c r="Y29" s="1093"/>
      <c r="Z29" s="1094"/>
      <c r="AA29" s="1094"/>
      <c r="AB29" s="1094"/>
      <c r="AC29" s="1094"/>
      <c r="AD29" s="1095">
        <f t="shared" si="16"/>
        <v>11054.2</v>
      </c>
      <c r="AE29" s="524">
        <f t="shared" si="17"/>
        <v>88.273959219120329</v>
      </c>
      <c r="AF29" s="524"/>
      <c r="AG29" s="1125">
        <f t="shared" si="18"/>
        <v>0</v>
      </c>
      <c r="AH29" s="1130">
        <v>1.9</v>
      </c>
      <c r="AI29" s="1133">
        <f t="shared" si="19"/>
        <v>1296.2200000000012</v>
      </c>
    </row>
    <row r="30" spans="1:36" ht="15.75" thickBot="1" x14ac:dyDescent="0.3">
      <c r="A30" s="195"/>
      <c r="B30" s="579"/>
      <c r="C30" s="196" t="s">
        <v>297</v>
      </c>
      <c r="D30" s="711"/>
      <c r="E30" s="711"/>
      <c r="F30" s="712">
        <f t="shared" ref="F30:R30" si="20">SUM(F25:F29)</f>
        <v>84</v>
      </c>
      <c r="G30" s="712">
        <f t="shared" si="20"/>
        <v>234</v>
      </c>
      <c r="H30" s="1104">
        <f t="shared" si="20"/>
        <v>4450.67</v>
      </c>
      <c r="I30" s="1104">
        <f t="shared" si="20"/>
        <v>332.4</v>
      </c>
      <c r="J30" s="1112"/>
      <c r="K30" s="1112"/>
      <c r="L30" s="1105">
        <f t="shared" si="20"/>
        <v>35649.800000000003</v>
      </c>
      <c r="M30" s="1105">
        <f t="shared" si="20"/>
        <v>30695.600000000002</v>
      </c>
      <c r="N30" s="1113"/>
      <c r="O30" s="1113"/>
      <c r="P30" s="1106">
        <f t="shared" si="20"/>
        <v>2264.5700000000002</v>
      </c>
      <c r="Q30" s="1107">
        <f t="shared" si="20"/>
        <v>2264.5700000000002</v>
      </c>
      <c r="R30" s="1108">
        <f t="shared" si="20"/>
        <v>0</v>
      </c>
      <c r="S30" s="1114"/>
      <c r="T30" s="1114"/>
      <c r="U30" s="1114"/>
      <c r="V30" s="1114"/>
      <c r="W30" s="1114"/>
      <c r="X30" s="1114">
        <f>SUM(X25:X29)</f>
        <v>0</v>
      </c>
      <c r="Y30" s="1115">
        <f t="shared" ref="Y30:AD30" si="21">SUM(Y25:Y29)</f>
        <v>0</v>
      </c>
      <c r="Z30" s="1116">
        <f t="shared" si="21"/>
        <v>0</v>
      </c>
      <c r="AA30" s="1110">
        <f t="shared" si="21"/>
        <v>0</v>
      </c>
      <c r="AB30" s="1110">
        <f t="shared" si="21"/>
        <v>0</v>
      </c>
      <c r="AC30" s="1110">
        <f t="shared" si="21"/>
        <v>0</v>
      </c>
      <c r="AD30" s="1110">
        <f t="shared" si="21"/>
        <v>33385.229999999996</v>
      </c>
      <c r="AE30" s="665">
        <f t="shared" si="17"/>
        <v>86.103147843746669</v>
      </c>
      <c r="AF30" s="1136"/>
      <c r="AG30" s="1137">
        <f t="shared" si="18"/>
        <v>0.12720388166276089</v>
      </c>
      <c r="AH30" s="1135"/>
      <c r="AI30" s="1138">
        <f t="shared" si="19"/>
        <v>4954.2000000000007</v>
      </c>
      <c r="AJ30" t="s">
        <v>180</v>
      </c>
    </row>
    <row r="31" spans="1:36" ht="15.75" customHeight="1" x14ac:dyDescent="0.25">
      <c r="A31" s="296"/>
      <c r="B31" s="296"/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  <c r="T31" s="296"/>
      <c r="U31" s="296"/>
      <c r="V31" s="296"/>
      <c r="W31" s="296"/>
      <c r="X31" s="296"/>
      <c r="Y31" s="250"/>
      <c r="Z31" s="250"/>
      <c r="AA31" s="250"/>
      <c r="AB31" s="250"/>
      <c r="AC31" s="250"/>
      <c r="AD31" s="250"/>
      <c r="AE31" s="250"/>
      <c r="AF31" s="250"/>
      <c r="AG31" s="250"/>
      <c r="AH31" s="250"/>
    </row>
    <row r="32" spans="1:36" ht="15" customHeight="1" x14ac:dyDescent="0.25">
      <c r="A32" s="296"/>
      <c r="B32" s="296"/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6"/>
      <c r="W32" s="296"/>
      <c r="X32" s="296"/>
      <c r="Y32" s="250"/>
      <c r="Z32" s="250"/>
      <c r="AA32" s="250"/>
      <c r="AB32" s="250"/>
      <c r="AC32" s="250"/>
      <c r="AD32" s="250"/>
      <c r="AE32" s="250"/>
      <c r="AF32" s="250"/>
      <c r="AG32" s="250"/>
      <c r="AH32" s="250"/>
    </row>
    <row r="33" spans="1:36" ht="15" customHeight="1" x14ac:dyDescent="0.25">
      <c r="A33" s="296"/>
      <c r="B33" s="296"/>
      <c r="C33" s="549" t="s">
        <v>619</v>
      </c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296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</row>
    <row r="34" spans="1:36" ht="15" customHeight="1" x14ac:dyDescent="0.25">
      <c r="A34" s="296"/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6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</row>
    <row r="35" spans="1:36" ht="26.25" customHeight="1" x14ac:dyDescent="0.25">
      <c r="A35" s="2017" t="s">
        <v>0</v>
      </c>
      <c r="B35" s="2020"/>
      <c r="C35" s="2017" t="s">
        <v>184</v>
      </c>
      <c r="D35" s="2017" t="s">
        <v>54</v>
      </c>
      <c r="E35" s="2017" t="s">
        <v>55</v>
      </c>
      <c r="F35" s="2017" t="s">
        <v>56</v>
      </c>
      <c r="G35" s="2017" t="s">
        <v>57</v>
      </c>
      <c r="H35" s="2017" t="s">
        <v>6</v>
      </c>
      <c r="I35" s="2020" t="s">
        <v>282</v>
      </c>
      <c r="J35" s="1089"/>
      <c r="K35" s="1089"/>
      <c r="L35" s="2249" t="s">
        <v>559</v>
      </c>
      <c r="M35" s="2250"/>
      <c r="N35" s="615"/>
      <c r="O35" s="615"/>
      <c r="P35" s="1987" t="s">
        <v>457</v>
      </c>
      <c r="Q35" s="2009" t="s">
        <v>370</v>
      </c>
      <c r="R35" s="1987" t="s">
        <v>333</v>
      </c>
      <c r="S35" s="2102" t="s">
        <v>477</v>
      </c>
      <c r="T35" s="2003" t="s">
        <v>475</v>
      </c>
      <c r="U35" s="2003" t="s">
        <v>10</v>
      </c>
      <c r="V35" s="2003" t="s">
        <v>476</v>
      </c>
      <c r="W35" s="2003" t="s">
        <v>309</v>
      </c>
      <c r="X35" s="2003" t="s">
        <v>319</v>
      </c>
      <c r="Y35" s="2194" t="s">
        <v>461</v>
      </c>
      <c r="Z35" s="2107" t="s">
        <v>338</v>
      </c>
      <c r="AA35" s="2009" t="s">
        <v>313</v>
      </c>
      <c r="AB35" s="2005" t="s">
        <v>569</v>
      </c>
      <c r="AC35" s="1987" t="s">
        <v>369</v>
      </c>
      <c r="AD35" s="1987" t="s">
        <v>175</v>
      </c>
      <c r="AE35" s="1987" t="s">
        <v>183</v>
      </c>
      <c r="AF35" s="1987"/>
      <c r="AG35" s="2251" t="s">
        <v>182</v>
      </c>
      <c r="AH35" s="2302" t="s">
        <v>544</v>
      </c>
      <c r="AI35" s="2257" t="s">
        <v>566</v>
      </c>
    </row>
    <row r="36" spans="1:36" ht="30" customHeight="1" x14ac:dyDescent="0.25">
      <c r="A36" s="2017"/>
      <c r="B36" s="2021"/>
      <c r="C36" s="2017"/>
      <c r="D36" s="2017"/>
      <c r="E36" s="2017"/>
      <c r="F36" s="2017"/>
      <c r="G36" s="2017"/>
      <c r="H36" s="2017"/>
      <c r="I36" s="2021"/>
      <c r="J36" s="1090"/>
      <c r="K36" s="1090"/>
      <c r="L36" s="51" t="s">
        <v>15</v>
      </c>
      <c r="M36" s="543" t="s">
        <v>16</v>
      </c>
      <c r="N36" s="616"/>
      <c r="O36" s="616"/>
      <c r="P36" s="1988"/>
      <c r="Q36" s="2009"/>
      <c r="R36" s="1988"/>
      <c r="S36" s="2102"/>
      <c r="T36" s="2004"/>
      <c r="U36" s="2002"/>
      <c r="V36" s="2004"/>
      <c r="W36" s="2004"/>
      <c r="X36" s="2004"/>
      <c r="Y36" s="2004"/>
      <c r="Z36" s="2107"/>
      <c r="AA36" s="2009"/>
      <c r="AB36" s="2099"/>
      <c r="AC36" s="2002"/>
      <c r="AD36" s="1988"/>
      <c r="AE36" s="1988"/>
      <c r="AF36" s="1988"/>
      <c r="AG36" s="2252"/>
      <c r="AH36" s="2303"/>
      <c r="AI36" s="2258"/>
    </row>
    <row r="37" spans="1:36" ht="15" customHeight="1" x14ac:dyDescent="0.25">
      <c r="A37" s="13">
        <v>1</v>
      </c>
      <c r="B37" s="13"/>
      <c r="C37" s="42" t="s">
        <v>228</v>
      </c>
      <c r="D37" s="705">
        <v>1967</v>
      </c>
      <c r="E37" s="705">
        <v>2</v>
      </c>
      <c r="F37" s="705">
        <v>12</v>
      </c>
      <c r="G37" s="705">
        <v>32</v>
      </c>
      <c r="H37" s="707">
        <v>506.67</v>
      </c>
      <c r="I37" s="707">
        <v>24.4</v>
      </c>
      <c r="J37" s="715"/>
      <c r="K37" s="715"/>
      <c r="L37" s="1092">
        <v>4161.42</v>
      </c>
      <c r="M37" s="1092">
        <v>2895.99</v>
      </c>
      <c r="N37" s="1111"/>
      <c r="O37" s="1111"/>
      <c r="P37" s="655">
        <f>Q37+R37+S37+T37+U37+V37+W37+X37+Y37+Z37+AA37+AB37+AC37</f>
        <v>1900.4785860878844</v>
      </c>
      <c r="Q37" s="656"/>
      <c r="R37" s="660"/>
      <c r="S37" s="660"/>
      <c r="T37" s="660"/>
      <c r="U37" s="660"/>
      <c r="V37" s="660"/>
      <c r="W37" s="660"/>
      <c r="X37" s="659"/>
      <c r="Y37" s="1093"/>
      <c r="Z37" s="1094"/>
      <c r="AA37" s="1122">
        <f>29138.84/449.68*I37</f>
        <v>1581.0969934175412</v>
      </c>
      <c r="AB37" s="1122">
        <f>AA37*0.202</f>
        <v>319.38159267034331</v>
      </c>
      <c r="AC37" s="1094"/>
      <c r="AD37" s="1095">
        <f>L37-P37</f>
        <v>2260.9414139121154</v>
      </c>
      <c r="AE37" s="524">
        <f>M37/L37*100</f>
        <v>69.59138947763023</v>
      </c>
      <c r="AF37" s="524"/>
      <c r="AG37" s="1095">
        <f>P37/H37/12</f>
        <v>0.31257665839170207</v>
      </c>
      <c r="AH37" s="1129">
        <v>2.0499999999999998</v>
      </c>
      <c r="AI37" s="47">
        <f>L37-M37</f>
        <v>1265.4300000000003</v>
      </c>
    </row>
    <row r="38" spans="1:36" ht="15" customHeight="1" x14ac:dyDescent="0.25">
      <c r="A38" s="13">
        <v>2</v>
      </c>
      <c r="B38" s="13"/>
      <c r="C38" s="42" t="s">
        <v>229</v>
      </c>
      <c r="D38" s="705">
        <v>1967</v>
      </c>
      <c r="E38" s="705">
        <v>2</v>
      </c>
      <c r="F38" s="705">
        <v>12</v>
      </c>
      <c r="G38" s="705">
        <v>38</v>
      </c>
      <c r="H38" s="707">
        <v>538.85</v>
      </c>
      <c r="I38" s="707">
        <v>24.4</v>
      </c>
      <c r="J38" s="715"/>
      <c r="K38" s="715"/>
      <c r="L38" s="1092">
        <v>4144.12</v>
      </c>
      <c r="M38" s="1092">
        <v>3628.97</v>
      </c>
      <c r="N38" s="1111"/>
      <c r="O38" s="1111"/>
      <c r="P38" s="655">
        <f t="shared" ref="P38:P41" si="22">Q38+R38+S38+T38+U38+V38+W38+X38+Y38+Z38+AA38+AB38+AC38</f>
        <v>1900.4785860878844</v>
      </c>
      <c r="Q38" s="656"/>
      <c r="R38" s="660"/>
      <c r="S38" s="660"/>
      <c r="T38" s="660"/>
      <c r="U38" s="660"/>
      <c r="V38" s="660"/>
      <c r="W38" s="660"/>
      <c r="X38" s="659"/>
      <c r="Y38" s="1093"/>
      <c r="Z38" s="1094"/>
      <c r="AA38" s="1122">
        <f t="shared" ref="AA38:AA41" si="23">29138.84/449.68*I38</f>
        <v>1581.0969934175412</v>
      </c>
      <c r="AB38" s="1122">
        <f t="shared" ref="AB38:AB41" si="24">AA38*0.202</f>
        <v>319.38159267034331</v>
      </c>
      <c r="AC38" s="1094"/>
      <c r="AD38" s="1095">
        <f t="shared" ref="AD38:AD41" si="25">L38-P38</f>
        <v>2243.6414139121152</v>
      </c>
      <c r="AE38" s="524">
        <f t="shared" ref="AE38:AE42" si="26">M38/L38*100</f>
        <v>87.569134098433437</v>
      </c>
      <c r="AF38" s="524"/>
      <c r="AG38" s="1095">
        <f t="shared" ref="AG38:AG42" si="27">P38/H38/12</f>
        <v>0.29390965112243422</v>
      </c>
      <c r="AH38" s="1129">
        <v>2.04</v>
      </c>
      <c r="AI38" s="47">
        <f t="shared" ref="AI38:AI42" si="28">L38-M38</f>
        <v>515.15000000000009</v>
      </c>
    </row>
    <row r="39" spans="1:36" ht="15" customHeight="1" x14ac:dyDescent="0.25">
      <c r="A39" s="13">
        <v>3</v>
      </c>
      <c r="B39" s="13"/>
      <c r="C39" s="42" t="s">
        <v>230</v>
      </c>
      <c r="D39" s="705">
        <v>1967</v>
      </c>
      <c r="E39" s="705">
        <v>2</v>
      </c>
      <c r="F39" s="705">
        <v>12</v>
      </c>
      <c r="G39" s="705">
        <v>38</v>
      </c>
      <c r="H39" s="707">
        <v>508.35</v>
      </c>
      <c r="I39" s="707">
        <v>24.08</v>
      </c>
      <c r="J39" s="715"/>
      <c r="K39" s="715"/>
      <c r="L39" s="1092">
        <v>7160.44</v>
      </c>
      <c r="M39" s="1092">
        <v>0</v>
      </c>
      <c r="N39" s="1111"/>
      <c r="O39" s="1111"/>
      <c r="P39" s="655">
        <f t="shared" si="22"/>
        <v>1875.5542767621419</v>
      </c>
      <c r="Q39" s="656"/>
      <c r="R39" s="660"/>
      <c r="S39" s="660"/>
      <c r="T39" s="660"/>
      <c r="U39" s="660"/>
      <c r="V39" s="660"/>
      <c r="W39" s="660"/>
      <c r="X39" s="659"/>
      <c r="Y39" s="1093"/>
      <c r="Z39" s="1094"/>
      <c r="AA39" s="1122">
        <f t="shared" si="23"/>
        <v>1560.3612951432128</v>
      </c>
      <c r="AB39" s="1122">
        <f t="shared" si="24"/>
        <v>315.19298161892902</v>
      </c>
      <c r="AC39" s="1094"/>
      <c r="AD39" s="1095">
        <f t="shared" si="25"/>
        <v>5284.8857232378577</v>
      </c>
      <c r="AE39" s="524">
        <f t="shared" si="26"/>
        <v>0</v>
      </c>
      <c r="AF39" s="524"/>
      <c r="AG39" s="1095">
        <f t="shared" si="27"/>
        <v>0.30745783363859247</v>
      </c>
      <c r="AH39" s="1129">
        <v>2.0499999999999998</v>
      </c>
      <c r="AI39" s="47">
        <f t="shared" si="28"/>
        <v>7160.44</v>
      </c>
    </row>
    <row r="40" spans="1:36" ht="15" customHeight="1" x14ac:dyDescent="0.25">
      <c r="A40" s="13">
        <v>4</v>
      </c>
      <c r="B40" s="13"/>
      <c r="C40" s="42" t="s">
        <v>233</v>
      </c>
      <c r="D40" s="705">
        <v>1994</v>
      </c>
      <c r="E40" s="705">
        <v>3</v>
      </c>
      <c r="F40" s="705">
        <v>24</v>
      </c>
      <c r="G40" s="705">
        <v>65</v>
      </c>
      <c r="H40" s="707">
        <v>1442.3</v>
      </c>
      <c r="I40" s="707">
        <v>188.4</v>
      </c>
      <c r="J40" s="715"/>
      <c r="K40" s="715"/>
      <c r="L40" s="1092">
        <v>11653.72</v>
      </c>
      <c r="M40" s="1092">
        <v>11544.32</v>
      </c>
      <c r="N40" s="1111"/>
      <c r="O40" s="1111"/>
      <c r="P40" s="655">
        <f t="shared" si="22"/>
        <v>14674.187115531044</v>
      </c>
      <c r="Q40" s="656"/>
      <c r="R40" s="660"/>
      <c r="S40" s="660"/>
      <c r="T40" s="660"/>
      <c r="U40" s="660"/>
      <c r="V40" s="660"/>
      <c r="W40" s="660"/>
      <c r="X40" s="659"/>
      <c r="Y40" s="1093"/>
      <c r="Z40" s="1094"/>
      <c r="AA40" s="1122">
        <f t="shared" si="23"/>
        <v>12208.142359010852</v>
      </c>
      <c r="AB40" s="1122">
        <f t="shared" si="24"/>
        <v>2466.0447565201921</v>
      </c>
      <c r="AC40" s="1094"/>
      <c r="AD40" s="1095">
        <f t="shared" si="25"/>
        <v>-3020.4671155310443</v>
      </c>
      <c r="AE40" s="524">
        <f t="shared" si="26"/>
        <v>99.061243963300996</v>
      </c>
      <c r="AF40" s="524"/>
      <c r="AG40" s="1095">
        <f t="shared" si="27"/>
        <v>0.84784644407838428</v>
      </c>
      <c r="AH40" s="1129">
        <v>2.02</v>
      </c>
      <c r="AI40" s="47">
        <f t="shared" si="28"/>
        <v>109.39999999999964</v>
      </c>
    </row>
    <row r="41" spans="1:36" ht="15" customHeight="1" thickBot="1" x14ac:dyDescent="0.3">
      <c r="A41" s="13">
        <v>5</v>
      </c>
      <c r="B41" s="13"/>
      <c r="C41" s="42" t="s">
        <v>234</v>
      </c>
      <c r="D41" s="705">
        <v>1989</v>
      </c>
      <c r="E41" s="705">
        <v>3</v>
      </c>
      <c r="F41" s="705">
        <v>24</v>
      </c>
      <c r="G41" s="705">
        <v>61</v>
      </c>
      <c r="H41" s="707">
        <v>1454.5</v>
      </c>
      <c r="I41" s="707">
        <v>188.4</v>
      </c>
      <c r="J41" s="715"/>
      <c r="K41" s="715"/>
      <c r="L41" s="1092">
        <v>11752.4</v>
      </c>
      <c r="M41" s="1092">
        <v>10375.35</v>
      </c>
      <c r="N41" s="1111"/>
      <c r="O41" s="1111"/>
      <c r="P41" s="655">
        <f t="shared" si="22"/>
        <v>14674.187115531044</v>
      </c>
      <c r="Q41" s="656"/>
      <c r="R41" s="660"/>
      <c r="S41" s="660"/>
      <c r="T41" s="660"/>
      <c r="U41" s="660"/>
      <c r="V41" s="660"/>
      <c r="W41" s="660"/>
      <c r="X41" s="659"/>
      <c r="Y41" s="1093"/>
      <c r="Z41" s="1094"/>
      <c r="AA41" s="1122">
        <f t="shared" si="23"/>
        <v>12208.142359010852</v>
      </c>
      <c r="AB41" s="1122">
        <f t="shared" si="24"/>
        <v>2466.0447565201921</v>
      </c>
      <c r="AC41" s="1094"/>
      <c r="AD41" s="1095">
        <f t="shared" si="25"/>
        <v>-2921.787115531044</v>
      </c>
      <c r="AE41" s="528">
        <f t="shared" si="26"/>
        <v>88.282818828494612</v>
      </c>
      <c r="AF41" s="528"/>
      <c r="AG41" s="1125">
        <f t="shared" si="27"/>
        <v>0.8407349097932304</v>
      </c>
      <c r="AH41" s="1130">
        <v>2.02</v>
      </c>
      <c r="AI41" s="47">
        <f t="shared" si="28"/>
        <v>1377.0499999999993</v>
      </c>
    </row>
    <row r="42" spans="1:36" ht="15" customHeight="1" thickBot="1" x14ac:dyDescent="0.3">
      <c r="A42" s="195"/>
      <c r="B42" s="579"/>
      <c r="C42" s="196" t="s">
        <v>297</v>
      </c>
      <c r="D42" s="711"/>
      <c r="E42" s="711"/>
      <c r="F42" s="712">
        <f t="shared" ref="F42:R42" si="29">SUM(F37:F41)</f>
        <v>84</v>
      </c>
      <c r="G42" s="712">
        <f t="shared" si="29"/>
        <v>234</v>
      </c>
      <c r="H42" s="1104">
        <f t="shared" si="29"/>
        <v>4450.67</v>
      </c>
      <c r="I42" s="1104">
        <f t="shared" si="29"/>
        <v>449.67999999999995</v>
      </c>
      <c r="J42" s="1112"/>
      <c r="K42" s="1112"/>
      <c r="L42" s="1105">
        <f t="shared" si="29"/>
        <v>38872.1</v>
      </c>
      <c r="M42" s="1105">
        <f t="shared" si="29"/>
        <v>28444.629999999997</v>
      </c>
      <c r="N42" s="1113"/>
      <c r="O42" s="1113"/>
      <c r="P42" s="1106">
        <f t="shared" si="29"/>
        <v>35024.885679999999</v>
      </c>
      <c r="Q42" s="1107">
        <f t="shared" si="29"/>
        <v>0</v>
      </c>
      <c r="R42" s="1108">
        <f t="shared" si="29"/>
        <v>0</v>
      </c>
      <c r="S42" s="1114"/>
      <c r="T42" s="1114"/>
      <c r="U42" s="1114"/>
      <c r="V42" s="1114"/>
      <c r="W42" s="1114"/>
      <c r="X42" s="1114">
        <f>SUM(X37:X41)</f>
        <v>0</v>
      </c>
      <c r="Y42" s="1115">
        <f t="shared" ref="Y42:AD42" si="30">SUM(Y37:Y41)</f>
        <v>0</v>
      </c>
      <c r="Z42" s="1116">
        <f t="shared" si="30"/>
        <v>0</v>
      </c>
      <c r="AA42" s="1110">
        <f t="shared" si="30"/>
        <v>29138.839999999997</v>
      </c>
      <c r="AB42" s="1110">
        <f t="shared" si="30"/>
        <v>5886.0456799999993</v>
      </c>
      <c r="AC42" s="1110">
        <f t="shared" si="30"/>
        <v>0</v>
      </c>
      <c r="AD42" s="1140">
        <f t="shared" si="30"/>
        <v>3847.2143199999991</v>
      </c>
      <c r="AE42" s="1141">
        <f t="shared" si="26"/>
        <v>73.174924946169611</v>
      </c>
      <c r="AF42" s="1109"/>
      <c r="AG42" s="1142">
        <f t="shared" si="27"/>
        <v>0.65579799745506484</v>
      </c>
      <c r="AH42" s="1135"/>
      <c r="AI42" s="1132">
        <f t="shared" si="28"/>
        <v>10427.470000000001</v>
      </c>
      <c r="AJ42" t="s">
        <v>180</v>
      </c>
    </row>
    <row r="43" spans="1:36" ht="15" customHeight="1" x14ac:dyDescent="0.25">
      <c r="A43" s="296"/>
      <c r="B43" s="296"/>
      <c r="C43" s="296"/>
      <c r="D43" s="296"/>
      <c r="E43" s="296"/>
      <c r="F43" s="296"/>
      <c r="G43" s="296"/>
      <c r="H43" s="296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50"/>
      <c r="Z43" s="250"/>
      <c r="AA43" s="1139">
        <f>AA42+AB42</f>
        <v>35024.885679999992</v>
      </c>
      <c r="AB43" s="250"/>
      <c r="AC43" s="250"/>
      <c r="AD43" s="250"/>
      <c r="AE43" s="250"/>
      <c r="AF43" s="250"/>
      <c r="AG43" s="250"/>
      <c r="AH43" s="250"/>
    </row>
    <row r="44" spans="1:36" ht="15" customHeight="1" x14ac:dyDescent="0.25">
      <c r="A44" s="296"/>
      <c r="B44" s="296"/>
      <c r="C44" s="296"/>
      <c r="D44" s="296"/>
      <c r="E44" s="563" t="s">
        <v>607</v>
      </c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</row>
    <row r="45" spans="1:36" ht="15" customHeight="1" x14ac:dyDescent="0.25">
      <c r="A45" s="296"/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550"/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50"/>
      <c r="Z45" s="250"/>
      <c r="AA45" s="250"/>
      <c r="AB45" s="250"/>
      <c r="AC45" s="250"/>
      <c r="AD45" s="250"/>
      <c r="AE45" s="250"/>
      <c r="AF45" s="250"/>
      <c r="AG45" s="250"/>
      <c r="AH45" s="250"/>
    </row>
    <row r="46" spans="1:36" ht="15" customHeight="1" x14ac:dyDescent="0.25">
      <c r="A46" s="296"/>
      <c r="B46" s="296"/>
      <c r="C46" s="296"/>
      <c r="D46" s="296"/>
      <c r="E46" s="296"/>
      <c r="F46" s="296"/>
      <c r="G46" s="296"/>
      <c r="H46" s="296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50"/>
      <c r="Z46" s="250"/>
      <c r="AA46" s="250"/>
      <c r="AB46" s="250"/>
      <c r="AC46" s="250"/>
      <c r="AD46" s="250"/>
      <c r="AE46" s="250"/>
      <c r="AF46" s="250"/>
      <c r="AG46" s="250"/>
      <c r="AH46" s="250"/>
    </row>
    <row r="47" spans="1:36" ht="15" customHeight="1" x14ac:dyDescent="0.25">
      <c r="A47" s="296"/>
      <c r="B47" s="296"/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50"/>
      <c r="Z47" s="250"/>
      <c r="AA47" s="250"/>
      <c r="AB47" s="250"/>
      <c r="AC47" s="250"/>
      <c r="AD47" s="250"/>
      <c r="AE47" s="250"/>
      <c r="AF47" s="250"/>
      <c r="AG47" s="250"/>
      <c r="AH47" s="250"/>
    </row>
    <row r="48" spans="1:36" ht="15" customHeight="1" x14ac:dyDescent="0.25">
      <c r="A48" s="296"/>
      <c r="B48" s="296"/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</row>
    <row r="49" spans="1:34" ht="15" customHeight="1" x14ac:dyDescent="0.25">
      <c r="A49" s="296"/>
      <c r="B49" s="296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</row>
    <row r="50" spans="1:34" ht="15" customHeight="1" x14ac:dyDescent="0.25">
      <c r="A50" s="296"/>
      <c r="B50" s="296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</row>
    <row r="51" spans="1:34" ht="15" customHeight="1" x14ac:dyDescent="0.25">
      <c r="A51" s="296"/>
      <c r="B51" s="296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/>
      <c r="V51" s="296"/>
      <c r="W51" s="296"/>
      <c r="X51" s="296"/>
      <c r="Y51" s="250"/>
      <c r="Z51" s="250"/>
      <c r="AA51" s="250"/>
      <c r="AB51" s="250"/>
      <c r="AC51" s="250"/>
      <c r="AD51" s="250"/>
      <c r="AE51" s="250"/>
      <c r="AF51" s="250"/>
      <c r="AG51" s="250"/>
      <c r="AH51" s="250"/>
    </row>
    <row r="52" spans="1:34" ht="15" customHeight="1" x14ac:dyDescent="0.25">
      <c r="A52" s="296"/>
      <c r="B52" s="296"/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</row>
    <row r="53" spans="1:34" ht="15" customHeight="1" x14ac:dyDescent="0.25">
      <c r="A53" s="296"/>
      <c r="B53" s="296"/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50"/>
      <c r="Z53" s="250"/>
      <c r="AA53" s="250"/>
      <c r="AB53" s="250"/>
      <c r="AC53" s="250"/>
      <c r="AD53" s="250"/>
      <c r="AE53" s="250"/>
      <c r="AF53" s="250"/>
      <c r="AG53" s="250"/>
      <c r="AH53" s="250"/>
    </row>
    <row r="54" spans="1:34" ht="15" customHeight="1" x14ac:dyDescent="0.25">
      <c r="A54" s="296"/>
      <c r="B54" s="296"/>
      <c r="C54" s="296"/>
      <c r="D54" s="296"/>
      <c r="E54" s="296"/>
      <c r="F54" s="296"/>
      <c r="G54" s="296"/>
      <c r="H54" s="296"/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50"/>
      <c r="Z54" s="250"/>
      <c r="AA54" s="250"/>
      <c r="AB54" s="250"/>
      <c r="AC54" s="250"/>
      <c r="AD54" s="250"/>
      <c r="AE54" s="250"/>
      <c r="AF54" s="250"/>
      <c r="AG54" s="250"/>
      <c r="AH54" s="250"/>
    </row>
    <row r="55" spans="1:34" ht="15" customHeight="1" x14ac:dyDescent="0.25">
      <c r="A55" s="296"/>
      <c r="B55" s="296"/>
      <c r="C55" s="296"/>
      <c r="D55" s="296"/>
      <c r="E55" s="296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</row>
    <row r="56" spans="1:34" ht="15" customHeight="1" x14ac:dyDescent="0.25">
      <c r="A56" s="296"/>
      <c r="B56" s="296"/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</row>
    <row r="57" spans="1:34" ht="15" customHeight="1" x14ac:dyDescent="0.25">
      <c r="A57" s="296"/>
      <c r="B57" s="296"/>
      <c r="C57" s="296"/>
      <c r="D57" s="296"/>
      <c r="E57" s="296"/>
      <c r="F57" s="296"/>
      <c r="G57" s="296"/>
      <c r="H57" s="296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50"/>
      <c r="Z57" s="250"/>
      <c r="AA57" s="250"/>
      <c r="AB57" s="250"/>
      <c r="AC57" s="250"/>
      <c r="AD57" s="250"/>
      <c r="AE57" s="250"/>
      <c r="AF57" s="250"/>
      <c r="AG57" s="250"/>
      <c r="AH57" s="250"/>
    </row>
    <row r="58" spans="1:34" ht="15" customHeight="1" x14ac:dyDescent="0.25">
      <c r="A58" s="296"/>
      <c r="B58" s="296"/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50"/>
      <c r="Z58" s="250"/>
      <c r="AA58" s="250"/>
      <c r="AB58" s="250"/>
      <c r="AC58" s="250"/>
      <c r="AD58" s="250"/>
      <c r="AE58" s="250"/>
      <c r="AF58" s="250"/>
      <c r="AG58" s="250"/>
      <c r="AH58" s="250"/>
    </row>
    <row r="59" spans="1:34" ht="15" customHeight="1" x14ac:dyDescent="0.25">
      <c r="A59" s="296"/>
      <c r="B59" s="296"/>
      <c r="C59" s="296"/>
      <c r="D59" s="296"/>
      <c r="E59" s="296"/>
      <c r="F59" s="296"/>
      <c r="G59" s="296"/>
      <c r="H59" s="296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50"/>
      <c r="Z59" s="250"/>
      <c r="AA59" s="250"/>
      <c r="AB59" s="250"/>
      <c r="AC59" s="250"/>
      <c r="AD59" s="250"/>
      <c r="AE59" s="250"/>
      <c r="AF59" s="250"/>
      <c r="AG59" s="250"/>
      <c r="AH59" s="250"/>
    </row>
    <row r="60" spans="1:34" ht="15" customHeight="1" x14ac:dyDescent="0.25">
      <c r="A60" s="296"/>
      <c r="B60" s="296"/>
      <c r="C60" s="296"/>
      <c r="D60" s="296"/>
      <c r="E60" s="296"/>
      <c r="F60" s="296"/>
      <c r="G60" s="296"/>
      <c r="H60" s="296"/>
      <c r="I60" s="296"/>
      <c r="J60" s="296"/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</row>
    <row r="61" spans="1:34" ht="15" customHeight="1" x14ac:dyDescent="0.25">
      <c r="A61" s="296"/>
      <c r="B61" s="296"/>
      <c r="C61" s="296"/>
      <c r="D61" s="296"/>
      <c r="E61" s="296"/>
      <c r="F61" s="296"/>
      <c r="G61" s="296"/>
      <c r="H61" s="296"/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50"/>
      <c r="Z61" s="250"/>
      <c r="AA61" s="250"/>
      <c r="AB61" s="250"/>
      <c r="AC61" s="250"/>
      <c r="AD61" s="250"/>
      <c r="AE61" s="250"/>
      <c r="AF61" s="250"/>
      <c r="AG61" s="250"/>
      <c r="AH61" s="250"/>
    </row>
    <row r="62" spans="1:34" ht="15" customHeight="1" x14ac:dyDescent="0.25">
      <c r="A62" s="296"/>
      <c r="B62" s="296"/>
      <c r="C62" s="296"/>
      <c r="D62" s="296"/>
      <c r="E62" s="296"/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</row>
    <row r="63" spans="1:34" ht="15" customHeight="1" x14ac:dyDescent="0.25">
      <c r="A63" s="296"/>
      <c r="B63" s="296"/>
      <c r="C63" s="296"/>
      <c r="D63" s="296"/>
      <c r="E63" s="296"/>
      <c r="F63" s="296"/>
      <c r="G63" s="296"/>
      <c r="H63" s="296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50"/>
      <c r="Z63" s="250"/>
      <c r="AA63" s="250"/>
      <c r="AB63" s="250"/>
      <c r="AC63" s="250"/>
      <c r="AD63" s="250"/>
      <c r="AE63" s="250"/>
      <c r="AF63" s="250"/>
      <c r="AG63" s="250"/>
      <c r="AH63" s="250"/>
    </row>
    <row r="64" spans="1:34" ht="15" customHeight="1" x14ac:dyDescent="0.25">
      <c r="A64" s="296"/>
      <c r="B64" s="296"/>
      <c r="C64" s="296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</row>
    <row r="65" spans="1:34" x14ac:dyDescent="0.25">
      <c r="A65" s="189"/>
      <c r="B65" s="189"/>
      <c r="C65" s="190" t="s">
        <v>298</v>
      </c>
      <c r="D65" s="191"/>
      <c r="E65" s="191"/>
      <c r="F65" s="191"/>
      <c r="G65" s="191"/>
      <c r="H65" s="192"/>
      <c r="I65" s="192"/>
      <c r="J65" s="192"/>
      <c r="K65" s="192"/>
      <c r="L65" s="193"/>
      <c r="M65" s="193"/>
      <c r="N65" s="193"/>
      <c r="O65" s="193"/>
      <c r="P65" s="145"/>
      <c r="Q65" s="145"/>
      <c r="R65" s="145"/>
      <c r="S65" s="145"/>
      <c r="T65" s="145"/>
      <c r="U65" s="145"/>
      <c r="V65" s="145"/>
      <c r="W65" s="145"/>
      <c r="X65" s="146"/>
      <c r="Y65" s="250"/>
      <c r="Z65" s="250"/>
      <c r="AA65" s="250"/>
      <c r="AB65" s="250"/>
      <c r="AC65" s="250"/>
      <c r="AD65" s="250"/>
      <c r="AE65" s="250"/>
      <c r="AF65" s="250"/>
      <c r="AG65" s="250"/>
      <c r="AH65" s="250"/>
    </row>
    <row r="66" spans="1:34" x14ac:dyDescent="0.25">
      <c r="A66" s="13">
        <v>1</v>
      </c>
      <c r="B66" s="13"/>
      <c r="C66" s="42" t="s">
        <v>228</v>
      </c>
      <c r="D66" s="13">
        <v>1967</v>
      </c>
      <c r="E66" s="13">
        <v>2</v>
      </c>
      <c r="F66" s="13">
        <v>12</v>
      </c>
      <c r="G66" s="13">
        <v>31</v>
      </c>
      <c r="H66" s="121">
        <v>506.36</v>
      </c>
      <c r="I66" s="121">
        <v>24.4</v>
      </c>
      <c r="J66" s="121"/>
      <c r="K66" s="121"/>
      <c r="L66" s="432">
        <v>11248.2</v>
      </c>
      <c r="M66" s="432">
        <v>9310.0300000000007</v>
      </c>
      <c r="N66" s="432"/>
      <c r="O66" s="432"/>
      <c r="P66" s="26">
        <f>Q66+R66+S66+T66</f>
        <v>6264.5</v>
      </c>
      <c r="Q66" s="27">
        <v>6264.5</v>
      </c>
      <c r="R66" s="27"/>
      <c r="S66" s="27"/>
      <c r="T66" s="27"/>
      <c r="U66" s="27">
        <f>L66-P66</f>
        <v>4983.7000000000007</v>
      </c>
      <c r="V66" s="27">
        <f>M66/L66*100</f>
        <v>82.769065272665856</v>
      </c>
      <c r="W66" s="27">
        <f>P66/H66/12</f>
        <v>1.0309694025331122</v>
      </c>
      <c r="X66" s="483">
        <v>1.85</v>
      </c>
      <c r="Y66" s="250"/>
      <c r="Z66" s="250"/>
      <c r="AA66" s="250"/>
      <c r="AB66" s="250"/>
      <c r="AC66" s="250"/>
      <c r="AD66" s="250"/>
      <c r="AE66" s="250"/>
      <c r="AF66" s="250"/>
      <c r="AG66" s="250"/>
      <c r="AH66" s="250"/>
    </row>
    <row r="67" spans="1:34" x14ac:dyDescent="0.25">
      <c r="A67" s="13">
        <v>2</v>
      </c>
      <c r="B67" s="13"/>
      <c r="C67" s="42" t="s">
        <v>229</v>
      </c>
      <c r="D67" s="13">
        <v>1967</v>
      </c>
      <c r="E67" s="13">
        <v>2</v>
      </c>
      <c r="F67" s="13">
        <v>12</v>
      </c>
      <c r="G67" s="13">
        <v>36</v>
      </c>
      <c r="H67" s="121">
        <v>538.85</v>
      </c>
      <c r="I67" s="121">
        <v>24.4</v>
      </c>
      <c r="J67" s="121"/>
      <c r="K67" s="121"/>
      <c r="L67" s="432">
        <v>11345.04</v>
      </c>
      <c r="M67" s="432">
        <v>9375.0400000000009</v>
      </c>
      <c r="N67" s="432"/>
      <c r="O67" s="432"/>
      <c r="P67" s="26">
        <f t="shared" ref="P67:P73" si="31">Q67+R67+S67+T67</f>
        <v>0</v>
      </c>
      <c r="Q67" s="27"/>
      <c r="R67" s="27"/>
      <c r="S67" s="27"/>
      <c r="T67" s="27"/>
      <c r="U67" s="27">
        <f t="shared" ref="U67:U74" si="32">L67-P67</f>
        <v>11345.04</v>
      </c>
      <c r="V67" s="27">
        <f t="shared" ref="V67:V74" si="33">M67/L67*100</f>
        <v>82.63558347965278</v>
      </c>
      <c r="W67" s="27">
        <f t="shared" ref="W67:W74" si="34">P67/H67/12</f>
        <v>0</v>
      </c>
      <c r="X67" s="483">
        <v>1.86</v>
      </c>
      <c r="Y67" s="250"/>
      <c r="Z67" s="250"/>
      <c r="AA67" s="250"/>
      <c r="AB67" s="250"/>
      <c r="AC67" s="250"/>
      <c r="AD67" s="250"/>
      <c r="AE67" s="250"/>
      <c r="AF67" s="250"/>
      <c r="AG67" s="250"/>
      <c r="AH67" s="250"/>
    </row>
    <row r="68" spans="1:34" x14ac:dyDescent="0.25">
      <c r="A68" s="13">
        <v>3</v>
      </c>
      <c r="B68" s="13"/>
      <c r="C68" s="45" t="s">
        <v>231</v>
      </c>
      <c r="D68" s="36">
        <v>1990</v>
      </c>
      <c r="E68" s="36">
        <v>1</v>
      </c>
      <c r="F68" s="36">
        <v>1</v>
      </c>
      <c r="G68" s="36">
        <v>6</v>
      </c>
      <c r="H68" s="121">
        <v>63.7</v>
      </c>
      <c r="I68" s="121"/>
      <c r="J68" s="121"/>
      <c r="K68" s="121"/>
      <c r="L68" s="432">
        <v>221.7</v>
      </c>
      <c r="M68" s="432">
        <v>41.43</v>
      </c>
      <c r="N68" s="432"/>
      <c r="O68" s="432"/>
      <c r="P68" s="26">
        <f t="shared" si="31"/>
        <v>0</v>
      </c>
      <c r="Q68" s="144"/>
      <c r="R68" s="27"/>
      <c r="S68" s="144"/>
      <c r="T68" s="144"/>
      <c r="U68" s="27">
        <f t="shared" si="32"/>
        <v>221.7</v>
      </c>
      <c r="V68" s="27">
        <f t="shared" si="33"/>
        <v>18.68741542625169</v>
      </c>
      <c r="W68" s="27">
        <f t="shared" si="34"/>
        <v>0</v>
      </c>
      <c r="X68" s="402"/>
      <c r="Y68" s="250"/>
      <c r="Z68" s="250"/>
      <c r="AA68" s="250"/>
      <c r="AB68" s="250"/>
      <c r="AC68" s="250"/>
      <c r="AD68" s="250"/>
      <c r="AE68" s="250"/>
      <c r="AF68" s="250"/>
      <c r="AG68" s="250"/>
      <c r="AH68" s="250"/>
    </row>
    <row r="69" spans="1:34" x14ac:dyDescent="0.25">
      <c r="A69" s="13">
        <v>4</v>
      </c>
      <c r="B69" s="13"/>
      <c r="C69" s="42" t="s">
        <v>230</v>
      </c>
      <c r="D69" s="13">
        <v>1967</v>
      </c>
      <c r="E69" s="13">
        <v>2</v>
      </c>
      <c r="F69" s="13">
        <v>12</v>
      </c>
      <c r="G69" s="13">
        <v>36</v>
      </c>
      <c r="H69" s="121">
        <v>508.35</v>
      </c>
      <c r="I69" s="121">
        <v>24.4</v>
      </c>
      <c r="J69" s="121"/>
      <c r="K69" s="121"/>
      <c r="L69" s="432">
        <v>11285.64</v>
      </c>
      <c r="M69" s="432">
        <v>10802.96</v>
      </c>
      <c r="N69" s="432"/>
      <c r="O69" s="432"/>
      <c r="P69" s="26">
        <f t="shared" si="31"/>
        <v>3022.08</v>
      </c>
      <c r="Q69" s="27">
        <v>3022.08</v>
      </c>
      <c r="R69" s="27"/>
      <c r="S69" s="27"/>
      <c r="T69" s="27"/>
      <c r="U69" s="27">
        <f t="shared" si="32"/>
        <v>8263.56</v>
      </c>
      <c r="V69" s="27">
        <f t="shared" si="33"/>
        <v>95.723060455587799</v>
      </c>
      <c r="W69" s="27">
        <f t="shared" si="34"/>
        <v>0.4954067079767876</v>
      </c>
      <c r="X69" s="483"/>
      <c r="Y69" s="250"/>
      <c r="Z69" s="250"/>
      <c r="AA69" s="250"/>
      <c r="AB69" s="250"/>
      <c r="AC69" s="250"/>
      <c r="AD69" s="250"/>
      <c r="AE69" s="250"/>
      <c r="AF69" s="250"/>
      <c r="AG69" s="250"/>
      <c r="AH69" s="250"/>
    </row>
    <row r="70" spans="1:34" x14ac:dyDescent="0.25">
      <c r="A70" s="13">
        <v>5</v>
      </c>
      <c r="B70" s="13"/>
      <c r="C70" s="45" t="s">
        <v>232</v>
      </c>
      <c r="D70" s="36">
        <v>1990</v>
      </c>
      <c r="E70" s="36">
        <v>1</v>
      </c>
      <c r="F70" s="36">
        <v>1</v>
      </c>
      <c r="G70" s="36">
        <v>9</v>
      </c>
      <c r="H70" s="121">
        <v>72.5</v>
      </c>
      <c r="I70" s="121"/>
      <c r="J70" s="121"/>
      <c r="K70" s="121"/>
      <c r="L70" s="432">
        <v>252.3</v>
      </c>
      <c r="M70" s="432">
        <v>147.41</v>
      </c>
      <c r="N70" s="432"/>
      <c r="O70" s="432"/>
      <c r="P70" s="26">
        <f t="shared" si="31"/>
        <v>0</v>
      </c>
      <c r="Q70" s="144"/>
      <c r="R70" s="27"/>
      <c r="S70" s="144"/>
      <c r="T70" s="144"/>
      <c r="U70" s="27">
        <f t="shared" si="32"/>
        <v>252.3</v>
      </c>
      <c r="V70" s="27">
        <f t="shared" si="33"/>
        <v>58.426476416963922</v>
      </c>
      <c r="W70" s="27">
        <f t="shared" si="34"/>
        <v>0</v>
      </c>
      <c r="X70" s="402"/>
      <c r="Y70" s="250"/>
      <c r="Z70" s="250"/>
      <c r="AA70" s="250"/>
      <c r="AB70" s="250"/>
      <c r="AC70" s="250"/>
      <c r="AD70" s="250"/>
      <c r="AE70" s="250"/>
      <c r="AF70" s="250"/>
      <c r="AG70" s="250"/>
      <c r="AH70" s="250"/>
    </row>
    <row r="71" spans="1:34" x14ac:dyDescent="0.25">
      <c r="A71" s="13">
        <v>6</v>
      </c>
      <c r="B71" s="13"/>
      <c r="C71" s="42" t="s">
        <v>233</v>
      </c>
      <c r="D71" s="13">
        <v>1994</v>
      </c>
      <c r="E71" s="13">
        <v>3</v>
      </c>
      <c r="F71" s="13">
        <v>24</v>
      </c>
      <c r="G71" s="13">
        <v>67</v>
      </c>
      <c r="H71" s="121">
        <v>1443</v>
      </c>
      <c r="I71" s="121">
        <v>129.6</v>
      </c>
      <c r="J71" s="121"/>
      <c r="K71" s="121"/>
      <c r="L71" s="432">
        <v>32637.7</v>
      </c>
      <c r="M71" s="432">
        <v>31002.48</v>
      </c>
      <c r="N71" s="432"/>
      <c r="O71" s="432"/>
      <c r="P71" s="26">
        <f t="shared" si="31"/>
        <v>24856.66</v>
      </c>
      <c r="Q71" s="27">
        <v>7354.66</v>
      </c>
      <c r="R71" s="27"/>
      <c r="S71" s="27"/>
      <c r="T71" s="27">
        <v>17502</v>
      </c>
      <c r="U71" s="27">
        <f t="shared" si="32"/>
        <v>7781.0400000000009</v>
      </c>
      <c r="V71" s="27">
        <f t="shared" si="33"/>
        <v>94.989781755454587</v>
      </c>
      <c r="W71" s="27">
        <f t="shared" si="34"/>
        <v>1.4354735504735505</v>
      </c>
      <c r="X71" s="483">
        <v>1.9</v>
      </c>
      <c r="Y71" s="250"/>
      <c r="Z71" s="250"/>
      <c r="AA71" s="250"/>
      <c r="AB71" s="250"/>
      <c r="AC71" s="250"/>
      <c r="AD71" s="250"/>
      <c r="AE71" s="250"/>
      <c r="AF71" s="250"/>
      <c r="AG71" s="250"/>
      <c r="AH71" s="250"/>
    </row>
    <row r="72" spans="1:34" x14ac:dyDescent="0.25">
      <c r="A72" s="13">
        <v>7</v>
      </c>
      <c r="B72" s="13"/>
      <c r="C72" s="42" t="s">
        <v>234</v>
      </c>
      <c r="D72" s="13">
        <v>1989</v>
      </c>
      <c r="E72" s="13">
        <v>3</v>
      </c>
      <c r="F72" s="13">
        <v>24</v>
      </c>
      <c r="G72" s="13">
        <v>55</v>
      </c>
      <c r="H72" s="121">
        <v>1454.5</v>
      </c>
      <c r="I72" s="121">
        <v>129.6</v>
      </c>
      <c r="J72" s="121"/>
      <c r="K72" s="121"/>
      <c r="L72" s="432">
        <v>33162.6</v>
      </c>
      <c r="M72" s="432">
        <v>31126.39</v>
      </c>
      <c r="N72" s="432"/>
      <c r="O72" s="432"/>
      <c r="P72" s="26">
        <f t="shared" si="31"/>
        <v>26006.9</v>
      </c>
      <c r="Q72" s="27">
        <v>8504.9</v>
      </c>
      <c r="R72" s="27"/>
      <c r="S72" s="27"/>
      <c r="T72" s="27">
        <v>17502</v>
      </c>
      <c r="U72" s="27">
        <f t="shared" si="32"/>
        <v>7155.6999999999971</v>
      </c>
      <c r="V72" s="27">
        <f t="shared" si="33"/>
        <v>93.859920512866907</v>
      </c>
      <c r="W72" s="27">
        <f t="shared" si="34"/>
        <v>1.4900252091211186</v>
      </c>
      <c r="X72" s="483">
        <v>1.9</v>
      </c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</row>
    <row r="73" spans="1:34" ht="15.75" thickBot="1" x14ac:dyDescent="0.3">
      <c r="A73" s="187">
        <v>8</v>
      </c>
      <c r="B73" s="187"/>
      <c r="C73" s="188" t="s">
        <v>235</v>
      </c>
      <c r="D73" s="182">
        <v>1964</v>
      </c>
      <c r="E73" s="182">
        <v>1</v>
      </c>
      <c r="F73" s="182">
        <v>2</v>
      </c>
      <c r="G73" s="182">
        <v>0</v>
      </c>
      <c r="H73" s="183">
        <v>76.400000000000006</v>
      </c>
      <c r="I73" s="183"/>
      <c r="J73" s="183"/>
      <c r="K73" s="183"/>
      <c r="L73" s="432">
        <v>242.94</v>
      </c>
      <c r="M73" s="432">
        <v>364.06</v>
      </c>
      <c r="N73" s="184"/>
      <c r="O73" s="184"/>
      <c r="P73" s="203">
        <f t="shared" si="31"/>
        <v>0</v>
      </c>
      <c r="Q73" s="185"/>
      <c r="R73" s="401"/>
      <c r="S73" s="185"/>
      <c r="T73" s="185"/>
      <c r="U73" s="401">
        <f t="shared" si="32"/>
        <v>242.94</v>
      </c>
      <c r="V73" s="401">
        <f t="shared" si="33"/>
        <v>149.85593150572157</v>
      </c>
      <c r="W73" s="401">
        <f t="shared" si="34"/>
        <v>0</v>
      </c>
      <c r="X73" s="404"/>
      <c r="Y73" s="250"/>
      <c r="Z73" s="250"/>
      <c r="AA73" s="250"/>
      <c r="AB73" s="250"/>
      <c r="AC73" s="250"/>
      <c r="AD73" s="250"/>
      <c r="AE73" s="250"/>
      <c r="AF73" s="250"/>
      <c r="AG73" s="250"/>
      <c r="AH73" s="250"/>
    </row>
    <row r="74" spans="1:34" ht="15.75" thickBot="1" x14ac:dyDescent="0.3">
      <c r="A74" s="195"/>
      <c r="B74" s="579"/>
      <c r="C74" s="196" t="s">
        <v>297</v>
      </c>
      <c r="D74" s="197"/>
      <c r="E74" s="197"/>
      <c r="F74" s="217">
        <f t="shared" ref="F74:M74" si="35">SUM(F66:F73)</f>
        <v>88</v>
      </c>
      <c r="G74" s="217">
        <f t="shared" si="35"/>
        <v>240</v>
      </c>
      <c r="H74" s="218">
        <f t="shared" si="35"/>
        <v>4663.66</v>
      </c>
      <c r="I74" s="218">
        <f t="shared" si="35"/>
        <v>332.4</v>
      </c>
      <c r="J74" s="218"/>
      <c r="K74" s="218"/>
      <c r="L74" s="315">
        <f t="shared" si="35"/>
        <v>100396.12</v>
      </c>
      <c r="M74" s="315">
        <f t="shared" si="35"/>
        <v>92169.799999999988</v>
      </c>
      <c r="N74" s="1086"/>
      <c r="O74" s="1086"/>
      <c r="P74" s="484">
        <f>SUM(P66:P73)</f>
        <v>60150.14</v>
      </c>
      <c r="Q74" s="485">
        <f>SUM(Q66:Q73)</f>
        <v>25146.14</v>
      </c>
      <c r="R74" s="200"/>
      <c r="S74" s="199"/>
      <c r="T74" s="429">
        <f>SUM(T66:T73)</f>
        <v>35004</v>
      </c>
      <c r="U74" s="435">
        <f t="shared" si="32"/>
        <v>40245.979999999996</v>
      </c>
      <c r="V74" s="435">
        <f t="shared" si="33"/>
        <v>91.806137528023982</v>
      </c>
      <c r="W74" s="435">
        <f t="shared" si="34"/>
        <v>1.0748021225103603</v>
      </c>
      <c r="X74" s="201"/>
      <c r="Y74" s="250"/>
      <c r="Z74" s="250"/>
      <c r="AA74" s="250"/>
      <c r="AB74" s="250"/>
      <c r="AC74" s="250"/>
      <c r="AD74" s="250"/>
      <c r="AE74" s="250"/>
      <c r="AF74" s="250"/>
      <c r="AG74" s="250"/>
      <c r="AH74" s="250"/>
    </row>
    <row r="75" spans="1:34" x14ac:dyDescent="0.25">
      <c r="A75" s="189"/>
      <c r="B75" s="189"/>
      <c r="C75" s="190" t="s">
        <v>300</v>
      </c>
      <c r="D75" s="191"/>
      <c r="E75" s="191"/>
      <c r="F75" s="191"/>
      <c r="G75" s="191"/>
      <c r="H75" s="192"/>
      <c r="I75" s="192"/>
      <c r="J75" s="192"/>
      <c r="K75" s="192"/>
      <c r="L75" s="193"/>
      <c r="M75" s="193"/>
      <c r="N75" s="193"/>
      <c r="O75" s="193"/>
      <c r="P75" s="145"/>
      <c r="Q75" s="145"/>
      <c r="R75" s="28"/>
      <c r="S75" s="145"/>
      <c r="T75" s="145"/>
      <c r="U75" s="145"/>
      <c r="V75" s="145"/>
      <c r="W75" s="145"/>
      <c r="X75" s="146"/>
      <c r="Y75" s="250"/>
      <c r="Z75" s="250"/>
      <c r="AA75" s="250"/>
      <c r="AB75" s="250"/>
      <c r="AC75" s="250"/>
      <c r="AD75" s="250"/>
      <c r="AE75" s="250"/>
      <c r="AF75" s="250"/>
      <c r="AG75" s="250"/>
      <c r="AH75" s="250"/>
    </row>
    <row r="76" spans="1:34" x14ac:dyDescent="0.25">
      <c r="A76" s="13">
        <v>1</v>
      </c>
      <c r="B76" s="13"/>
      <c r="C76" s="42" t="s">
        <v>236</v>
      </c>
      <c r="D76" s="13">
        <v>1970</v>
      </c>
      <c r="E76" s="57">
        <v>2</v>
      </c>
      <c r="F76" s="57">
        <v>12</v>
      </c>
      <c r="G76" s="57">
        <v>35</v>
      </c>
      <c r="H76" s="219">
        <v>489.9</v>
      </c>
      <c r="I76" s="121"/>
      <c r="J76" s="121"/>
      <c r="K76" s="121"/>
      <c r="L76" s="432">
        <v>275.04000000000002</v>
      </c>
      <c r="M76" s="432">
        <v>156.87</v>
      </c>
      <c r="N76" s="432"/>
      <c r="O76" s="432"/>
      <c r="P76" s="26">
        <v>842</v>
      </c>
      <c r="Q76" s="27">
        <v>842</v>
      </c>
      <c r="R76" s="27"/>
      <c r="S76" s="27"/>
      <c r="T76" s="27"/>
      <c r="U76" s="27">
        <f>L76-P76</f>
        <v>-566.96</v>
      </c>
      <c r="V76" s="27">
        <f>M76/L76*100</f>
        <v>57.035340314136121</v>
      </c>
      <c r="W76" s="27">
        <f>P76/H76/12</f>
        <v>0.14322650881132204</v>
      </c>
      <c r="X76" s="483"/>
      <c r="Y76" s="250"/>
      <c r="Z76" s="250"/>
      <c r="AA76" s="250"/>
      <c r="AB76" s="250"/>
      <c r="AC76" s="250"/>
      <c r="AD76" s="250"/>
      <c r="AE76" s="250"/>
      <c r="AF76" s="250"/>
      <c r="AG76" s="250"/>
      <c r="AH76" s="250"/>
    </row>
    <row r="77" spans="1:34" x14ac:dyDescent="0.25">
      <c r="A77" s="13"/>
      <c r="B77" s="13"/>
      <c r="C77" s="42"/>
      <c r="D77" s="13"/>
      <c r="E77" s="13"/>
      <c r="F77" s="13"/>
      <c r="G77" s="13"/>
      <c r="H77" s="121"/>
      <c r="I77" s="121"/>
      <c r="J77" s="121"/>
      <c r="K77" s="121"/>
      <c r="L77" s="432"/>
      <c r="M77" s="432"/>
      <c r="N77" s="432"/>
      <c r="O77" s="432"/>
      <c r="P77" s="26"/>
      <c r="Q77" s="27"/>
      <c r="R77" s="27"/>
      <c r="S77" s="27"/>
      <c r="T77" s="27"/>
      <c r="U77" s="27"/>
      <c r="V77" s="27"/>
      <c r="W77" s="27"/>
      <c r="X77" s="483"/>
      <c r="Y77" s="250"/>
      <c r="Z77" s="250"/>
      <c r="AA77" s="250"/>
      <c r="AB77" s="250"/>
      <c r="AC77" s="250"/>
      <c r="AD77" s="250"/>
      <c r="AE77" s="250"/>
      <c r="AF77" s="250"/>
      <c r="AG77" s="250"/>
      <c r="AH77" s="250"/>
    </row>
    <row r="78" spans="1:34" x14ac:dyDescent="0.25">
      <c r="A78" s="13"/>
      <c r="B78" s="13"/>
      <c r="C78" s="181" t="s">
        <v>301</v>
      </c>
      <c r="D78" s="13"/>
      <c r="E78" s="13"/>
      <c r="F78" s="13"/>
      <c r="G78" s="13"/>
      <c r="H78" s="121"/>
      <c r="I78" s="121"/>
      <c r="J78" s="121"/>
      <c r="K78" s="121"/>
      <c r="L78" s="432"/>
      <c r="M78" s="432"/>
      <c r="N78" s="432"/>
      <c r="O78" s="432"/>
      <c r="P78" s="26"/>
      <c r="Q78" s="27"/>
      <c r="R78" s="27"/>
      <c r="S78" s="27"/>
      <c r="T78" s="27"/>
      <c r="U78" s="27"/>
      <c r="V78" s="27"/>
      <c r="W78" s="27"/>
      <c r="X78" s="483"/>
      <c r="Y78" s="250"/>
      <c r="Z78" s="250"/>
      <c r="AA78" s="250"/>
      <c r="AB78" s="250"/>
      <c r="AC78" s="250"/>
      <c r="AD78" s="250"/>
      <c r="AE78" s="250"/>
      <c r="AF78" s="250"/>
      <c r="AG78" s="250"/>
      <c r="AH78" s="250"/>
    </row>
    <row r="79" spans="1:34" x14ac:dyDescent="0.25">
      <c r="A79" s="13">
        <v>1</v>
      </c>
      <c r="B79" s="13"/>
      <c r="C79" s="42" t="s">
        <v>237</v>
      </c>
      <c r="D79" s="13">
        <v>1964</v>
      </c>
      <c r="E79" s="13">
        <v>2</v>
      </c>
      <c r="F79" s="13">
        <v>12</v>
      </c>
      <c r="G79" s="13">
        <v>35</v>
      </c>
      <c r="H79" s="121">
        <v>503.3</v>
      </c>
      <c r="I79" s="121"/>
      <c r="J79" s="121"/>
      <c r="K79" s="121"/>
      <c r="L79" s="432">
        <v>9783.9599999999991</v>
      </c>
      <c r="M79" s="432">
        <v>9441.82</v>
      </c>
      <c r="N79" s="432"/>
      <c r="O79" s="432"/>
      <c r="P79" s="26">
        <f>Q79</f>
        <v>138</v>
      </c>
      <c r="Q79" s="27">
        <v>138</v>
      </c>
      <c r="R79" s="27"/>
      <c r="S79" s="27"/>
      <c r="T79" s="27"/>
      <c r="U79" s="27">
        <f t="shared" ref="U79:U84" si="36">L79-P79</f>
        <v>9645.9599999999991</v>
      </c>
      <c r="V79" s="27">
        <f t="shared" ref="V79:V84" si="37">M79/L79*100</f>
        <v>96.503051933981737</v>
      </c>
      <c r="W79" s="27">
        <f t="shared" ref="W79:W84" si="38">P79/H79/12</f>
        <v>2.2849195310947742E-2</v>
      </c>
      <c r="X79" s="483"/>
      <c r="Y79" s="250"/>
      <c r="Z79" s="250"/>
      <c r="AA79" s="250"/>
      <c r="AB79" s="250"/>
      <c r="AC79" s="250"/>
      <c r="AD79" s="250"/>
      <c r="AE79" s="250"/>
      <c r="AF79" s="250"/>
      <c r="AG79" s="250"/>
      <c r="AH79" s="250"/>
    </row>
    <row r="80" spans="1:34" ht="15.75" thickBot="1" x14ac:dyDescent="0.3">
      <c r="A80" s="187">
        <v>2</v>
      </c>
      <c r="B80" s="187"/>
      <c r="C80" s="202" t="s">
        <v>238</v>
      </c>
      <c r="D80" s="187">
        <v>1967</v>
      </c>
      <c r="E80" s="187">
        <v>2</v>
      </c>
      <c r="F80" s="187">
        <v>12</v>
      </c>
      <c r="G80" s="187">
        <v>29</v>
      </c>
      <c r="H80" s="183">
        <v>501.4</v>
      </c>
      <c r="I80" s="183"/>
      <c r="J80" s="183"/>
      <c r="K80" s="183"/>
      <c r="L80" s="184">
        <v>9747.24</v>
      </c>
      <c r="M80" s="184">
        <v>9295.5300000000007</v>
      </c>
      <c r="N80" s="184"/>
      <c r="O80" s="184"/>
      <c r="P80" s="203">
        <f>Q80</f>
        <v>4087.9</v>
      </c>
      <c r="Q80" s="401">
        <v>4087.9</v>
      </c>
      <c r="R80" s="401"/>
      <c r="S80" s="401"/>
      <c r="T80" s="401"/>
      <c r="U80" s="401">
        <f t="shared" si="36"/>
        <v>5659.34</v>
      </c>
      <c r="V80" s="401">
        <f t="shared" si="37"/>
        <v>95.365765078114435</v>
      </c>
      <c r="W80" s="401">
        <f t="shared" si="38"/>
        <v>0.67941430660816382</v>
      </c>
      <c r="X80" s="486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</row>
    <row r="81" spans="1:34" ht="15.75" thickBot="1" x14ac:dyDescent="0.3">
      <c r="A81" s="195"/>
      <c r="B81" s="579"/>
      <c r="C81" s="204" t="s">
        <v>303</v>
      </c>
      <c r="D81" s="205"/>
      <c r="E81" s="205"/>
      <c r="F81" s="220">
        <f>SUM(F79:F80)</f>
        <v>24</v>
      </c>
      <c r="G81" s="220">
        <f>SUM(G79:G80)</f>
        <v>64</v>
      </c>
      <c r="H81" s="218">
        <f>SUM(H79:H80)</f>
        <v>1004.7</v>
      </c>
      <c r="I81" s="198"/>
      <c r="J81" s="1084"/>
      <c r="K81" s="1084"/>
      <c r="L81" s="433">
        <f>SUM(L79:L80)</f>
        <v>19531.199999999997</v>
      </c>
      <c r="M81" s="315">
        <f>SUM(M79:M80)</f>
        <v>18737.349999999999</v>
      </c>
      <c r="N81" s="1086"/>
      <c r="O81" s="1086"/>
      <c r="P81" s="484">
        <f>SUM(P79:P80)</f>
        <v>4225.8999999999996</v>
      </c>
      <c r="Q81" s="435">
        <f>SUM(Q79:Q80)</f>
        <v>4225.8999999999996</v>
      </c>
      <c r="R81" s="200"/>
      <c r="S81" s="200"/>
      <c r="T81" s="200"/>
      <c r="U81" s="435">
        <f t="shared" si="36"/>
        <v>15305.299999999997</v>
      </c>
      <c r="V81" s="435">
        <f t="shared" si="37"/>
        <v>95.935477594822643</v>
      </c>
      <c r="W81" s="435">
        <f t="shared" si="38"/>
        <v>0.35051093195315347</v>
      </c>
      <c r="X81" s="490"/>
      <c r="Y81" s="250"/>
      <c r="Z81" s="250"/>
      <c r="AA81" s="250"/>
      <c r="AB81" s="250"/>
      <c r="AC81" s="250"/>
      <c r="AD81" s="250"/>
      <c r="AE81" s="250"/>
      <c r="AF81" s="250"/>
      <c r="AG81" s="250"/>
      <c r="AH81" s="250"/>
    </row>
    <row r="82" spans="1:34" x14ac:dyDescent="0.25">
      <c r="A82" s="406">
        <v>1</v>
      </c>
      <c r="B82" s="406"/>
      <c r="C82" s="407" t="s">
        <v>283</v>
      </c>
      <c r="D82" s="406">
        <v>1960</v>
      </c>
      <c r="E82" s="406">
        <v>1</v>
      </c>
      <c r="F82" s="406">
        <v>4</v>
      </c>
      <c r="G82" s="406">
        <v>2</v>
      </c>
      <c r="H82" s="408">
        <v>66.3</v>
      </c>
      <c r="I82" s="408"/>
      <c r="J82" s="408"/>
      <c r="K82" s="408"/>
      <c r="L82" s="372">
        <v>282.42</v>
      </c>
      <c r="M82" s="480">
        <v>31.12</v>
      </c>
      <c r="N82" s="1087"/>
      <c r="O82" s="1087"/>
      <c r="P82" s="487">
        <f>Q82+R82+S82+T82</f>
        <v>0</v>
      </c>
      <c r="Q82" s="487"/>
      <c r="R82" s="488"/>
      <c r="S82" s="489"/>
      <c r="T82" s="489"/>
      <c r="U82" s="488">
        <f t="shared" si="36"/>
        <v>282.42</v>
      </c>
      <c r="V82" s="488">
        <f t="shared" si="37"/>
        <v>11.019049642376602</v>
      </c>
      <c r="W82" s="488">
        <f t="shared" si="38"/>
        <v>0</v>
      </c>
      <c r="X82" s="489"/>
      <c r="Y82" s="250"/>
      <c r="Z82" s="250"/>
      <c r="AA82" s="250"/>
      <c r="AB82" s="250"/>
      <c r="AC82" s="250"/>
      <c r="AD82" s="250"/>
      <c r="AE82" s="250"/>
      <c r="AF82" s="250"/>
      <c r="AG82" s="250"/>
      <c r="AH82" s="250"/>
    </row>
    <row r="83" spans="1:34" ht="15.75" thickBot="1" x14ac:dyDescent="0.3">
      <c r="A83" s="208">
        <v>2</v>
      </c>
      <c r="B83" s="208"/>
      <c r="C83" s="209" t="s">
        <v>239</v>
      </c>
      <c r="D83" s="210"/>
      <c r="E83" s="208">
        <v>1</v>
      </c>
      <c r="F83" s="208">
        <v>1</v>
      </c>
      <c r="G83" s="208">
        <v>4</v>
      </c>
      <c r="H83" s="436">
        <v>48.3</v>
      </c>
      <c r="I83" s="436"/>
      <c r="J83" s="436"/>
      <c r="K83" s="436"/>
      <c r="L83" s="437">
        <v>153.6</v>
      </c>
      <c r="M83" s="481">
        <v>128.21</v>
      </c>
      <c r="N83" s="481"/>
      <c r="O83" s="481"/>
      <c r="P83" s="438">
        <f>Q83+R83+S83+T83</f>
        <v>0</v>
      </c>
      <c r="Q83" s="439"/>
      <c r="R83" s="440"/>
      <c r="S83" s="441"/>
      <c r="T83" s="441"/>
      <c r="U83" s="440">
        <f t="shared" si="36"/>
        <v>153.6</v>
      </c>
      <c r="V83" s="440">
        <f t="shared" si="37"/>
        <v>83.470052083333343</v>
      </c>
      <c r="W83" s="440">
        <f t="shared" si="38"/>
        <v>0</v>
      </c>
      <c r="X83" s="441"/>
      <c r="Y83" s="250"/>
      <c r="Z83" s="250"/>
      <c r="AA83" s="250"/>
      <c r="AB83" s="250"/>
      <c r="AC83" s="250"/>
      <c r="AD83" s="250"/>
      <c r="AE83" s="250"/>
      <c r="AF83" s="250"/>
      <c r="AG83" s="250"/>
      <c r="AH83" s="250"/>
    </row>
    <row r="84" spans="1:34" ht="16.5" thickBot="1" x14ac:dyDescent="0.3">
      <c r="A84" s="211"/>
      <c r="B84" s="581"/>
      <c r="C84" s="212" t="s">
        <v>302</v>
      </c>
      <c r="D84" s="213"/>
      <c r="E84" s="213"/>
      <c r="F84" s="214">
        <f>SUM(F82:F83)</f>
        <v>5</v>
      </c>
      <c r="G84" s="214">
        <f>SUM(G82:G83)</f>
        <v>6</v>
      </c>
      <c r="H84" s="215">
        <f>SUM(H82:H83)</f>
        <v>114.6</v>
      </c>
      <c r="I84" s="214"/>
      <c r="J84" s="214"/>
      <c r="K84" s="214"/>
      <c r="L84" s="444">
        <f>SUM(L82:L83)</f>
        <v>436.02</v>
      </c>
      <c r="M84" s="482">
        <f>SUM(M82:M83)</f>
        <v>159.33000000000001</v>
      </c>
      <c r="N84" s="1088"/>
      <c r="O84" s="1088"/>
      <c r="P84" s="491">
        <f>Q84+R84+S84+T84</f>
        <v>0</v>
      </c>
      <c r="Q84" s="216"/>
      <c r="R84" s="216"/>
      <c r="S84" s="445"/>
      <c r="T84" s="445"/>
      <c r="U84" s="216">
        <f t="shared" si="36"/>
        <v>436.02</v>
      </c>
      <c r="V84" s="216">
        <f t="shared" si="37"/>
        <v>36.541901747626262</v>
      </c>
      <c r="W84" s="216">
        <f t="shared" si="38"/>
        <v>0</v>
      </c>
      <c r="X84" s="213"/>
      <c r="Y84" s="250"/>
      <c r="Z84" s="250"/>
      <c r="AA84" s="250"/>
      <c r="AB84" s="250"/>
      <c r="AC84" s="250"/>
      <c r="AD84" s="250"/>
      <c r="AE84" s="250"/>
      <c r="AF84" s="250"/>
      <c r="AG84" s="250"/>
      <c r="AH84" s="250"/>
    </row>
    <row r="85" spans="1:34" x14ac:dyDescent="0.25">
      <c r="A85" s="117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442">
        <f>L76+L81+L84</f>
        <v>20242.259999999998</v>
      </c>
      <c r="M85" s="442">
        <f>M76+M81+M84</f>
        <v>19053.55</v>
      </c>
      <c r="N85" s="442"/>
      <c r="O85" s="442"/>
      <c r="P85" s="117"/>
      <c r="Q85" s="443"/>
      <c r="R85" s="443"/>
      <c r="S85" s="443"/>
      <c r="T85" s="443"/>
      <c r="U85" s="443"/>
      <c r="V85" s="443"/>
      <c r="W85" s="443"/>
      <c r="X85" s="443"/>
      <c r="Y85" s="250"/>
      <c r="Z85" s="250"/>
      <c r="AA85" s="250"/>
      <c r="AB85" s="250"/>
      <c r="AC85" s="250"/>
      <c r="AD85" s="250"/>
      <c r="AE85" s="250"/>
      <c r="AF85" s="250"/>
      <c r="AG85" s="250"/>
      <c r="AH85" s="250"/>
    </row>
    <row r="86" spans="1:34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250"/>
      <c r="Z86" s="250"/>
      <c r="AA86" s="250"/>
      <c r="AB86" s="250"/>
      <c r="AC86" s="250"/>
      <c r="AD86" s="250"/>
      <c r="AE86" s="250"/>
      <c r="AF86" s="250"/>
      <c r="AG86" s="250"/>
      <c r="AH86" s="250"/>
    </row>
    <row r="87" spans="1:34" ht="15.75" x14ac:dyDescent="0.25">
      <c r="A87" s="10"/>
      <c r="B87" s="10"/>
      <c r="C87" s="222" t="s">
        <v>492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Y87" s="250"/>
      <c r="Z87" s="250"/>
      <c r="AA87" s="250"/>
      <c r="AB87" s="250"/>
      <c r="AC87" s="250"/>
      <c r="AD87" s="250"/>
      <c r="AE87" s="250"/>
      <c r="AF87" s="250"/>
      <c r="AG87" s="250"/>
      <c r="AH87" s="250"/>
    </row>
    <row r="88" spans="1:34" ht="18" x14ac:dyDescent="0.25">
      <c r="A88" s="10"/>
      <c r="B88" s="10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Y88" s="250"/>
      <c r="Z88" s="250"/>
      <c r="AA88" s="250"/>
      <c r="AB88" s="250"/>
      <c r="AC88" s="250"/>
      <c r="AD88" s="250"/>
      <c r="AE88" s="250"/>
      <c r="AF88" s="250"/>
      <c r="AG88" s="250"/>
      <c r="AH88" s="250"/>
    </row>
    <row r="89" spans="1:34" ht="15" customHeight="1" x14ac:dyDescent="0.25">
      <c r="A89" s="2017" t="s">
        <v>0</v>
      </c>
      <c r="B89" s="569"/>
      <c r="C89" s="2017" t="s">
        <v>184</v>
      </c>
      <c r="D89" s="2017" t="s">
        <v>54</v>
      </c>
      <c r="E89" s="2017" t="s">
        <v>55</v>
      </c>
      <c r="F89" s="2017" t="s">
        <v>56</v>
      </c>
      <c r="G89" s="2017" t="s">
        <v>57</v>
      </c>
      <c r="H89" s="2017" t="s">
        <v>6</v>
      </c>
      <c r="I89" s="2020" t="s">
        <v>282</v>
      </c>
      <c r="J89" s="1064"/>
      <c r="K89" s="1064"/>
      <c r="L89" s="2249" t="s">
        <v>304</v>
      </c>
      <c r="M89" s="2250"/>
      <c r="N89" s="1065"/>
      <c r="O89" s="1065"/>
      <c r="P89" s="1987" t="s">
        <v>181</v>
      </c>
      <c r="Q89" s="2083" t="s">
        <v>7</v>
      </c>
      <c r="R89" s="2014" t="s">
        <v>8</v>
      </c>
      <c r="S89" s="2255" t="s">
        <v>177</v>
      </c>
      <c r="T89" s="2012" t="s">
        <v>493</v>
      </c>
      <c r="U89" s="2012" t="s">
        <v>494</v>
      </c>
      <c r="V89" s="2012" t="s">
        <v>421</v>
      </c>
      <c r="W89" s="1997" t="s">
        <v>175</v>
      </c>
      <c r="X89" s="1997" t="s">
        <v>183</v>
      </c>
      <c r="Y89" s="250"/>
      <c r="Z89" s="250"/>
      <c r="AA89" s="250"/>
      <c r="AB89" s="250"/>
      <c r="AC89" s="250"/>
      <c r="AD89" s="250"/>
      <c r="AE89" s="250"/>
      <c r="AF89" s="250"/>
      <c r="AG89" s="250"/>
      <c r="AH89" s="250"/>
    </row>
    <row r="90" spans="1:34" x14ac:dyDescent="0.25">
      <c r="A90" s="2017"/>
      <c r="B90" s="569"/>
      <c r="C90" s="2017"/>
      <c r="D90" s="2017"/>
      <c r="E90" s="2017"/>
      <c r="F90" s="2017"/>
      <c r="G90" s="2017"/>
      <c r="H90" s="2017"/>
      <c r="I90" s="2021"/>
      <c r="J90" s="1083"/>
      <c r="K90" s="1083"/>
      <c r="L90" s="51" t="s">
        <v>15</v>
      </c>
      <c r="M90" s="510" t="s">
        <v>16</v>
      </c>
      <c r="N90" s="1062"/>
      <c r="O90" s="1062"/>
      <c r="P90" s="1988"/>
      <c r="Q90" s="2083"/>
      <c r="R90" s="2015"/>
      <c r="S90" s="2255"/>
      <c r="T90" s="2013"/>
      <c r="U90" s="2256"/>
      <c r="V90" s="2013"/>
      <c r="W90" s="1998"/>
      <c r="X90" s="1998"/>
      <c r="Y90" s="250"/>
      <c r="Z90" s="250"/>
      <c r="AA90" s="250"/>
      <c r="AB90" s="250"/>
      <c r="AC90" s="250"/>
      <c r="AD90" s="250"/>
      <c r="AE90" s="250"/>
      <c r="AF90" s="250"/>
      <c r="AG90" s="250"/>
      <c r="AH90" s="250"/>
    </row>
    <row r="91" spans="1:34" x14ac:dyDescent="0.25">
      <c r="A91" s="513"/>
      <c r="B91" s="569"/>
      <c r="C91" s="180" t="s">
        <v>299</v>
      </c>
      <c r="D91" s="513"/>
      <c r="E91" s="513"/>
      <c r="F91" s="515"/>
      <c r="G91" s="514"/>
      <c r="H91" s="516"/>
      <c r="I91" s="513"/>
      <c r="J91" s="1061"/>
      <c r="K91" s="1061"/>
      <c r="L91" s="517"/>
      <c r="M91" s="517"/>
      <c r="N91" s="1063"/>
      <c r="O91" s="1063"/>
      <c r="P91" s="508"/>
      <c r="Q91" s="512"/>
      <c r="R91" s="235"/>
      <c r="S91" s="236"/>
      <c r="T91" s="511"/>
      <c r="U91" s="509"/>
      <c r="V91" s="511"/>
      <c r="W91" s="511"/>
      <c r="X91" s="511"/>
      <c r="Y91" s="250"/>
      <c r="Z91" s="250"/>
      <c r="AA91" s="250"/>
      <c r="AB91" s="250"/>
      <c r="AC91" s="250"/>
      <c r="AD91" s="250"/>
      <c r="AE91" s="250"/>
      <c r="AF91" s="250"/>
      <c r="AG91" s="250"/>
      <c r="AH91" s="250"/>
    </row>
    <row r="92" spans="1:34" x14ac:dyDescent="0.25">
      <c r="A92" s="112">
        <v>1</v>
      </c>
      <c r="B92" s="112"/>
      <c r="C92" s="41" t="s">
        <v>210</v>
      </c>
      <c r="D92" s="112">
        <v>1975</v>
      </c>
      <c r="E92" s="112">
        <v>2</v>
      </c>
      <c r="F92" s="112">
        <v>18</v>
      </c>
      <c r="G92" s="518">
        <v>60</v>
      </c>
      <c r="H92" s="179">
        <v>784.25</v>
      </c>
      <c r="I92" s="131">
        <v>85.12</v>
      </c>
      <c r="J92" s="131"/>
      <c r="K92" s="131"/>
      <c r="L92" s="430">
        <v>18469.5</v>
      </c>
      <c r="M92" s="430">
        <v>18101.88</v>
      </c>
      <c r="N92" s="430"/>
      <c r="O92" s="430"/>
      <c r="P92" s="26">
        <f>Q92+R92+S92+T92+U92+V92</f>
        <v>20627.515808826804</v>
      </c>
      <c r="Q92" s="27"/>
      <c r="R92" s="235">
        <f>7260.47/25682.68*H92</f>
        <v>221.70675324771403</v>
      </c>
      <c r="S92" s="236">
        <f>290/25682.68*H92</f>
        <v>8.8554815930424713</v>
      </c>
      <c r="T92" s="90">
        <f>1912/25682.68*H92</f>
        <v>58.385106227231738</v>
      </c>
      <c r="U92" s="28">
        <f>459157.43/2501.98*I92</f>
        <v>15621.020328539797</v>
      </c>
      <c r="V92" s="28">
        <f>U92*0.302</f>
        <v>4717.5481392190186</v>
      </c>
      <c r="W92" s="28">
        <f>L92-P92</f>
        <v>-2158.0158088268035</v>
      </c>
      <c r="X92" s="90">
        <f>M92/L92*100</f>
        <v>98.009583367172908</v>
      </c>
      <c r="Y92" s="250"/>
      <c r="Z92" s="250"/>
      <c r="AA92" s="250"/>
      <c r="AB92" s="250"/>
      <c r="AC92" s="250"/>
      <c r="AD92" s="250"/>
      <c r="AE92" s="250"/>
      <c r="AF92" s="250"/>
      <c r="AG92" s="250"/>
      <c r="AH92" s="250"/>
    </row>
    <row r="93" spans="1:34" x14ac:dyDescent="0.25">
      <c r="A93" s="13">
        <v>2</v>
      </c>
      <c r="B93" s="13"/>
      <c r="C93" s="41" t="s">
        <v>211</v>
      </c>
      <c r="D93" s="13">
        <v>1975</v>
      </c>
      <c r="E93" s="13">
        <v>2</v>
      </c>
      <c r="F93" s="13">
        <v>18</v>
      </c>
      <c r="G93" s="518">
        <v>52</v>
      </c>
      <c r="H93" s="37">
        <v>785</v>
      </c>
      <c r="I93" s="121">
        <v>85.12</v>
      </c>
      <c r="J93" s="121"/>
      <c r="K93" s="121"/>
      <c r="L93" s="430">
        <v>18509.64</v>
      </c>
      <c r="M93" s="430">
        <v>18227.259999999998</v>
      </c>
      <c r="N93" s="430"/>
      <c r="O93" s="430"/>
      <c r="P93" s="26">
        <f t="shared" ref="P93:P110" si="39">Q93+R93+S93+T93+U93+V93</f>
        <v>20627.792137173379</v>
      </c>
      <c r="Q93" s="27"/>
      <c r="R93" s="235">
        <f t="shared" ref="R93:R111" si="40">7260.47/25682.68*H93</f>
        <v>221.91877755748231</v>
      </c>
      <c r="S93" s="236">
        <f t="shared" ref="S93:S110" si="41">290/25682.68*H93</f>
        <v>8.8639503354011353</v>
      </c>
      <c r="T93" s="90">
        <f t="shared" ref="T93:T110" si="42">1912/25682.68*H93</f>
        <v>58.440941521679207</v>
      </c>
      <c r="U93" s="28">
        <f t="shared" ref="U93:U107" si="43">459157.43/2501.98*I93</f>
        <v>15621.020328539797</v>
      </c>
      <c r="V93" s="28">
        <f t="shared" ref="V93:V107" si="44">U93*0.302</f>
        <v>4717.5481392190186</v>
      </c>
      <c r="W93" s="28">
        <f t="shared" ref="W93:W110" si="45">L93-P93</f>
        <v>-2118.1521371733797</v>
      </c>
      <c r="X93" s="90">
        <f t="shared" ref="X93:X110" si="46">M93/L93*100</f>
        <v>98.474416574282358</v>
      </c>
      <c r="Y93" s="250"/>
      <c r="Z93" s="250"/>
      <c r="AA93" s="250"/>
      <c r="AB93" s="250"/>
      <c r="AC93" s="250"/>
      <c r="AD93" s="250"/>
      <c r="AE93" s="250"/>
      <c r="AF93" s="250"/>
      <c r="AG93" s="250"/>
      <c r="AH93" s="250"/>
    </row>
    <row r="94" spans="1:34" x14ac:dyDescent="0.25">
      <c r="A94" s="13">
        <v>3</v>
      </c>
      <c r="B94" s="13"/>
      <c r="C94" s="41" t="s">
        <v>212</v>
      </c>
      <c r="D94" s="13">
        <v>1975</v>
      </c>
      <c r="E94" s="13">
        <v>2</v>
      </c>
      <c r="F94" s="13">
        <v>18</v>
      </c>
      <c r="G94" s="30">
        <v>58</v>
      </c>
      <c r="H94" s="121">
        <v>788.23</v>
      </c>
      <c r="I94" s="121">
        <v>86.42</v>
      </c>
      <c r="J94" s="121"/>
      <c r="K94" s="121"/>
      <c r="L94" s="430">
        <v>18586.5</v>
      </c>
      <c r="M94" s="430">
        <v>17544.14</v>
      </c>
      <c r="N94" s="430"/>
      <c r="O94" s="430"/>
      <c r="P94" s="26">
        <f t="shared" si="39"/>
        <v>20939.604125088226</v>
      </c>
      <c r="Q94" s="27"/>
      <c r="R94" s="235">
        <f t="shared" si="40"/>
        <v>222.83189558488445</v>
      </c>
      <c r="S94" s="236">
        <f t="shared" si="41"/>
        <v>8.9004223858257792</v>
      </c>
      <c r="T94" s="90">
        <f t="shared" si="42"/>
        <v>58.68140552309962</v>
      </c>
      <c r="U94" s="28">
        <f t="shared" si="43"/>
        <v>15859.593242392024</v>
      </c>
      <c r="V94" s="28">
        <f t="shared" si="44"/>
        <v>4789.5971592023907</v>
      </c>
      <c r="W94" s="28">
        <f t="shared" si="45"/>
        <v>-2353.1041250882263</v>
      </c>
      <c r="X94" s="90">
        <f t="shared" si="46"/>
        <v>94.391843542356014</v>
      </c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</row>
    <row r="95" spans="1:34" x14ac:dyDescent="0.25">
      <c r="A95" s="13">
        <v>4</v>
      </c>
      <c r="B95" s="13"/>
      <c r="C95" s="41" t="s">
        <v>213</v>
      </c>
      <c r="D95" s="13">
        <v>1975</v>
      </c>
      <c r="E95" s="13">
        <v>2</v>
      </c>
      <c r="F95" s="13">
        <v>18</v>
      </c>
      <c r="G95" s="177">
        <v>42</v>
      </c>
      <c r="H95" s="121">
        <v>789.57</v>
      </c>
      <c r="I95" s="121">
        <v>86.42</v>
      </c>
      <c r="J95" s="121"/>
      <c r="K95" s="121"/>
      <c r="L95" s="430">
        <v>16723.259999999998</v>
      </c>
      <c r="M95" s="430">
        <v>15718.4</v>
      </c>
      <c r="N95" s="430"/>
      <c r="O95" s="430"/>
      <c r="P95" s="26">
        <f t="shared" si="39"/>
        <v>21142.157831734105</v>
      </c>
      <c r="Q95" s="27">
        <v>202.06</v>
      </c>
      <c r="R95" s="235">
        <f t="shared" si="40"/>
        <v>223.21071235167048</v>
      </c>
      <c r="S95" s="236">
        <f t="shared" si="41"/>
        <v>8.9155532055065905</v>
      </c>
      <c r="T95" s="90">
        <f t="shared" si="42"/>
        <v>58.781164582512424</v>
      </c>
      <c r="U95" s="28">
        <f t="shared" si="43"/>
        <v>15859.593242392024</v>
      </c>
      <c r="V95" s="28">
        <f t="shared" si="44"/>
        <v>4789.5971592023907</v>
      </c>
      <c r="W95" s="28">
        <f t="shared" si="45"/>
        <v>-4418.8978317341061</v>
      </c>
      <c r="X95" s="90">
        <f t="shared" si="46"/>
        <v>93.991243334134623</v>
      </c>
      <c r="Y95" s="250"/>
      <c r="Z95" s="250"/>
      <c r="AA95" s="250"/>
      <c r="AB95" s="250"/>
      <c r="AC95" s="250"/>
      <c r="AD95" s="250"/>
      <c r="AE95" s="250"/>
      <c r="AF95" s="250"/>
      <c r="AG95" s="250"/>
      <c r="AH95" s="250"/>
    </row>
    <row r="96" spans="1:34" x14ac:dyDescent="0.25">
      <c r="A96" s="13">
        <v>5</v>
      </c>
      <c r="B96" s="13"/>
      <c r="C96" s="41" t="s">
        <v>214</v>
      </c>
      <c r="D96" s="13">
        <v>1975</v>
      </c>
      <c r="E96" s="13">
        <v>5</v>
      </c>
      <c r="F96" s="13">
        <v>90</v>
      </c>
      <c r="G96" s="30">
        <v>268</v>
      </c>
      <c r="H96" s="121">
        <v>4496</v>
      </c>
      <c r="I96" s="121">
        <v>423.6</v>
      </c>
      <c r="J96" s="121"/>
      <c r="K96" s="121"/>
      <c r="L96" s="430">
        <v>93528.82</v>
      </c>
      <c r="M96" s="430">
        <v>86716.81</v>
      </c>
      <c r="N96" s="430"/>
      <c r="O96" s="430"/>
      <c r="P96" s="26">
        <f t="shared" si="39"/>
        <v>103317.48876885025</v>
      </c>
      <c r="Q96" s="27">
        <v>446.03</v>
      </c>
      <c r="R96" s="235">
        <f t="shared" si="40"/>
        <v>1271.0150622910071</v>
      </c>
      <c r="S96" s="236">
        <f t="shared" si="41"/>
        <v>50.767287526068152</v>
      </c>
      <c r="T96" s="90">
        <f t="shared" si="42"/>
        <v>334.71397844773213</v>
      </c>
      <c r="U96" s="28">
        <f t="shared" si="43"/>
        <v>77738.066390618624</v>
      </c>
      <c r="V96" s="28">
        <f t="shared" si="44"/>
        <v>23476.896049966825</v>
      </c>
      <c r="W96" s="28">
        <f t="shared" si="45"/>
        <v>-9788.6687688502425</v>
      </c>
      <c r="X96" s="90">
        <f t="shared" si="46"/>
        <v>92.716672785992586</v>
      </c>
      <c r="Y96" s="250"/>
      <c r="Z96" s="250"/>
      <c r="AA96" s="250"/>
      <c r="AB96" s="250"/>
      <c r="AC96" s="250"/>
      <c r="AD96" s="250"/>
      <c r="AE96" s="250"/>
      <c r="AF96" s="250"/>
      <c r="AG96" s="250"/>
      <c r="AH96" s="250"/>
    </row>
    <row r="97" spans="1:34" x14ac:dyDescent="0.25">
      <c r="A97" s="13">
        <v>6</v>
      </c>
      <c r="B97" s="13"/>
      <c r="C97" s="41" t="s">
        <v>215</v>
      </c>
      <c r="D97" s="13">
        <v>1963</v>
      </c>
      <c r="E97" s="13">
        <v>2</v>
      </c>
      <c r="F97" s="13">
        <v>12</v>
      </c>
      <c r="G97" s="177">
        <v>39</v>
      </c>
      <c r="H97" s="121">
        <v>515.1</v>
      </c>
      <c r="I97" s="121">
        <v>49.6</v>
      </c>
      <c r="J97" s="121"/>
      <c r="K97" s="121"/>
      <c r="L97" s="430">
        <v>12225.24</v>
      </c>
      <c r="M97" s="430">
        <v>11391.67</v>
      </c>
      <c r="N97" s="430"/>
      <c r="O97" s="430"/>
      <c r="P97" s="26">
        <f t="shared" si="39"/>
        <v>12041.203784001056</v>
      </c>
      <c r="Q97" s="27"/>
      <c r="R97" s="235">
        <f t="shared" si="40"/>
        <v>145.61829594886515</v>
      </c>
      <c r="S97" s="236">
        <f t="shared" si="41"/>
        <v>5.8163322519300946</v>
      </c>
      <c r="T97" s="90">
        <f t="shared" si="42"/>
        <v>38.34768022651842</v>
      </c>
      <c r="U97" s="28">
        <f t="shared" si="43"/>
        <v>9102.4742515927373</v>
      </c>
      <c r="V97" s="28">
        <f t="shared" si="44"/>
        <v>2748.9472239810066</v>
      </c>
      <c r="W97" s="28">
        <f t="shared" si="45"/>
        <v>184.03621599894359</v>
      </c>
      <c r="X97" s="90">
        <f t="shared" si="46"/>
        <v>93.181565351682266</v>
      </c>
      <c r="Y97" s="250"/>
      <c r="Z97" s="250"/>
      <c r="AA97" s="250"/>
      <c r="AB97" s="250"/>
      <c r="AC97" s="250"/>
      <c r="AD97" s="250"/>
      <c r="AE97" s="250"/>
      <c r="AF97" s="250"/>
      <c r="AG97" s="250"/>
      <c r="AH97" s="250"/>
    </row>
    <row r="98" spans="1:34" x14ac:dyDescent="0.25">
      <c r="A98" s="13">
        <v>7</v>
      </c>
      <c r="B98" s="13"/>
      <c r="C98" s="41" t="s">
        <v>216</v>
      </c>
      <c r="D98" s="13">
        <v>1963</v>
      </c>
      <c r="E98" s="13">
        <v>2</v>
      </c>
      <c r="F98" s="13">
        <v>16</v>
      </c>
      <c r="G98" s="30">
        <v>43</v>
      </c>
      <c r="H98" s="121">
        <v>624.4</v>
      </c>
      <c r="I98" s="121">
        <v>76</v>
      </c>
      <c r="J98" s="121"/>
      <c r="K98" s="121"/>
      <c r="L98" s="430">
        <v>14847.24</v>
      </c>
      <c r="M98" s="430">
        <v>13719.93</v>
      </c>
      <c r="N98" s="430"/>
      <c r="O98" s="430"/>
      <c r="P98" s="26">
        <f t="shared" si="39"/>
        <v>18591.548691395605</v>
      </c>
      <c r="Q98" s="27">
        <v>202.06</v>
      </c>
      <c r="R98" s="235">
        <f t="shared" si="40"/>
        <v>176.51730535909803</v>
      </c>
      <c r="S98" s="236">
        <f t="shared" si="41"/>
        <v>7.0505103049993227</v>
      </c>
      <c r="T98" s="90">
        <f t="shared" si="42"/>
        <v>46.484743803995535</v>
      </c>
      <c r="U98" s="28">
        <f t="shared" si="43"/>
        <v>13947.339579053389</v>
      </c>
      <c r="V98" s="28">
        <f t="shared" si="44"/>
        <v>4212.0965528741235</v>
      </c>
      <c r="W98" s="28">
        <f t="shared" si="45"/>
        <v>-3744.3086913956049</v>
      </c>
      <c r="X98" s="90">
        <f t="shared" si="46"/>
        <v>92.407275695684859</v>
      </c>
      <c r="Y98" s="250"/>
      <c r="Z98" s="250"/>
      <c r="AA98" s="250"/>
      <c r="AB98" s="250"/>
      <c r="AC98" s="250"/>
      <c r="AD98" s="250"/>
      <c r="AE98" s="250"/>
      <c r="AF98" s="250"/>
      <c r="AG98" s="250"/>
      <c r="AH98" s="250"/>
    </row>
    <row r="99" spans="1:34" x14ac:dyDescent="0.25">
      <c r="A99" s="13">
        <v>8</v>
      </c>
      <c r="B99" s="13"/>
      <c r="C99" s="41" t="s">
        <v>217</v>
      </c>
      <c r="D99" s="13">
        <v>1963</v>
      </c>
      <c r="E99" s="13">
        <v>2</v>
      </c>
      <c r="F99" s="13">
        <v>16</v>
      </c>
      <c r="G99" s="177">
        <v>27</v>
      </c>
      <c r="H99" s="121">
        <v>630.29999999999995</v>
      </c>
      <c r="I99" s="121">
        <v>76</v>
      </c>
      <c r="J99" s="121"/>
      <c r="K99" s="121"/>
      <c r="L99" s="430">
        <v>15013.86</v>
      </c>
      <c r="M99" s="430">
        <v>12479.93</v>
      </c>
      <c r="N99" s="430"/>
      <c r="O99" s="430"/>
      <c r="P99" s="26">
        <f t="shared" si="39"/>
        <v>18523.662474388657</v>
      </c>
      <c r="Q99" s="27">
        <v>132</v>
      </c>
      <c r="R99" s="235">
        <f t="shared" si="40"/>
        <v>178.18522992927529</v>
      </c>
      <c r="S99" s="236">
        <f t="shared" si="41"/>
        <v>7.1171310782208081</v>
      </c>
      <c r="T99" s="90">
        <f t="shared" si="42"/>
        <v>46.923981453648921</v>
      </c>
      <c r="U99" s="28">
        <f t="shared" si="43"/>
        <v>13947.339579053389</v>
      </c>
      <c r="V99" s="28">
        <f t="shared" si="44"/>
        <v>4212.0965528741235</v>
      </c>
      <c r="W99" s="28">
        <f t="shared" si="45"/>
        <v>-3509.8024743886563</v>
      </c>
      <c r="X99" s="90">
        <f t="shared" si="46"/>
        <v>83.122727932723492</v>
      </c>
      <c r="Y99" s="250"/>
      <c r="Z99" s="250"/>
      <c r="AA99" s="250"/>
      <c r="AB99" s="250"/>
      <c r="AC99" s="250"/>
      <c r="AD99" s="250"/>
      <c r="AE99" s="250"/>
      <c r="AF99" s="250"/>
      <c r="AG99" s="250"/>
      <c r="AH99" s="250"/>
    </row>
    <row r="100" spans="1:34" x14ac:dyDescent="0.25">
      <c r="A100" s="13">
        <v>9</v>
      </c>
      <c r="B100" s="13"/>
      <c r="C100" s="41" t="s">
        <v>218</v>
      </c>
      <c r="D100" s="13">
        <v>1963</v>
      </c>
      <c r="E100" s="13">
        <v>2</v>
      </c>
      <c r="F100" s="13">
        <v>8</v>
      </c>
      <c r="G100" s="30">
        <v>18</v>
      </c>
      <c r="H100" s="121">
        <v>313</v>
      </c>
      <c r="I100" s="121">
        <v>73.5</v>
      </c>
      <c r="J100" s="121"/>
      <c r="K100" s="121"/>
      <c r="L100" s="430">
        <v>7455.66</v>
      </c>
      <c r="M100" s="430">
        <v>8140.86</v>
      </c>
      <c r="N100" s="430"/>
      <c r="O100" s="430"/>
      <c r="P100" s="26">
        <f t="shared" si="39"/>
        <v>17677.407289137132</v>
      </c>
      <c r="Q100" s="27"/>
      <c r="R100" s="235">
        <f t="shared" si="40"/>
        <v>88.484811943301864</v>
      </c>
      <c r="S100" s="236">
        <f t="shared" si="41"/>
        <v>3.5342884776822356</v>
      </c>
      <c r="T100" s="90">
        <f t="shared" si="42"/>
        <v>23.301929549408396</v>
      </c>
      <c r="U100" s="28">
        <f t="shared" si="43"/>
        <v>13488.545513952948</v>
      </c>
      <c r="V100" s="28">
        <f t="shared" si="44"/>
        <v>4073.5407452137902</v>
      </c>
      <c r="W100" s="28">
        <f t="shared" si="45"/>
        <v>-10221.747289137133</v>
      </c>
      <c r="X100" s="90">
        <f t="shared" si="46"/>
        <v>109.19033325017504</v>
      </c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</row>
    <row r="101" spans="1:34" x14ac:dyDescent="0.25">
      <c r="A101" s="13">
        <v>10</v>
      </c>
      <c r="B101" s="13"/>
      <c r="C101" s="41" t="s">
        <v>219</v>
      </c>
      <c r="D101" s="13">
        <v>1977</v>
      </c>
      <c r="E101" s="13">
        <v>5</v>
      </c>
      <c r="F101" s="13">
        <v>90</v>
      </c>
      <c r="G101" s="177">
        <v>231</v>
      </c>
      <c r="H101" s="121">
        <v>4847.7</v>
      </c>
      <c r="I101" s="121">
        <v>585</v>
      </c>
      <c r="J101" s="121"/>
      <c r="K101" s="121"/>
      <c r="L101" s="430">
        <v>108177.78</v>
      </c>
      <c r="M101" s="430">
        <v>107402.26</v>
      </c>
      <c r="N101" s="430"/>
      <c r="O101" s="430"/>
      <c r="P101" s="26">
        <f t="shared" si="39"/>
        <v>142334.04612693941</v>
      </c>
      <c r="Q101" s="27">
        <v>768.1</v>
      </c>
      <c r="R101" s="235">
        <f t="shared" si="40"/>
        <v>1370.4403286183529</v>
      </c>
      <c r="S101" s="236">
        <f t="shared" si="41"/>
        <v>54.738563109457424</v>
      </c>
      <c r="T101" s="90">
        <f t="shared" si="42"/>
        <v>360.89700919062966</v>
      </c>
      <c r="U101" s="28">
        <f t="shared" si="43"/>
        <v>107357.81123350306</v>
      </c>
      <c r="V101" s="28">
        <f t="shared" si="44"/>
        <v>32422.058992517923</v>
      </c>
      <c r="W101" s="28">
        <f t="shared" si="45"/>
        <v>-34156.266126939416</v>
      </c>
      <c r="X101" s="90">
        <f t="shared" si="46"/>
        <v>99.283106013083284</v>
      </c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</row>
    <row r="102" spans="1:34" x14ac:dyDescent="0.25">
      <c r="A102" s="13">
        <v>11</v>
      </c>
      <c r="B102" s="13"/>
      <c r="C102" s="41" t="s">
        <v>220</v>
      </c>
      <c r="D102" s="13">
        <v>1983</v>
      </c>
      <c r="E102" s="13">
        <v>4</v>
      </c>
      <c r="F102" s="13">
        <v>48</v>
      </c>
      <c r="G102" s="30">
        <v>143</v>
      </c>
      <c r="H102" s="121">
        <v>2618.7199999999998</v>
      </c>
      <c r="I102" s="121">
        <v>317.89999999999998</v>
      </c>
      <c r="J102" s="121"/>
      <c r="K102" s="121"/>
      <c r="L102" s="430">
        <v>58770.9</v>
      </c>
      <c r="M102" s="430">
        <v>56983.18</v>
      </c>
      <c r="N102" s="430"/>
      <c r="O102" s="430"/>
      <c r="P102" s="26">
        <f t="shared" si="39"/>
        <v>77263.145243915103</v>
      </c>
      <c r="Q102" s="27">
        <v>339.3</v>
      </c>
      <c r="R102" s="235">
        <f t="shared" si="40"/>
        <v>740.30973396857337</v>
      </c>
      <c r="S102" s="236">
        <f t="shared" si="41"/>
        <v>29.569686652639053</v>
      </c>
      <c r="T102" s="90">
        <f t="shared" si="42"/>
        <v>194.95600303395128</v>
      </c>
      <c r="U102" s="28">
        <f t="shared" si="43"/>
        <v>58340.253318171999</v>
      </c>
      <c r="V102" s="28">
        <f t="shared" si="44"/>
        <v>17618.756502087945</v>
      </c>
      <c r="W102" s="28">
        <f t="shared" si="45"/>
        <v>-18492.245243915102</v>
      </c>
      <c r="X102" s="90">
        <f t="shared" si="46"/>
        <v>96.958154460796081</v>
      </c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</row>
    <row r="103" spans="1:34" x14ac:dyDescent="0.25">
      <c r="A103" s="13">
        <v>12</v>
      </c>
      <c r="B103" s="13"/>
      <c r="C103" s="41" t="s">
        <v>221</v>
      </c>
      <c r="D103" s="13">
        <v>1983</v>
      </c>
      <c r="E103" s="13">
        <v>4</v>
      </c>
      <c r="F103" s="13">
        <v>48</v>
      </c>
      <c r="G103" s="177">
        <v>137</v>
      </c>
      <c r="H103" s="121">
        <v>2615</v>
      </c>
      <c r="I103" s="121">
        <v>317.89999999999998</v>
      </c>
      <c r="J103" s="121"/>
      <c r="K103" s="121"/>
      <c r="L103" s="430">
        <v>58476.22</v>
      </c>
      <c r="M103" s="430">
        <v>56393.48</v>
      </c>
      <c r="N103" s="430"/>
      <c r="O103" s="430"/>
      <c r="P103" s="26">
        <f t="shared" si="39"/>
        <v>77962.114655316094</v>
      </c>
      <c r="Q103" s="27">
        <v>1039.6400000000001</v>
      </c>
      <c r="R103" s="235">
        <f t="shared" si="40"/>
        <v>739.25809339212265</v>
      </c>
      <c r="S103" s="236">
        <f t="shared" si="41"/>
        <v>29.527681690540085</v>
      </c>
      <c r="T103" s="90">
        <f t="shared" si="42"/>
        <v>194.67905997349186</v>
      </c>
      <c r="U103" s="28">
        <f t="shared" si="43"/>
        <v>58340.253318171999</v>
      </c>
      <c r="V103" s="28">
        <f t="shared" si="44"/>
        <v>17618.756502087945</v>
      </c>
      <c r="W103" s="28">
        <f t="shared" si="45"/>
        <v>-19485.894655316093</v>
      </c>
      <c r="X103" s="90">
        <f t="shared" si="46"/>
        <v>96.438312873164506</v>
      </c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</row>
    <row r="104" spans="1:34" x14ac:dyDescent="0.25">
      <c r="A104" s="13">
        <v>13</v>
      </c>
      <c r="B104" s="13"/>
      <c r="C104" s="42" t="s">
        <v>222</v>
      </c>
      <c r="D104" s="13">
        <v>1975</v>
      </c>
      <c r="E104" s="13">
        <v>2</v>
      </c>
      <c r="F104" s="13">
        <v>12</v>
      </c>
      <c r="G104" s="30">
        <v>30</v>
      </c>
      <c r="H104" s="121">
        <v>504.74</v>
      </c>
      <c r="I104" s="121">
        <v>58.2</v>
      </c>
      <c r="J104" s="121"/>
      <c r="K104" s="121"/>
      <c r="L104" s="430">
        <v>7214.6</v>
      </c>
      <c r="M104" s="430">
        <v>8946.81</v>
      </c>
      <c r="N104" s="430"/>
      <c r="O104" s="430"/>
      <c r="P104" s="26">
        <f t="shared" si="39"/>
        <v>14301.670330737437</v>
      </c>
      <c r="Q104" s="27">
        <v>209.4</v>
      </c>
      <c r="R104" s="235">
        <f t="shared" si="40"/>
        <v>142.68953348326576</v>
      </c>
      <c r="S104" s="236">
        <f t="shared" si="41"/>
        <v>5.6993506908157565</v>
      </c>
      <c r="T104" s="90">
        <f t="shared" si="42"/>
        <v>37.576408692550778</v>
      </c>
      <c r="U104" s="28">
        <f t="shared" si="43"/>
        <v>10680.725835538253</v>
      </c>
      <c r="V104" s="28">
        <f t="shared" si="44"/>
        <v>3225.5792023325521</v>
      </c>
      <c r="W104" s="28">
        <f t="shared" si="45"/>
        <v>-7087.070330737437</v>
      </c>
      <c r="X104" s="90">
        <f t="shared" si="46"/>
        <v>124.00978571230559</v>
      </c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</row>
    <row r="105" spans="1:34" x14ac:dyDescent="0.25">
      <c r="A105" s="13">
        <v>14</v>
      </c>
      <c r="B105" s="13"/>
      <c r="C105" s="42" t="s">
        <v>122</v>
      </c>
      <c r="D105" s="13">
        <v>1975</v>
      </c>
      <c r="E105" s="13">
        <v>2</v>
      </c>
      <c r="F105" s="13">
        <v>12</v>
      </c>
      <c r="G105" s="177">
        <v>31</v>
      </c>
      <c r="H105" s="121">
        <v>527.04</v>
      </c>
      <c r="I105" s="121">
        <v>52.8</v>
      </c>
      <c r="J105" s="121"/>
      <c r="K105" s="121"/>
      <c r="L105" s="430">
        <v>7647.61</v>
      </c>
      <c r="M105" s="430">
        <v>8046.04</v>
      </c>
      <c r="N105" s="430"/>
      <c r="O105" s="430"/>
      <c r="P105" s="26">
        <f t="shared" si="39"/>
        <v>13262.210768412311</v>
      </c>
      <c r="Q105" s="27">
        <v>452</v>
      </c>
      <c r="R105" s="235">
        <f t="shared" si="40"/>
        <v>148.9937229603764</v>
      </c>
      <c r="S105" s="236">
        <f t="shared" si="41"/>
        <v>5.9511546302800173</v>
      </c>
      <c r="T105" s="90">
        <f t="shared" si="42"/>
        <v>39.236578114122047</v>
      </c>
      <c r="U105" s="28">
        <f t="shared" si="43"/>
        <v>9689.7306549213008</v>
      </c>
      <c r="V105" s="28">
        <f t="shared" si="44"/>
        <v>2926.298657786233</v>
      </c>
      <c r="W105" s="28">
        <f t="shared" si="45"/>
        <v>-5614.6007684123115</v>
      </c>
      <c r="X105" s="90">
        <f t="shared" si="46"/>
        <v>105.20986295064733</v>
      </c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</row>
    <row r="106" spans="1:34" x14ac:dyDescent="0.25">
      <c r="A106" s="13">
        <v>15</v>
      </c>
      <c r="B106" s="13"/>
      <c r="C106" s="42" t="s">
        <v>223</v>
      </c>
      <c r="D106" s="13">
        <v>1975</v>
      </c>
      <c r="E106" s="13">
        <v>2</v>
      </c>
      <c r="F106" s="13">
        <v>12</v>
      </c>
      <c r="G106" s="30">
        <v>23</v>
      </c>
      <c r="H106" s="121">
        <v>529.83000000000004</v>
      </c>
      <c r="I106" s="121">
        <v>52.4</v>
      </c>
      <c r="J106" s="121"/>
      <c r="K106" s="121"/>
      <c r="L106" s="430">
        <v>7607.5</v>
      </c>
      <c r="M106" s="430">
        <v>8493.93</v>
      </c>
      <c r="N106" s="430"/>
      <c r="O106" s="430"/>
      <c r="P106" s="26">
        <f t="shared" si="39"/>
        <v>14142.722730219846</v>
      </c>
      <c r="Q106" s="27">
        <v>1427.06</v>
      </c>
      <c r="R106" s="235">
        <f t="shared" si="40"/>
        <v>149.78245339271447</v>
      </c>
      <c r="S106" s="236">
        <f t="shared" si="41"/>
        <v>5.9826583518542469</v>
      </c>
      <c r="T106" s="90">
        <f t="shared" si="42"/>
        <v>39.444285409466616</v>
      </c>
      <c r="U106" s="28">
        <f t="shared" si="43"/>
        <v>9616.3236045052308</v>
      </c>
      <c r="V106" s="28">
        <f t="shared" si="44"/>
        <v>2904.1297285605797</v>
      </c>
      <c r="W106" s="28">
        <f t="shared" si="45"/>
        <v>-6535.2227302198462</v>
      </c>
      <c r="X106" s="90">
        <f t="shared" si="46"/>
        <v>111.65205389418338</v>
      </c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</row>
    <row r="107" spans="1:34" x14ac:dyDescent="0.25">
      <c r="A107" s="13">
        <v>16</v>
      </c>
      <c r="B107" s="13"/>
      <c r="C107" s="42" t="s">
        <v>224</v>
      </c>
      <c r="D107" s="13">
        <v>1968</v>
      </c>
      <c r="E107" s="13">
        <v>2</v>
      </c>
      <c r="F107" s="13">
        <v>16</v>
      </c>
      <c r="G107" s="177">
        <v>35</v>
      </c>
      <c r="H107" s="121">
        <v>715.87</v>
      </c>
      <c r="I107" s="121">
        <v>76</v>
      </c>
      <c r="J107" s="121"/>
      <c r="K107" s="121"/>
      <c r="L107" s="430">
        <v>10277.23</v>
      </c>
      <c r="M107" s="430">
        <v>10383.879999999999</v>
      </c>
      <c r="N107" s="430"/>
      <c r="O107" s="430"/>
      <c r="P107" s="26">
        <f t="shared" si="39"/>
        <v>18423.189696543821</v>
      </c>
      <c r="Q107" s="27"/>
      <c r="R107" s="235">
        <f t="shared" si="40"/>
        <v>202.37579017843933</v>
      </c>
      <c r="S107" s="236">
        <f t="shared" si="41"/>
        <v>8.0833581230619238</v>
      </c>
      <c r="T107" s="90">
        <f t="shared" si="42"/>
        <v>53.294416314808274</v>
      </c>
      <c r="U107" s="28">
        <f t="shared" si="43"/>
        <v>13947.339579053389</v>
      </c>
      <c r="V107" s="28">
        <f t="shared" si="44"/>
        <v>4212.0965528741235</v>
      </c>
      <c r="W107" s="28">
        <f t="shared" si="45"/>
        <v>-8145.9596965438213</v>
      </c>
      <c r="X107" s="90">
        <f t="shared" si="46"/>
        <v>101.03773098393243</v>
      </c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</row>
    <row r="108" spans="1:34" x14ac:dyDescent="0.25">
      <c r="A108" s="13">
        <v>17</v>
      </c>
      <c r="B108" s="13"/>
      <c r="C108" s="45" t="s">
        <v>227</v>
      </c>
      <c r="D108" s="36"/>
      <c r="E108" s="36">
        <v>2</v>
      </c>
      <c r="F108" s="36">
        <v>10</v>
      </c>
      <c r="G108" s="36">
        <v>30</v>
      </c>
      <c r="H108" s="37">
        <v>637.20000000000005</v>
      </c>
      <c r="I108" s="37"/>
      <c r="J108" s="37"/>
      <c r="K108" s="37"/>
      <c r="L108" s="272">
        <v>28827.13</v>
      </c>
      <c r="M108" s="272">
        <v>29527.5</v>
      </c>
      <c r="N108" s="272"/>
      <c r="O108" s="272"/>
      <c r="P108" s="26">
        <f t="shared" si="39"/>
        <v>234.76856324962972</v>
      </c>
      <c r="Q108" s="144"/>
      <c r="R108" s="235">
        <f t="shared" si="40"/>
        <v>180.13585357914363</v>
      </c>
      <c r="S108" s="236">
        <f t="shared" si="41"/>
        <v>7.1950435079205137</v>
      </c>
      <c r="T108" s="90">
        <f t="shared" si="42"/>
        <v>47.437666162565598</v>
      </c>
      <c r="U108" s="144"/>
      <c r="V108" s="144"/>
      <c r="W108" s="28">
        <f t="shared" si="45"/>
        <v>28592.361436750372</v>
      </c>
      <c r="X108" s="90">
        <f t="shared" si="46"/>
        <v>102.42955160642076</v>
      </c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</row>
    <row r="109" spans="1:34" x14ac:dyDescent="0.25">
      <c r="A109" s="13">
        <v>18</v>
      </c>
      <c r="B109" s="13"/>
      <c r="C109" s="45" t="s">
        <v>330</v>
      </c>
      <c r="D109" s="36">
        <v>2013</v>
      </c>
      <c r="E109" s="36">
        <v>3</v>
      </c>
      <c r="F109" s="36">
        <v>28</v>
      </c>
      <c r="G109" s="36"/>
      <c r="H109" s="37">
        <v>1588.6</v>
      </c>
      <c r="I109" s="37"/>
      <c r="J109" s="37"/>
      <c r="K109" s="37"/>
      <c r="L109" s="272">
        <v>55646.64</v>
      </c>
      <c r="M109" s="272">
        <v>54174.84</v>
      </c>
      <c r="N109" s="272"/>
      <c r="O109" s="272"/>
      <c r="P109" s="26">
        <f t="shared" si="39"/>
        <v>950.87028182417112</v>
      </c>
      <c r="Q109" s="144">
        <v>365.57</v>
      </c>
      <c r="R109" s="235">
        <f t="shared" si="40"/>
        <v>449.09575799721836</v>
      </c>
      <c r="S109" s="236">
        <f t="shared" si="41"/>
        <v>17.937925481297121</v>
      </c>
      <c r="T109" s="90">
        <f t="shared" si="42"/>
        <v>118.26659834565551</v>
      </c>
      <c r="U109" s="144"/>
      <c r="V109" s="144"/>
      <c r="W109" s="28">
        <f t="shared" si="45"/>
        <v>54695.769718175827</v>
      </c>
      <c r="X109" s="90">
        <f t="shared" si="46"/>
        <v>97.355096372395522</v>
      </c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</row>
    <row r="110" spans="1:34" ht="15.75" thickBot="1" x14ac:dyDescent="0.3">
      <c r="A110" s="187">
        <v>19</v>
      </c>
      <c r="B110" s="187"/>
      <c r="C110" s="188" t="s">
        <v>473</v>
      </c>
      <c r="D110" s="182"/>
      <c r="E110" s="182"/>
      <c r="F110" s="182"/>
      <c r="G110" s="182"/>
      <c r="H110" s="298">
        <v>1372.13</v>
      </c>
      <c r="I110" s="298"/>
      <c r="J110" s="298"/>
      <c r="K110" s="298"/>
      <c r="L110" s="446">
        <v>11169.09</v>
      </c>
      <c r="M110" s="446">
        <v>0</v>
      </c>
      <c r="N110" s="446"/>
      <c r="O110" s="446"/>
      <c r="P110" s="26">
        <f t="shared" si="39"/>
        <v>505.54455224688388</v>
      </c>
      <c r="Q110" s="185"/>
      <c r="R110" s="450">
        <f t="shared" si="40"/>
        <v>387.89988821649456</v>
      </c>
      <c r="S110" s="236">
        <f t="shared" si="41"/>
        <v>15.493620603457273</v>
      </c>
      <c r="T110" s="90">
        <f t="shared" si="42"/>
        <v>102.15104342693209</v>
      </c>
      <c r="U110" s="185"/>
      <c r="V110" s="185"/>
      <c r="W110" s="28">
        <f t="shared" si="45"/>
        <v>10663.545447753117</v>
      </c>
      <c r="X110" s="453">
        <f t="shared" si="46"/>
        <v>0</v>
      </c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</row>
    <row r="111" spans="1:34" ht="15.75" thickBot="1" x14ac:dyDescent="0.3">
      <c r="A111" s="195"/>
      <c r="B111" s="579"/>
      <c r="C111" s="196" t="s">
        <v>296</v>
      </c>
      <c r="D111" s="197"/>
      <c r="E111" s="197"/>
      <c r="F111" s="217"/>
      <c r="G111" s="217">
        <f t="shared" ref="G111:Q111" si="47">SUM(G92:G110)</f>
        <v>1267</v>
      </c>
      <c r="H111" s="405">
        <f t="shared" si="47"/>
        <v>25682.680000000004</v>
      </c>
      <c r="I111" s="405">
        <f t="shared" si="47"/>
        <v>2501.9800000000005</v>
      </c>
      <c r="J111" s="405"/>
      <c r="K111" s="405"/>
      <c r="L111" s="428">
        <f t="shared" si="47"/>
        <v>569174.41999999993</v>
      </c>
      <c r="M111" s="428">
        <f t="shared" si="47"/>
        <v>542392.79999999993</v>
      </c>
      <c r="N111" s="428"/>
      <c r="O111" s="428"/>
      <c r="P111" s="122">
        <f t="shared" si="47"/>
        <v>612868.66385999997</v>
      </c>
      <c r="Q111" s="449">
        <f t="shared" si="47"/>
        <v>5583.22</v>
      </c>
      <c r="R111" s="451">
        <f t="shared" si="40"/>
        <v>7260.4700000000012</v>
      </c>
      <c r="S111" s="452">
        <f>SUM(S92:S110)</f>
        <v>289.99999999999994</v>
      </c>
      <c r="T111" s="429">
        <f>SUM(T92:T110)</f>
        <v>1912.0000000000002</v>
      </c>
      <c r="U111" s="429">
        <f>SUM(U92:U110)</f>
        <v>459157.43</v>
      </c>
      <c r="V111" s="429">
        <f>SUM(V92:V110)</f>
        <v>138665.54385999998</v>
      </c>
      <c r="W111" s="431">
        <f>SUM(W92:W110)</f>
        <v>-43694.243859999915</v>
      </c>
      <c r="X111" s="434">
        <f>M111/L111*100</f>
        <v>95.294655019809213</v>
      </c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</row>
    <row r="112" spans="1:34" x14ac:dyDescent="0.25">
      <c r="A112" s="189"/>
      <c r="B112" s="189"/>
      <c r="C112" s="190"/>
      <c r="D112" s="191"/>
      <c r="E112" s="191"/>
      <c r="F112" s="409"/>
      <c r="G112" s="409"/>
      <c r="H112" s="410"/>
      <c r="I112" s="410"/>
      <c r="J112" s="410"/>
      <c r="K112" s="410"/>
      <c r="L112" s="193"/>
      <c r="M112" s="193"/>
      <c r="N112" s="193"/>
      <c r="O112" s="193"/>
      <c r="P112" s="411"/>
      <c r="Q112" s="412"/>
      <c r="R112" s="413"/>
      <c r="S112" s="145"/>
      <c r="T112" s="145"/>
      <c r="U112" s="145"/>
      <c r="V112" s="145"/>
      <c r="W112" s="145"/>
      <c r="X112" s="146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</row>
    <row r="113" spans="1:34" x14ac:dyDescent="0.25">
      <c r="A113" s="189"/>
      <c r="B113" s="189"/>
      <c r="C113" s="190" t="s">
        <v>298</v>
      </c>
      <c r="D113" s="191"/>
      <c r="E113" s="191"/>
      <c r="F113" s="191"/>
      <c r="G113" s="191"/>
      <c r="H113" s="192"/>
      <c r="I113" s="192"/>
      <c r="J113" s="192"/>
      <c r="K113" s="192"/>
      <c r="L113" s="193"/>
      <c r="M113" s="193"/>
      <c r="N113" s="193"/>
      <c r="O113" s="193"/>
      <c r="P113" s="145"/>
      <c r="Q113" s="145"/>
      <c r="R113" s="28"/>
      <c r="S113" s="145"/>
      <c r="T113" s="145"/>
      <c r="U113" s="145"/>
      <c r="V113" s="145"/>
      <c r="W113" s="145"/>
      <c r="X113" s="146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</row>
    <row r="114" spans="1:34" x14ac:dyDescent="0.25">
      <c r="A114" s="13">
        <v>1</v>
      </c>
      <c r="B114" s="13"/>
      <c r="C114" s="42" t="s">
        <v>228</v>
      </c>
      <c r="D114" s="13">
        <v>1967</v>
      </c>
      <c r="E114" s="13">
        <v>2</v>
      </c>
      <c r="F114" s="13">
        <v>12</v>
      </c>
      <c r="G114" s="13">
        <v>31</v>
      </c>
      <c r="H114" s="121">
        <v>506.36</v>
      </c>
      <c r="I114" s="121">
        <v>24.4</v>
      </c>
      <c r="J114" s="121"/>
      <c r="K114" s="121"/>
      <c r="L114" s="432">
        <v>11886.54</v>
      </c>
      <c r="M114" s="432">
        <v>9509.2199999999993</v>
      </c>
      <c r="N114" s="432"/>
      <c r="O114" s="432"/>
      <c r="P114" s="26">
        <f>Q114+R114+S114+T114+U114+V114</f>
        <v>8251.1496685198581</v>
      </c>
      <c r="Q114" s="27"/>
      <c r="R114" s="28"/>
      <c r="S114" s="28"/>
      <c r="T114" s="28"/>
      <c r="U114" s="28">
        <f>86332.57/332.4*I114</f>
        <v>6337.2885318892913</v>
      </c>
      <c r="V114" s="28">
        <f>U114*0.302</f>
        <v>1913.8611366305659</v>
      </c>
      <c r="W114" s="28">
        <f>L114-P114</f>
        <v>3635.3903314801428</v>
      </c>
      <c r="X114" s="90">
        <f>M114/L114*100</f>
        <v>79.999899045474947</v>
      </c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</row>
    <row r="115" spans="1:34" x14ac:dyDescent="0.25">
      <c r="A115" s="13">
        <v>2</v>
      </c>
      <c r="B115" s="13"/>
      <c r="C115" s="42" t="s">
        <v>229</v>
      </c>
      <c r="D115" s="13">
        <v>1967</v>
      </c>
      <c r="E115" s="13">
        <v>2</v>
      </c>
      <c r="F115" s="13">
        <v>12</v>
      </c>
      <c r="G115" s="13">
        <v>36</v>
      </c>
      <c r="H115" s="121">
        <v>538.85</v>
      </c>
      <c r="I115" s="121">
        <v>24.4</v>
      </c>
      <c r="J115" s="121"/>
      <c r="K115" s="121"/>
      <c r="L115" s="432">
        <v>11863.68</v>
      </c>
      <c r="M115" s="432">
        <v>9532.35</v>
      </c>
      <c r="N115" s="432"/>
      <c r="O115" s="432"/>
      <c r="P115" s="26">
        <f t="shared" ref="P115:P118" si="48">Q115+R115+S115+T115+U115+V115</f>
        <v>8251.1496685198581</v>
      </c>
      <c r="Q115" s="27"/>
      <c r="R115" s="28"/>
      <c r="S115" s="28"/>
      <c r="T115" s="28"/>
      <c r="U115" s="28">
        <f t="shared" ref="U115:U118" si="49">86332.57/332.4*I115</f>
        <v>6337.2885318892913</v>
      </c>
      <c r="V115" s="28">
        <f t="shared" ref="V115:V118" si="50">U115*0.302</f>
        <v>1913.8611366305659</v>
      </c>
      <c r="W115" s="28">
        <f>L115-P115</f>
        <v>3612.5303314801422</v>
      </c>
      <c r="X115" s="90">
        <f>M115/L115*100</f>
        <v>80.349014808221398</v>
      </c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</row>
    <row r="116" spans="1:34" x14ac:dyDescent="0.25">
      <c r="A116" s="13">
        <v>3</v>
      </c>
      <c r="B116" s="13"/>
      <c r="C116" s="42" t="s">
        <v>230</v>
      </c>
      <c r="D116" s="13">
        <v>1967</v>
      </c>
      <c r="E116" s="13">
        <v>2</v>
      </c>
      <c r="F116" s="13">
        <v>12</v>
      </c>
      <c r="G116" s="13">
        <v>36</v>
      </c>
      <c r="H116" s="121">
        <v>508.35</v>
      </c>
      <c r="I116" s="121">
        <v>24.4</v>
      </c>
      <c r="J116" s="121"/>
      <c r="K116" s="121"/>
      <c r="L116" s="432">
        <v>11925.96</v>
      </c>
      <c r="M116" s="432">
        <v>11035.22</v>
      </c>
      <c r="N116" s="432"/>
      <c r="O116" s="432"/>
      <c r="P116" s="26">
        <f t="shared" si="48"/>
        <v>8251.1496685198581</v>
      </c>
      <c r="Q116" s="27"/>
      <c r="R116" s="28"/>
      <c r="S116" s="28"/>
      <c r="T116" s="28"/>
      <c r="U116" s="28">
        <f t="shared" si="49"/>
        <v>6337.2885318892913</v>
      </c>
      <c r="V116" s="28">
        <f t="shared" si="50"/>
        <v>1913.8611366305659</v>
      </c>
      <c r="W116" s="28">
        <f>L116-P116</f>
        <v>3674.810331480141</v>
      </c>
      <c r="X116" s="90">
        <f>M116/L116*100</f>
        <v>92.531083451562807</v>
      </c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</row>
    <row r="117" spans="1:34" x14ac:dyDescent="0.25">
      <c r="A117" s="13">
        <v>4</v>
      </c>
      <c r="B117" s="13"/>
      <c r="C117" s="42" t="s">
        <v>233</v>
      </c>
      <c r="D117" s="13">
        <v>1994</v>
      </c>
      <c r="E117" s="13">
        <v>3</v>
      </c>
      <c r="F117" s="13">
        <v>24</v>
      </c>
      <c r="G117" s="13">
        <v>67</v>
      </c>
      <c r="H117" s="121">
        <v>1443</v>
      </c>
      <c r="I117" s="121">
        <v>129.6</v>
      </c>
      <c r="J117" s="121"/>
      <c r="K117" s="121"/>
      <c r="L117" s="432">
        <v>33164.61</v>
      </c>
      <c r="M117" s="432">
        <v>31206.31</v>
      </c>
      <c r="N117" s="432"/>
      <c r="O117" s="432"/>
      <c r="P117" s="26">
        <f t="shared" si="48"/>
        <v>43825.778567220223</v>
      </c>
      <c r="Q117" s="27"/>
      <c r="R117" s="28"/>
      <c r="S117" s="28"/>
      <c r="T117" s="28"/>
      <c r="U117" s="28">
        <f t="shared" si="49"/>
        <v>33660.352202166068</v>
      </c>
      <c r="V117" s="28">
        <f t="shared" si="50"/>
        <v>10165.426365054152</v>
      </c>
      <c r="W117" s="28">
        <f>L117-P117</f>
        <v>-10661.168567220222</v>
      </c>
      <c r="X117" s="90">
        <f>M117/L117*100</f>
        <v>94.095211733230087</v>
      </c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</row>
    <row r="118" spans="1:34" ht="15.75" thickBot="1" x14ac:dyDescent="0.3">
      <c r="A118" s="13">
        <v>5</v>
      </c>
      <c r="B118" s="13"/>
      <c r="C118" s="42" t="s">
        <v>234</v>
      </c>
      <c r="D118" s="13">
        <v>1989</v>
      </c>
      <c r="E118" s="13">
        <v>3</v>
      </c>
      <c r="F118" s="13">
        <v>24</v>
      </c>
      <c r="G118" s="13">
        <v>55</v>
      </c>
      <c r="H118" s="121">
        <v>1454.5</v>
      </c>
      <c r="I118" s="121">
        <v>129.6</v>
      </c>
      <c r="J118" s="183"/>
      <c r="K118" s="183"/>
      <c r="L118" s="184">
        <v>33686.339999999997</v>
      </c>
      <c r="M118" s="184">
        <v>31233.08</v>
      </c>
      <c r="N118" s="184"/>
      <c r="O118" s="184"/>
      <c r="P118" s="26">
        <f t="shared" si="48"/>
        <v>44157.778567220223</v>
      </c>
      <c r="Q118" s="401">
        <v>332</v>
      </c>
      <c r="R118" s="186"/>
      <c r="S118" s="186"/>
      <c r="T118" s="28"/>
      <c r="U118" s="28">
        <f t="shared" si="49"/>
        <v>33660.352202166068</v>
      </c>
      <c r="V118" s="477">
        <f t="shared" si="50"/>
        <v>10165.426365054152</v>
      </c>
      <c r="W118" s="28">
        <f>L118-P118</f>
        <v>-10471.438567220226</v>
      </c>
      <c r="X118" s="90">
        <f>M118/L118*100</f>
        <v>92.717344775360004</v>
      </c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</row>
    <row r="119" spans="1:34" ht="16.5" thickBot="1" x14ac:dyDescent="0.3">
      <c r="A119" s="195"/>
      <c r="B119" s="579"/>
      <c r="C119" s="196" t="s">
        <v>297</v>
      </c>
      <c r="D119" s="197"/>
      <c r="E119" s="197"/>
      <c r="F119" s="197"/>
      <c r="G119" s="217">
        <f t="shared" ref="G119:Q119" si="51">SUM(G114:G118)</f>
        <v>225</v>
      </c>
      <c r="H119" s="218">
        <f t="shared" si="51"/>
        <v>4451.0599999999995</v>
      </c>
      <c r="I119" s="218">
        <f t="shared" si="51"/>
        <v>332.4</v>
      </c>
      <c r="J119" s="1085"/>
      <c r="K119" s="1085"/>
      <c r="L119" s="447">
        <f t="shared" si="51"/>
        <v>102527.13</v>
      </c>
      <c r="M119" s="448">
        <f t="shared" si="51"/>
        <v>92516.180000000008</v>
      </c>
      <c r="N119" s="448"/>
      <c r="O119" s="448"/>
      <c r="P119" s="122">
        <f t="shared" si="51"/>
        <v>112737.00614000001</v>
      </c>
      <c r="Q119" s="429">
        <f t="shared" si="51"/>
        <v>332</v>
      </c>
      <c r="R119" s="200"/>
      <c r="S119" s="416"/>
      <c r="T119" s="227"/>
      <c r="U119" s="476">
        <f>SUM(U114:U118)</f>
        <v>86332.57</v>
      </c>
      <c r="V119" s="429">
        <f>SUM(V114:V118)</f>
        <v>26072.436140000005</v>
      </c>
      <c r="W119" s="429">
        <f>SUM(W114:W118)</f>
        <v>-10209.876140000022</v>
      </c>
      <c r="X119" s="431">
        <f>SUM(X114:X118)</f>
        <v>439.6925538138492</v>
      </c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</row>
    <row r="120" spans="1:34" x14ac:dyDescent="0.25">
      <c r="A120" s="414"/>
      <c r="B120" s="415"/>
      <c r="C120" s="415"/>
      <c r="D120" s="415"/>
      <c r="E120" s="415"/>
      <c r="F120" s="415"/>
      <c r="G120" s="415"/>
      <c r="H120" s="415"/>
      <c r="I120" s="415"/>
      <c r="J120" s="248"/>
      <c r="K120" s="248"/>
      <c r="L120" s="248"/>
      <c r="M120" s="248"/>
      <c r="N120" s="248"/>
      <c r="O120" s="248"/>
      <c r="P120" s="248"/>
      <c r="Q120" s="248"/>
      <c r="R120" s="248"/>
      <c r="S120" s="248"/>
      <c r="T120" s="415"/>
      <c r="U120" s="415"/>
      <c r="V120" s="415"/>
      <c r="W120" s="415"/>
      <c r="X120" s="415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</row>
  </sheetData>
  <mergeCells count="110">
    <mergeCell ref="E35:E36"/>
    <mergeCell ref="F35:F36"/>
    <mergeCell ref="AI7:AI8"/>
    <mergeCell ref="AF23:AF24"/>
    <mergeCell ref="AI23:AI24"/>
    <mergeCell ref="AG7:AG8"/>
    <mergeCell ref="U7:U8"/>
    <mergeCell ref="AF35:AF36"/>
    <mergeCell ref="B35:B36"/>
    <mergeCell ref="AI35:AI36"/>
    <mergeCell ref="AG35:AG36"/>
    <mergeCell ref="AH35:AH36"/>
    <mergeCell ref="Y35:Y36"/>
    <mergeCell ref="Z35:Z36"/>
    <mergeCell ref="AA35:AA36"/>
    <mergeCell ref="V23:V24"/>
    <mergeCell ref="Z23:Z24"/>
    <mergeCell ref="AA23:AA24"/>
    <mergeCell ref="AB35:AB36"/>
    <mergeCell ref="AC35:AC36"/>
    <mergeCell ref="W23:W24"/>
    <mergeCell ref="X23:X24"/>
    <mergeCell ref="Y23:Y24"/>
    <mergeCell ref="AC23:AC24"/>
    <mergeCell ref="AD35:AD36"/>
    <mergeCell ref="AE35:AE36"/>
    <mergeCell ref="R35:R36"/>
    <mergeCell ref="AH7:AH8"/>
    <mergeCell ref="AH23:AH24"/>
    <mergeCell ref="X7:X8"/>
    <mergeCell ref="Y7:Y8"/>
    <mergeCell ref="Z7:Z8"/>
    <mergeCell ref="AA7:AA8"/>
    <mergeCell ref="AB7:AB8"/>
    <mergeCell ref="AC7:AC8"/>
    <mergeCell ref="AD7:AD8"/>
    <mergeCell ref="AE7:AE8"/>
    <mergeCell ref="AG23:AG24"/>
    <mergeCell ref="AB23:AB24"/>
    <mergeCell ref="AD23:AD24"/>
    <mergeCell ref="AE23:AE24"/>
    <mergeCell ref="AF7:AF8"/>
    <mergeCell ref="R7:R8"/>
    <mergeCell ref="S7:S8"/>
    <mergeCell ref="T7:T8"/>
    <mergeCell ref="V7:V8"/>
    <mergeCell ref="W7:W8"/>
    <mergeCell ref="S23:S24"/>
    <mergeCell ref="T23:T24"/>
    <mergeCell ref="U23:U24"/>
    <mergeCell ref="R89:R90"/>
    <mergeCell ref="G89:G90"/>
    <mergeCell ref="H89:H90"/>
    <mergeCell ref="I89:I90"/>
    <mergeCell ref="L89:M89"/>
    <mergeCell ref="P89:P90"/>
    <mergeCell ref="Q89:Q90"/>
    <mergeCell ref="G35:G36"/>
    <mergeCell ref="H35:H36"/>
    <mergeCell ref="I35:I36"/>
    <mergeCell ref="L35:M35"/>
    <mergeCell ref="P35:P36"/>
    <mergeCell ref="Q35:Q36"/>
    <mergeCell ref="P7:P8"/>
    <mergeCell ref="Q7:Q8"/>
    <mergeCell ref="G23:G24"/>
    <mergeCell ref="H23:H24"/>
    <mergeCell ref="I23:I24"/>
    <mergeCell ref="L23:M23"/>
    <mergeCell ref="P23:P24"/>
    <mergeCell ref="Q23:Q24"/>
    <mergeCell ref="R23:R24"/>
    <mergeCell ref="J7:K7"/>
    <mergeCell ref="N7:O7"/>
    <mergeCell ref="A89:A90"/>
    <mergeCell ref="C89:C90"/>
    <mergeCell ref="D89:D90"/>
    <mergeCell ref="E89:E90"/>
    <mergeCell ref="F89:F90"/>
    <mergeCell ref="G7:G8"/>
    <mergeCell ref="H7:H8"/>
    <mergeCell ref="I7:I8"/>
    <mergeCell ref="L7:M7"/>
    <mergeCell ref="A7:A8"/>
    <mergeCell ref="C7:C8"/>
    <mergeCell ref="D7:D8"/>
    <mergeCell ref="E7:E8"/>
    <mergeCell ref="F7:F8"/>
    <mergeCell ref="B7:B8"/>
    <mergeCell ref="A23:A24"/>
    <mergeCell ref="C23:C24"/>
    <mergeCell ref="D23:D24"/>
    <mergeCell ref="E23:E24"/>
    <mergeCell ref="F23:F24"/>
    <mergeCell ref="B23:B24"/>
    <mergeCell ref="A35:A36"/>
    <mergeCell ref="C35:C36"/>
    <mergeCell ref="D35:D36"/>
    <mergeCell ref="X89:X90"/>
    <mergeCell ref="V35:V36"/>
    <mergeCell ref="W35:W36"/>
    <mergeCell ref="X35:X36"/>
    <mergeCell ref="S89:S90"/>
    <mergeCell ref="T89:T90"/>
    <mergeCell ref="U89:U90"/>
    <mergeCell ref="V89:V90"/>
    <mergeCell ref="W89:W90"/>
    <mergeCell ref="U35:U36"/>
    <mergeCell ref="S35:S36"/>
    <mergeCell ref="T35:T36"/>
  </mergeCells>
  <pageMargins left="0.7" right="0.7" top="0.75" bottom="0.75" header="0.3" footer="0.3"/>
  <pageSetup paperSize="9" orientation="landscape" verticalDpi="0" r:id="rId1"/>
  <ignoredErrors>
    <ignoredError sqref="B11:B13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73"/>
  <sheetViews>
    <sheetView topLeftCell="AH1" workbookViewId="0">
      <selection activeCell="AS15" sqref="AS15"/>
    </sheetView>
  </sheetViews>
  <sheetFormatPr defaultRowHeight="15" x14ac:dyDescent="0.25"/>
  <cols>
    <col min="1" max="1" width="4.140625" customWidth="1"/>
    <col min="2" max="2" width="21.42578125" customWidth="1"/>
    <col min="3" max="3" width="12.140625" customWidth="1"/>
    <col min="4" max="4" width="12.85546875" customWidth="1"/>
    <col min="5" max="5" width="10.140625" customWidth="1"/>
    <col min="6" max="7" width="10.5703125" customWidth="1"/>
    <col min="8" max="8" width="9.85546875" customWidth="1"/>
    <col min="9" max="9" width="11.28515625" customWidth="1"/>
    <col min="10" max="10" width="11.140625" customWidth="1"/>
    <col min="11" max="11" width="11.85546875" customWidth="1"/>
    <col min="12" max="12" width="12.28515625" customWidth="1"/>
    <col min="13" max="13" width="11.28515625" customWidth="1"/>
    <col min="14" max="14" width="12.28515625" customWidth="1"/>
    <col min="15" max="15" width="11.85546875" customWidth="1"/>
    <col min="16" max="22" width="11.7109375" customWidth="1"/>
    <col min="23" max="23" width="12.140625" customWidth="1"/>
    <col min="24" max="24" width="12.5703125" customWidth="1"/>
    <col min="25" max="25" width="12.42578125" customWidth="1"/>
    <col min="26" max="26" width="10.5703125" customWidth="1"/>
    <col min="27" max="28" width="10.28515625" customWidth="1"/>
    <col min="29" max="29" width="11.140625" customWidth="1"/>
    <col min="30" max="30" width="11" customWidth="1"/>
    <col min="31" max="31" width="10.42578125" customWidth="1"/>
    <col min="32" max="32" width="11.28515625" customWidth="1"/>
    <col min="33" max="37" width="12.140625" customWidth="1"/>
    <col min="38" max="40" width="11" customWidth="1"/>
    <col min="41" max="41" width="10.5703125" customWidth="1"/>
    <col min="42" max="43" width="11" customWidth="1"/>
    <col min="44" max="44" width="10.85546875" customWidth="1"/>
    <col min="45" max="45" width="12.140625" customWidth="1"/>
    <col min="46" max="46" width="10.42578125" customWidth="1"/>
    <col min="47" max="47" width="10" customWidth="1"/>
    <col min="48" max="48" width="12" customWidth="1"/>
    <col min="49" max="49" width="10.85546875" customWidth="1"/>
    <col min="50" max="50" width="11.28515625" customWidth="1"/>
    <col min="51" max="51" width="10.5703125" customWidth="1"/>
    <col min="52" max="54" width="12.140625" customWidth="1"/>
    <col min="55" max="57" width="12" customWidth="1"/>
    <col min="58" max="58" width="11.7109375" customWidth="1"/>
    <col min="59" max="59" width="12" customWidth="1"/>
    <col min="60" max="61" width="12.140625" customWidth="1"/>
    <col min="62" max="62" width="12.28515625" customWidth="1"/>
    <col min="63" max="63" width="8.7109375" customWidth="1"/>
    <col min="64" max="64" width="10" customWidth="1"/>
    <col min="65" max="65" width="11" customWidth="1"/>
    <col min="66" max="67" width="9.5703125" customWidth="1"/>
    <col min="68" max="68" width="9.85546875" customWidth="1"/>
    <col min="69" max="69" width="10.85546875" customWidth="1"/>
    <col min="70" max="70" width="9.140625" customWidth="1"/>
  </cols>
  <sheetData>
    <row r="1" spans="1:70" ht="1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BJ1" s="250"/>
      <c r="BK1" s="250"/>
      <c r="BL1" s="250"/>
    </row>
    <row r="2" spans="1:70" ht="18.75" x14ac:dyDescent="0.3">
      <c r="B2" s="84" t="s">
        <v>758</v>
      </c>
      <c r="C2" s="84"/>
      <c r="D2" s="84"/>
      <c r="E2" s="84"/>
      <c r="F2" s="84"/>
      <c r="BJ2" s="250"/>
      <c r="BK2" s="250"/>
      <c r="BL2" s="250"/>
    </row>
    <row r="3" spans="1:70" ht="18.75" x14ac:dyDescent="0.3">
      <c r="B3" s="373"/>
      <c r="C3" s="374"/>
      <c r="D3" s="374"/>
      <c r="E3" s="374"/>
      <c r="F3" s="374"/>
      <c r="AT3" s="353"/>
      <c r="BJ3" s="250"/>
      <c r="BK3" s="250"/>
      <c r="BL3" s="250"/>
      <c r="BM3" s="250"/>
      <c r="BN3" s="250"/>
      <c r="BO3" s="250"/>
      <c r="BP3" s="250"/>
      <c r="BQ3" s="250"/>
      <c r="BR3" s="250"/>
    </row>
    <row r="4" spans="1:70" x14ac:dyDescent="0.25">
      <c r="BJ4" s="167"/>
      <c r="BK4" s="223"/>
      <c r="BL4" s="223"/>
      <c r="BM4" s="250"/>
      <c r="BN4" s="250"/>
      <c r="BO4" s="250"/>
      <c r="BP4" s="250"/>
      <c r="BQ4" s="250"/>
      <c r="BR4" s="250"/>
    </row>
    <row r="5" spans="1:70" ht="43.5" customHeight="1" x14ac:dyDescent="0.25">
      <c r="A5" s="1985" t="s">
        <v>0</v>
      </c>
      <c r="B5" s="1985" t="s">
        <v>184</v>
      </c>
      <c r="C5" s="1985" t="s">
        <v>54</v>
      </c>
      <c r="D5" s="1985" t="s">
        <v>55</v>
      </c>
      <c r="E5" s="1985" t="s">
        <v>56</v>
      </c>
      <c r="F5" s="1985" t="s">
        <v>57</v>
      </c>
      <c r="G5" s="1985" t="s">
        <v>6</v>
      </c>
      <c r="H5" s="1985" t="s">
        <v>288</v>
      </c>
      <c r="I5" s="1989" t="s">
        <v>290</v>
      </c>
      <c r="J5" s="1990"/>
      <c r="K5" s="1989" t="s">
        <v>656</v>
      </c>
      <c r="L5" s="1990"/>
      <c r="M5" s="1989" t="s">
        <v>657</v>
      </c>
      <c r="N5" s="1990"/>
      <c r="O5" s="1989" t="s">
        <v>658</v>
      </c>
      <c r="P5" s="1990"/>
      <c r="Q5" s="1989" t="s">
        <v>310</v>
      </c>
      <c r="R5" s="1990"/>
      <c r="S5" s="1989" t="s">
        <v>593</v>
      </c>
      <c r="T5" s="1990"/>
      <c r="U5" s="1989" t="s">
        <v>284</v>
      </c>
      <c r="V5" s="1990"/>
      <c r="W5" s="2017" t="s">
        <v>719</v>
      </c>
      <c r="X5" s="2017"/>
      <c r="Y5" s="2022" t="s">
        <v>748</v>
      </c>
      <c r="Z5" s="1997" t="s">
        <v>687</v>
      </c>
      <c r="AA5" s="1997" t="s">
        <v>333</v>
      </c>
      <c r="AB5" s="1997" t="s">
        <v>562</v>
      </c>
      <c r="AC5" s="1997" t="s">
        <v>563</v>
      </c>
      <c r="AD5" s="1997" t="s">
        <v>337</v>
      </c>
      <c r="AE5" s="1997" t="s">
        <v>565</v>
      </c>
      <c r="AF5" s="1997" t="s">
        <v>564</v>
      </c>
      <c r="AG5" s="1997" t="s">
        <v>679</v>
      </c>
      <c r="AH5" s="1997" t="s">
        <v>678</v>
      </c>
      <c r="AI5" s="1997" t="s">
        <v>680</v>
      </c>
      <c r="AJ5" s="2035" t="s">
        <v>681</v>
      </c>
      <c r="AK5" s="2035" t="s">
        <v>682</v>
      </c>
      <c r="AL5" s="2035" t="s">
        <v>683</v>
      </c>
      <c r="AM5" s="2026" t="s">
        <v>684</v>
      </c>
      <c r="AN5" s="2026" t="s">
        <v>685</v>
      </c>
      <c r="AO5" s="2026" t="s">
        <v>686</v>
      </c>
      <c r="AP5" s="1997" t="s">
        <v>696</v>
      </c>
      <c r="AQ5" s="1997" t="s">
        <v>697</v>
      </c>
      <c r="AR5" s="1997" t="s">
        <v>737</v>
      </c>
      <c r="AS5" s="2022" t="s">
        <v>720</v>
      </c>
      <c r="AT5" s="1997" t="s">
        <v>689</v>
      </c>
      <c r="AU5" s="1997" t="s">
        <v>630</v>
      </c>
      <c r="AV5" s="1997" t="s">
        <v>314</v>
      </c>
      <c r="AW5" s="1446" t="s">
        <v>616</v>
      </c>
      <c r="AX5" s="2024" t="s">
        <v>691</v>
      </c>
      <c r="AY5" s="2026" t="s">
        <v>690</v>
      </c>
      <c r="AZ5" s="1997" t="s">
        <v>313</v>
      </c>
      <c r="BA5" s="1997" t="s">
        <v>554</v>
      </c>
      <c r="BB5" s="2022" t="s">
        <v>692</v>
      </c>
      <c r="BC5" s="1987" t="s">
        <v>721</v>
      </c>
      <c r="BD5" s="2029" t="s">
        <v>712</v>
      </c>
      <c r="BE5" s="2029" t="s">
        <v>713</v>
      </c>
      <c r="BF5" s="1987" t="s">
        <v>723</v>
      </c>
      <c r="BG5" s="2029" t="s">
        <v>694</v>
      </c>
      <c r="BH5" s="2029" t="s">
        <v>714</v>
      </c>
      <c r="BI5" s="1987" t="s">
        <v>722</v>
      </c>
      <c r="BJ5" s="2009" t="s">
        <v>175</v>
      </c>
      <c r="BK5" s="2005" t="s">
        <v>724</v>
      </c>
      <c r="BL5" s="2001" t="s">
        <v>182</v>
      </c>
      <c r="BM5" s="2001" t="s">
        <v>566</v>
      </c>
      <c r="BN5" s="1999" t="s">
        <v>715</v>
      </c>
      <c r="BO5" s="2001" t="s">
        <v>725</v>
      </c>
      <c r="BP5" s="1999" t="s">
        <v>716</v>
      </c>
      <c r="BQ5" s="2031" t="s">
        <v>768</v>
      </c>
      <c r="BR5" s="2033"/>
    </row>
    <row r="6" spans="1:70" ht="65.25" customHeight="1" x14ac:dyDescent="0.25">
      <c r="A6" s="1986"/>
      <c r="B6" s="1986"/>
      <c r="C6" s="1986"/>
      <c r="D6" s="1986"/>
      <c r="E6" s="1986"/>
      <c r="F6" s="1986"/>
      <c r="G6" s="1986"/>
      <c r="H6" s="1986"/>
      <c r="I6" s="150" t="s">
        <v>15</v>
      </c>
      <c r="J6" s="1313" t="s">
        <v>16</v>
      </c>
      <c r="K6" s="150" t="s">
        <v>15</v>
      </c>
      <c r="L6" s="1313" t="s">
        <v>16</v>
      </c>
      <c r="M6" s="150" t="s">
        <v>15</v>
      </c>
      <c r="N6" s="1313" t="s">
        <v>16</v>
      </c>
      <c r="O6" s="150" t="s">
        <v>15</v>
      </c>
      <c r="P6" s="1313" t="s">
        <v>16</v>
      </c>
      <c r="Q6" s="150" t="s">
        <v>15</v>
      </c>
      <c r="R6" s="1313" t="s">
        <v>16</v>
      </c>
      <c r="S6" s="150" t="s">
        <v>15</v>
      </c>
      <c r="T6" s="1359" t="s">
        <v>16</v>
      </c>
      <c r="U6" s="150" t="s">
        <v>15</v>
      </c>
      <c r="V6" s="1395" t="s">
        <v>16</v>
      </c>
      <c r="W6" s="150" t="s">
        <v>15</v>
      </c>
      <c r="X6" s="1313" t="s">
        <v>16</v>
      </c>
      <c r="Y6" s="2023"/>
      <c r="Z6" s="1998"/>
      <c r="AA6" s="1998"/>
      <c r="AB6" s="1998"/>
      <c r="AC6" s="1998"/>
      <c r="AD6" s="1998"/>
      <c r="AE6" s="1998"/>
      <c r="AF6" s="1998"/>
      <c r="AG6" s="1998"/>
      <c r="AH6" s="1998"/>
      <c r="AI6" s="1998"/>
      <c r="AJ6" s="2036"/>
      <c r="AK6" s="2036"/>
      <c r="AL6" s="2036"/>
      <c r="AM6" s="2026"/>
      <c r="AN6" s="2026"/>
      <c r="AO6" s="2026"/>
      <c r="AP6" s="1998"/>
      <c r="AQ6" s="1998"/>
      <c r="AR6" s="1998"/>
      <c r="AS6" s="2023"/>
      <c r="AT6" s="1998"/>
      <c r="AU6" s="1998"/>
      <c r="AV6" s="1998"/>
      <c r="AW6" s="1447"/>
      <c r="AX6" s="2025"/>
      <c r="AY6" s="2026"/>
      <c r="AZ6" s="1998"/>
      <c r="BA6" s="1998"/>
      <c r="BB6" s="2023"/>
      <c r="BC6" s="1988"/>
      <c r="BD6" s="2030"/>
      <c r="BE6" s="2030"/>
      <c r="BF6" s="1988"/>
      <c r="BG6" s="2030"/>
      <c r="BH6" s="2030"/>
      <c r="BI6" s="1988"/>
      <c r="BJ6" s="2009"/>
      <c r="BK6" s="2006"/>
      <c r="BL6" s="2002"/>
      <c r="BM6" s="2002"/>
      <c r="BN6" s="2000"/>
      <c r="BO6" s="2002"/>
      <c r="BP6" s="2000"/>
      <c r="BQ6" s="2032"/>
      <c r="BR6" s="2034"/>
    </row>
    <row r="7" spans="1:70" s="124" customFormat="1" x14ac:dyDescent="0.25">
      <c r="A7" s="2">
        <v>1</v>
      </c>
      <c r="B7" s="1319" t="s">
        <v>17</v>
      </c>
      <c r="C7" s="908">
        <v>1977</v>
      </c>
      <c r="D7" s="908">
        <v>5</v>
      </c>
      <c r="E7" s="737">
        <v>45</v>
      </c>
      <c r="F7" s="909">
        <v>132</v>
      </c>
      <c r="G7" s="910">
        <v>2366.1999999999998</v>
      </c>
      <c r="H7" s="910">
        <v>207.4</v>
      </c>
      <c r="I7" s="738">
        <v>53557.38</v>
      </c>
      <c r="J7" s="738">
        <v>63733.88</v>
      </c>
      <c r="K7" s="738">
        <v>2272.92</v>
      </c>
      <c r="L7" s="738">
        <v>2704.76</v>
      </c>
      <c r="M7" s="911">
        <v>10655.28</v>
      </c>
      <c r="N7" s="911">
        <v>12679.92</v>
      </c>
      <c r="O7" s="912">
        <v>25287</v>
      </c>
      <c r="P7" s="912">
        <v>30003.03</v>
      </c>
      <c r="Q7" s="912">
        <v>213448.08</v>
      </c>
      <c r="R7" s="912">
        <v>193077.02</v>
      </c>
      <c r="S7" s="912">
        <v>3867.57</v>
      </c>
      <c r="T7" s="912">
        <v>3675.87</v>
      </c>
      <c r="U7" s="912">
        <v>106546.5</v>
      </c>
      <c r="V7" s="912">
        <v>105969.23</v>
      </c>
      <c r="W7" s="912">
        <f>I7+K7+M7+O7+Q7+S7+U7</f>
        <v>415634.73</v>
      </c>
      <c r="X7" s="912">
        <f>J7+L7+N7+P7+R7+T7+V7</f>
        <v>411843.70999999996</v>
      </c>
      <c r="Y7" s="1495">
        <f>AS7+AX7+BB7+BC7+BF7+BI7</f>
        <v>312855.66055760602</v>
      </c>
      <c r="Z7" s="1317">
        <v>5549.87</v>
      </c>
      <c r="AA7" s="1317">
        <f>2150/23777.9*G7</f>
        <v>213.95203108769064</v>
      </c>
      <c r="AB7" s="913">
        <v>1206.24</v>
      </c>
      <c r="AC7" s="913">
        <v>3206</v>
      </c>
      <c r="AD7" s="913">
        <v>3388.42</v>
      </c>
      <c r="AE7" s="913">
        <f>750/20417.9*G7</f>
        <v>86.916382194055203</v>
      </c>
      <c r="AF7" s="913">
        <f>750/20417.9*G7</f>
        <v>86.916382194055203</v>
      </c>
      <c r="AG7" s="678">
        <v>4495.458988828429</v>
      </c>
      <c r="AH7" s="890">
        <f>12320.91/23777.9*G7</f>
        <v>1226.0854508598318</v>
      </c>
      <c r="AI7" s="591">
        <f>AG7+AH7</f>
        <v>5721.5444396882613</v>
      </c>
      <c r="AJ7" s="591">
        <v>35693.4069918475</v>
      </c>
      <c r="AK7" s="591">
        <f>249257.58/23777.9*G7</f>
        <v>24804.263025582575</v>
      </c>
      <c r="AL7" s="591">
        <f>AJ7+AK7</f>
        <v>60497.670017430079</v>
      </c>
      <c r="AM7" s="591">
        <v>8143.6165230508523</v>
      </c>
      <c r="AN7" s="591">
        <f>22041.91/23777.9*G7</f>
        <v>2193.4471690939904</v>
      </c>
      <c r="AO7" s="913">
        <f>AM7+AN7</f>
        <v>10337.063692144842</v>
      </c>
      <c r="AP7" s="591">
        <f>523415.94/20417.9*G7</f>
        <v>60657.893183334229</v>
      </c>
      <c r="AQ7" s="591">
        <f>322086.22/23777.9*G7</f>
        <v>32051.628350863608</v>
      </c>
      <c r="AR7" s="591">
        <f>AP7+AQ7</f>
        <v>92709.521534197833</v>
      </c>
      <c r="AS7" s="650">
        <f>AR7+AO7+AL7+AI7+AF7+AE7+AD7+AC7+AB7+AA7+Z7</f>
        <v>183004.11447893683</v>
      </c>
      <c r="AT7" s="1424">
        <v>3705</v>
      </c>
      <c r="AU7" s="913">
        <v>4137.6000000000004</v>
      </c>
      <c r="AV7" s="1442"/>
      <c r="AW7" s="1442">
        <v>26801.040000000001</v>
      </c>
      <c r="AX7" s="649">
        <f>AV7+AU7+AT7+AW7</f>
        <v>34643.64</v>
      </c>
      <c r="AY7" s="591"/>
      <c r="AZ7" s="678">
        <f>410180.33/2407.4*H7</f>
        <v>35337.45968347595</v>
      </c>
      <c r="BA7" s="678">
        <f>AZ7*0.202</f>
        <v>7138.1668560621429</v>
      </c>
      <c r="BB7" s="687">
        <f>BA7+AZ7+AY7</f>
        <v>42475.626539538091</v>
      </c>
      <c r="BC7" s="1129">
        <f>106838.13/20417.9*G7</f>
        <v>12381.311653304207</v>
      </c>
      <c r="BD7" s="1408">
        <f>15230.89/20417.9*G7</f>
        <v>1765.0851418608181</v>
      </c>
      <c r="BE7" s="1408">
        <f>12318.71/23777.9*G7</f>
        <v>1225.8665232001142</v>
      </c>
      <c r="BF7" s="1129">
        <f>25549.6/23777.9*G7</f>
        <v>2542.5064248735162</v>
      </c>
      <c r="BG7" s="1408">
        <f>G7*1.78*9</f>
        <v>37906.52399999999</v>
      </c>
      <c r="BH7" s="1408">
        <f>846.18/20417.9*G7</f>
        <v>98.062539046620842</v>
      </c>
      <c r="BI7" s="1129">
        <f>BG7-BH7</f>
        <v>37808.461460953367</v>
      </c>
      <c r="BJ7" s="1129">
        <f>W7-Y7</f>
        <v>102779.06944239396</v>
      </c>
      <c r="BK7" s="524">
        <f>X7/W7*100</f>
        <v>99.087896240047115</v>
      </c>
      <c r="BL7" s="1444">
        <f>Y7/G7/9</f>
        <v>14.690955989331513</v>
      </c>
      <c r="BM7" s="525">
        <f>W7-X7</f>
        <v>3791.0200000000186</v>
      </c>
      <c r="BN7" s="1445">
        <v>14.83</v>
      </c>
      <c r="BO7" s="1445">
        <f>U7-V7</f>
        <v>577.27000000000407</v>
      </c>
      <c r="BP7" s="1445">
        <v>5</v>
      </c>
      <c r="BQ7" s="467">
        <f>U7-AX7</f>
        <v>71902.86</v>
      </c>
      <c r="BR7" s="391"/>
    </row>
    <row r="8" spans="1:70" s="124" customFormat="1" x14ac:dyDescent="0.25">
      <c r="A8" s="5">
        <v>2</v>
      </c>
      <c r="B8" s="1320" t="s">
        <v>18</v>
      </c>
      <c r="C8" s="737">
        <v>1977</v>
      </c>
      <c r="D8" s="737">
        <v>5</v>
      </c>
      <c r="E8" s="737">
        <v>45</v>
      </c>
      <c r="F8" s="909">
        <v>117</v>
      </c>
      <c r="G8" s="738">
        <v>2363.9</v>
      </c>
      <c r="H8" s="738">
        <v>207.4</v>
      </c>
      <c r="I8" s="738">
        <v>53480.34</v>
      </c>
      <c r="J8" s="738">
        <v>60366.239999999998</v>
      </c>
      <c r="K8" s="738">
        <v>2269.62</v>
      </c>
      <c r="L8" s="738">
        <v>2561.9</v>
      </c>
      <c r="M8" s="911">
        <v>10640.1</v>
      </c>
      <c r="N8" s="911">
        <v>12010.09</v>
      </c>
      <c r="O8" s="912">
        <v>25250.82</v>
      </c>
      <c r="P8" s="912">
        <v>28461.99</v>
      </c>
      <c r="Q8" s="912">
        <v>212710.22</v>
      </c>
      <c r="R8" s="912">
        <v>182971.27</v>
      </c>
      <c r="S8" s="912">
        <v>3867.72</v>
      </c>
      <c r="T8" s="912">
        <v>3653.45</v>
      </c>
      <c r="U8" s="912">
        <v>106391.5</v>
      </c>
      <c r="V8" s="912">
        <v>100698.18</v>
      </c>
      <c r="W8" s="912">
        <f t="shared" ref="W8:W14" si="0">I8+K8+M8+O8+Q8+S8+U8</f>
        <v>414610.31999999995</v>
      </c>
      <c r="X8" s="912">
        <f t="shared" ref="X8:X14" si="1">J8+L8+N8+P8+R8+T8+V8</f>
        <v>390723.12</v>
      </c>
      <c r="Y8" s="1495">
        <f t="shared" ref="Y8:Y14" si="2">AS8+AX8+BB8+BC8+BF8+BI8</f>
        <v>285279.38319635787</v>
      </c>
      <c r="Z8" s="1317">
        <v>5481.89</v>
      </c>
      <c r="AA8" s="1317">
        <f t="shared" ref="AA8:AA14" si="3">2150/23777.9*G8</f>
        <v>213.74406486695628</v>
      </c>
      <c r="AB8" s="913">
        <v>1205.06</v>
      </c>
      <c r="AC8" s="913">
        <v>1946</v>
      </c>
      <c r="AD8" s="913">
        <v>2743.44</v>
      </c>
      <c r="AE8" s="913">
        <f t="shared" ref="AE8:AE13" si="4">750/20417.9*G8</f>
        <v>86.831897501701931</v>
      </c>
      <c r="AF8" s="913">
        <f t="shared" ref="AF8:AF13" si="5">750/20417.9*G8</f>
        <v>86.831897501701931</v>
      </c>
      <c r="AG8" s="678">
        <v>4491.0893008585599</v>
      </c>
      <c r="AH8" s="890">
        <f t="shared" ref="AH8:AH14" si="6">12320.91/23777.9*G8</f>
        <v>1224.8936680278746</v>
      </c>
      <c r="AI8" s="591">
        <f t="shared" ref="AI8:AI14" si="7">AG8+AH8</f>
        <v>5715.9829688864347</v>
      </c>
      <c r="AJ8" s="591">
        <v>35548.538927852474</v>
      </c>
      <c r="AK8" s="591">
        <f t="shared" ref="AK8:AK14" si="8">249257.58/23777.9*G8</f>
        <v>24780.152720046764</v>
      </c>
      <c r="AL8" s="591">
        <f t="shared" ref="AL8:AL14" si="9">AJ8+AK8</f>
        <v>60328.691647899235</v>
      </c>
      <c r="AM8" s="591">
        <v>8135.7007433183635</v>
      </c>
      <c r="AN8" s="591">
        <f t="shared" ref="AN8:AN14" si="10">22041.91/23777.9*G8</f>
        <v>2191.3150887588895</v>
      </c>
      <c r="AO8" s="913">
        <f t="shared" ref="AO8:AO14" si="11">AM8+AN8</f>
        <v>10327.015832077253</v>
      </c>
      <c r="AP8" s="591">
        <f t="shared" ref="AP8:AP13" si="12">523415.94/20417.9*G8</f>
        <v>60598.932337115963</v>
      </c>
      <c r="AQ8" s="591">
        <f t="shared" ref="AQ8:AQ14" si="13">322086.22/23777.9*G8</f>
        <v>32020.473442061742</v>
      </c>
      <c r="AR8" s="591">
        <f t="shared" ref="AR8:AR14" si="14">AP8+AQ8</f>
        <v>92619.405779177701</v>
      </c>
      <c r="AS8" s="650">
        <f t="shared" ref="AS8:AS14" si="15">AR8+AO8+AL8+AI8+AF8+AE8+AD8+AC8+AB8+AA8+Z8</f>
        <v>180754.89408791097</v>
      </c>
      <c r="AT8" s="1424">
        <v>3705</v>
      </c>
      <c r="AU8" s="913">
        <v>4137.6000000000004</v>
      </c>
      <c r="AV8" s="1442"/>
      <c r="AW8" s="1442">
        <v>1525.24</v>
      </c>
      <c r="AX8" s="649">
        <f t="shared" ref="AX8:AX14" si="16">AV8+AU8+AT8+AW8</f>
        <v>9367.84</v>
      </c>
      <c r="AY8" s="591"/>
      <c r="AZ8" s="678">
        <f t="shared" ref="AZ8:AZ13" si="17">410180.33/2407.4*H8</f>
        <v>35337.45968347595</v>
      </c>
      <c r="BA8" s="678">
        <f t="shared" ref="BA8:BA13" si="18">AZ8*0.202</f>
        <v>7138.1668560621429</v>
      </c>
      <c r="BB8" s="687">
        <f t="shared" ref="BB8:BB14" si="19">BA8+AZ8+AY8</f>
        <v>42475.626539538091</v>
      </c>
      <c r="BC8" s="1129">
        <f t="shared" ref="BC8:BC13" si="20">106838.13/20417.9*G8</f>
        <v>12369.276737911343</v>
      </c>
      <c r="BD8" s="1408">
        <f t="shared" ref="BD8:BD13" si="21">15230.89/20417.9*G8</f>
        <v>1763.3694391195961</v>
      </c>
      <c r="BE8" s="1408">
        <f t="shared" ref="BE8:BE14" si="22">12318.71/23777.9*G8</f>
        <v>1224.6749531708012</v>
      </c>
      <c r="BF8" s="1129">
        <f t="shared" ref="BF8:BF14" si="23">25549.6/23777.9*G8</f>
        <v>2540.0350510347839</v>
      </c>
      <c r="BG8" s="1408">
        <f t="shared" ref="BG8:BG13" si="24">G8*1.78*9</f>
        <v>37869.678</v>
      </c>
      <c r="BH8" s="1408">
        <f t="shared" ref="BH8:BH13" si="25">846.18/20417.9*G8</f>
        <v>97.967220037320189</v>
      </c>
      <c r="BI8" s="1129">
        <f t="shared" ref="BI8:BI14" si="26">BG8-BH8</f>
        <v>37771.710779962683</v>
      </c>
      <c r="BJ8" s="1129">
        <f t="shared" ref="BJ8:BJ14" si="27">W8-Y8</f>
        <v>129330.93680364208</v>
      </c>
      <c r="BK8" s="524">
        <f t="shared" ref="BK8:BK15" si="28">X8/W8*100</f>
        <v>94.238638343589713</v>
      </c>
      <c r="BL8" s="1444">
        <f t="shared" ref="BL8:BL13" si="29">Y8/G8/9</f>
        <v>13.409073668107688</v>
      </c>
      <c r="BM8" s="525">
        <f t="shared" ref="BM8:BM15" si="30">W8-X8</f>
        <v>23887.199999999953</v>
      </c>
      <c r="BN8" s="1445">
        <v>14.81</v>
      </c>
      <c r="BO8" s="1445">
        <f t="shared" ref="BO8:BO14" si="31">U8-V8</f>
        <v>5693.320000000007</v>
      </c>
      <c r="BP8" s="1445">
        <v>5</v>
      </c>
      <c r="BQ8" s="467">
        <f t="shared" ref="BQ8:BQ14" si="32">U8-AX8</f>
        <v>97023.66</v>
      </c>
      <c r="BR8" s="391"/>
    </row>
    <row r="9" spans="1:70" s="124" customFormat="1" x14ac:dyDescent="0.25">
      <c r="A9" s="5">
        <v>3</v>
      </c>
      <c r="B9" s="1320" t="s">
        <v>19</v>
      </c>
      <c r="C9" s="737">
        <v>1986</v>
      </c>
      <c r="D9" s="737">
        <v>3</v>
      </c>
      <c r="E9" s="737">
        <v>24</v>
      </c>
      <c r="F9" s="909">
        <v>83</v>
      </c>
      <c r="G9" s="738">
        <v>1440.6</v>
      </c>
      <c r="H9" s="738">
        <v>174</v>
      </c>
      <c r="I9" s="738">
        <v>21263.279999999999</v>
      </c>
      <c r="J9" s="738">
        <v>24587.96</v>
      </c>
      <c r="K9" s="738">
        <v>1383</v>
      </c>
      <c r="L9" s="738">
        <v>1599.24</v>
      </c>
      <c r="M9" s="911">
        <v>0</v>
      </c>
      <c r="N9" s="911">
        <v>0</v>
      </c>
      <c r="O9" s="912">
        <v>15385.74</v>
      </c>
      <c r="P9" s="912">
        <v>17772.95</v>
      </c>
      <c r="Q9" s="912">
        <v>122739.24</v>
      </c>
      <c r="R9" s="912">
        <v>110787.27</v>
      </c>
      <c r="S9" s="912">
        <v>3244.68</v>
      </c>
      <c r="T9" s="912">
        <v>3111.63</v>
      </c>
      <c r="U9" s="912">
        <v>64827</v>
      </c>
      <c r="V9" s="912">
        <v>62955.81</v>
      </c>
      <c r="W9" s="912">
        <f t="shared" si="0"/>
        <v>228842.94</v>
      </c>
      <c r="X9" s="912">
        <f t="shared" si="1"/>
        <v>220814.86000000002</v>
      </c>
      <c r="Y9" s="1495">
        <f t="shared" si="2"/>
        <v>208731.57136880959</v>
      </c>
      <c r="Z9" s="1317">
        <v>5813.76</v>
      </c>
      <c r="AA9" s="1317">
        <f t="shared" si="3"/>
        <v>130.25919025649867</v>
      </c>
      <c r="AB9" s="913">
        <v>734.39</v>
      </c>
      <c r="AC9" s="913"/>
      <c r="AD9" s="913">
        <v>1952.79</v>
      </c>
      <c r="AE9" s="913">
        <f t="shared" si="4"/>
        <v>52.916803393101141</v>
      </c>
      <c r="AF9" s="913">
        <f t="shared" si="5"/>
        <v>52.916803393101141</v>
      </c>
      <c r="AG9" s="678">
        <v>2736.9445606061345</v>
      </c>
      <c r="AH9" s="890">
        <f t="shared" si="6"/>
        <v>746.47058596427757</v>
      </c>
      <c r="AI9" s="591">
        <f t="shared" si="7"/>
        <v>3483.4151465704122</v>
      </c>
      <c r="AJ9" s="591">
        <v>22202.452150542264</v>
      </c>
      <c r="AK9" s="591">
        <f t="shared" si="8"/>
        <v>15101.437458648576</v>
      </c>
      <c r="AL9" s="591">
        <f t="shared" si="9"/>
        <v>37303.889609190839</v>
      </c>
      <c r="AM9" s="591">
        <v>4958.0314272280693</v>
      </c>
      <c r="AN9" s="591">
        <f t="shared" si="10"/>
        <v>1335.4238829333119</v>
      </c>
      <c r="AO9" s="913">
        <f t="shared" si="11"/>
        <v>6293.455310161381</v>
      </c>
      <c r="AP9" s="591">
        <f t="shared" si="12"/>
        <v>36929.997853060304</v>
      </c>
      <c r="AQ9" s="591">
        <f t="shared" si="13"/>
        <v>19513.809399989059</v>
      </c>
      <c r="AR9" s="591">
        <f t="shared" si="14"/>
        <v>56443.807253049366</v>
      </c>
      <c r="AS9" s="650">
        <f t="shared" si="15"/>
        <v>112261.60011601468</v>
      </c>
      <c r="AT9" s="1424">
        <v>2288.64</v>
      </c>
      <c r="AU9" s="913"/>
      <c r="AV9" s="1442">
        <v>1397.22</v>
      </c>
      <c r="AW9" s="1442">
        <v>25044.13</v>
      </c>
      <c r="AX9" s="649">
        <f t="shared" si="16"/>
        <v>28729.99</v>
      </c>
      <c r="AY9" s="591"/>
      <c r="AZ9" s="678">
        <f t="shared" si="17"/>
        <v>29646.66337957963</v>
      </c>
      <c r="BA9" s="678">
        <f t="shared" si="18"/>
        <v>5988.6260026750851</v>
      </c>
      <c r="BB9" s="687">
        <f t="shared" si="19"/>
        <v>35635.289382254712</v>
      </c>
      <c r="BC9" s="1129">
        <f t="shared" si="20"/>
        <v>7538.0430934621081</v>
      </c>
      <c r="BD9" s="1408">
        <f t="shared" si="21"/>
        <v>1074.6266821759339</v>
      </c>
      <c r="BE9" s="1408">
        <f t="shared" si="22"/>
        <v>746.33729749052679</v>
      </c>
      <c r="BF9" s="1129">
        <f t="shared" si="23"/>
        <v>1547.9396313383431</v>
      </c>
      <c r="BG9" s="1408">
        <f t="shared" si="24"/>
        <v>23078.412</v>
      </c>
      <c r="BH9" s="1408">
        <f t="shared" si="25"/>
        <v>59.702854260232435</v>
      </c>
      <c r="BI9" s="1129">
        <f t="shared" si="26"/>
        <v>23018.709145739769</v>
      </c>
      <c r="BJ9" s="1129">
        <f t="shared" si="27"/>
        <v>20111.368631190417</v>
      </c>
      <c r="BK9" s="524">
        <f t="shared" si="28"/>
        <v>96.491882161625782</v>
      </c>
      <c r="BL9" s="1444">
        <f t="shared" si="29"/>
        <v>16.099123156154814</v>
      </c>
      <c r="BM9" s="525">
        <f t="shared" si="30"/>
        <v>8028.0799999999872</v>
      </c>
      <c r="BN9" s="1445">
        <v>12.84</v>
      </c>
      <c r="BO9" s="1445">
        <f t="shared" si="31"/>
        <v>1871.1900000000023</v>
      </c>
      <c r="BP9" s="1445">
        <v>5</v>
      </c>
      <c r="BQ9" s="467">
        <f t="shared" si="32"/>
        <v>36097.009999999995</v>
      </c>
      <c r="BR9" s="391"/>
    </row>
    <row r="10" spans="1:70" s="124" customFormat="1" x14ac:dyDescent="0.25">
      <c r="A10" s="5">
        <v>4</v>
      </c>
      <c r="B10" s="1320" t="s">
        <v>20</v>
      </c>
      <c r="C10" s="737">
        <v>1992</v>
      </c>
      <c r="D10" s="737">
        <v>5</v>
      </c>
      <c r="E10" s="737">
        <v>60</v>
      </c>
      <c r="F10" s="909">
        <v>167</v>
      </c>
      <c r="G10" s="738">
        <v>3634.3</v>
      </c>
      <c r="H10" s="738">
        <v>468.3</v>
      </c>
      <c r="I10" s="738">
        <v>52998.42</v>
      </c>
      <c r="J10" s="738">
        <v>60053.57</v>
      </c>
      <c r="K10" s="738">
        <v>3489.54</v>
      </c>
      <c r="L10" s="738">
        <v>3654.74</v>
      </c>
      <c r="M10" s="911">
        <v>14612.88</v>
      </c>
      <c r="N10" s="911">
        <v>16270.48</v>
      </c>
      <c r="O10" s="912">
        <v>38821.68</v>
      </c>
      <c r="P10" s="912">
        <v>43815.199999999997</v>
      </c>
      <c r="Q10" s="912">
        <v>335329.02</v>
      </c>
      <c r="R10" s="912">
        <v>300555.77</v>
      </c>
      <c r="S10" s="912">
        <v>8733</v>
      </c>
      <c r="T10" s="912">
        <v>8378.9599999999991</v>
      </c>
      <c r="U10" s="912">
        <v>163575</v>
      </c>
      <c r="V10" s="912">
        <v>157084.82</v>
      </c>
      <c r="W10" s="912">
        <f t="shared" si="0"/>
        <v>617559.54</v>
      </c>
      <c r="X10" s="912">
        <f t="shared" si="1"/>
        <v>589813.54</v>
      </c>
      <c r="Y10" s="1495">
        <f t="shared" si="2"/>
        <v>460975.18724728655</v>
      </c>
      <c r="Z10" s="1317">
        <v>5320.23</v>
      </c>
      <c r="AA10" s="1317">
        <f t="shared" si="3"/>
        <v>328.61375478911089</v>
      </c>
      <c r="AB10" s="913">
        <v>1852.69</v>
      </c>
      <c r="AC10" s="913"/>
      <c r="AD10" s="913">
        <v>8721.44</v>
      </c>
      <c r="AE10" s="913">
        <f t="shared" si="4"/>
        <v>133.49683366066049</v>
      </c>
      <c r="AF10" s="913">
        <f t="shared" si="5"/>
        <v>133.49683366066049</v>
      </c>
      <c r="AG10" s="678">
        <v>6904.6769516943459</v>
      </c>
      <c r="AH10" s="890">
        <f t="shared" si="6"/>
        <v>1883.1723244273041</v>
      </c>
      <c r="AI10" s="591">
        <f t="shared" si="7"/>
        <v>8787.8492761216494</v>
      </c>
      <c r="AJ10" s="591">
        <v>59982.80711748555</v>
      </c>
      <c r="AK10" s="591">
        <f t="shared" si="8"/>
        <v>38097.427569045205</v>
      </c>
      <c r="AL10" s="591">
        <f t="shared" si="9"/>
        <v>98080.234686530748</v>
      </c>
      <c r="AM10" s="591">
        <v>12507.9644703422</v>
      </c>
      <c r="AN10" s="591">
        <f t="shared" si="10"/>
        <v>3368.9650268947216</v>
      </c>
      <c r="AO10" s="913">
        <f t="shared" si="11"/>
        <v>15876.929497236921</v>
      </c>
      <c r="AP10" s="591">
        <f t="shared" si="12"/>
        <v>93165.827570024339</v>
      </c>
      <c r="AQ10" s="591">
        <f t="shared" si="13"/>
        <v>49228.819590712374</v>
      </c>
      <c r="AR10" s="591">
        <f t="shared" si="14"/>
        <v>142394.64716073673</v>
      </c>
      <c r="AS10" s="650">
        <f t="shared" si="15"/>
        <v>281629.62804273644</v>
      </c>
      <c r="AT10" s="1424">
        <v>2073.52</v>
      </c>
      <c r="AU10" s="913"/>
      <c r="AV10" s="1442"/>
      <c r="AW10" s="1442">
        <v>371.26</v>
      </c>
      <c r="AX10" s="649">
        <f t="shared" si="16"/>
        <v>2444.7799999999997</v>
      </c>
      <c r="AY10" s="591"/>
      <c r="AZ10" s="678">
        <f t="shared" si="17"/>
        <v>79790.416440558285</v>
      </c>
      <c r="BA10" s="678">
        <f t="shared" si="18"/>
        <v>16117.664120992775</v>
      </c>
      <c r="BB10" s="687">
        <f t="shared" si="19"/>
        <v>95908.080561551062</v>
      </c>
      <c r="BC10" s="1129">
        <f t="shared" si="20"/>
        <v>19016.736092301362</v>
      </c>
      <c r="BD10" s="1408">
        <f t="shared" si="21"/>
        <v>2711.0341184450899</v>
      </c>
      <c r="BE10" s="1408">
        <f t="shared" si="22"/>
        <v>1882.8360684921711</v>
      </c>
      <c r="BF10" s="1129">
        <f t="shared" si="23"/>
        <v>3905.0930183069145</v>
      </c>
      <c r="BG10" s="1408">
        <f t="shared" si="24"/>
        <v>58221.486000000004</v>
      </c>
      <c r="BH10" s="1408">
        <f t="shared" si="25"/>
        <v>150.61646760930358</v>
      </c>
      <c r="BI10" s="1129">
        <f t="shared" si="26"/>
        <v>58070.869532390701</v>
      </c>
      <c r="BJ10" s="1129">
        <f t="shared" si="27"/>
        <v>156584.35275271349</v>
      </c>
      <c r="BK10" s="524">
        <f t="shared" si="28"/>
        <v>95.507153852728109</v>
      </c>
      <c r="BL10" s="1444">
        <f t="shared" si="29"/>
        <v>14.093350920314368</v>
      </c>
      <c r="BM10" s="525">
        <f t="shared" si="30"/>
        <v>27746</v>
      </c>
      <c r="BN10" s="1445">
        <v>14.09</v>
      </c>
      <c r="BO10" s="1445">
        <f t="shared" si="31"/>
        <v>6490.179999999993</v>
      </c>
      <c r="BP10" s="1445">
        <v>5</v>
      </c>
      <c r="BQ10" s="467">
        <f t="shared" si="32"/>
        <v>161130.22</v>
      </c>
      <c r="BR10" s="391"/>
    </row>
    <row r="11" spans="1:70" s="124" customFormat="1" x14ac:dyDescent="0.25">
      <c r="A11" s="5">
        <v>5</v>
      </c>
      <c r="B11" s="1320" t="s">
        <v>22</v>
      </c>
      <c r="C11" s="737">
        <v>1994</v>
      </c>
      <c r="D11" s="737">
        <v>5</v>
      </c>
      <c r="E11" s="737">
        <v>60</v>
      </c>
      <c r="F11" s="909">
        <v>131</v>
      </c>
      <c r="G11" s="738">
        <v>3641.8</v>
      </c>
      <c r="H11" s="738">
        <v>468.3</v>
      </c>
      <c r="I11" s="738">
        <v>53301.42</v>
      </c>
      <c r="J11" s="738">
        <v>62112.160000000003</v>
      </c>
      <c r="K11" s="738">
        <v>3495.32</v>
      </c>
      <c r="L11" s="738">
        <v>4045.39</v>
      </c>
      <c r="M11" s="911">
        <v>14636.17</v>
      </c>
      <c r="N11" s="911">
        <v>16939.330000000002</v>
      </c>
      <c r="O11" s="912">
        <v>38885.25</v>
      </c>
      <c r="P11" s="912">
        <v>45150.79</v>
      </c>
      <c r="Q11" s="912">
        <v>332742.14</v>
      </c>
      <c r="R11" s="912">
        <v>302134.34000000003</v>
      </c>
      <c r="S11" s="912">
        <v>8732.64</v>
      </c>
      <c r="T11" s="912">
        <v>8256.83</v>
      </c>
      <c r="U11" s="912">
        <v>163856</v>
      </c>
      <c r="V11" s="912">
        <v>159947.51999999999</v>
      </c>
      <c r="W11" s="912">
        <f t="shared" si="0"/>
        <v>615648.94000000006</v>
      </c>
      <c r="X11" s="912">
        <f t="shared" si="1"/>
        <v>598586.36</v>
      </c>
      <c r="Y11" s="1495">
        <f t="shared" si="2"/>
        <v>468684.24558513367</v>
      </c>
      <c r="Z11" s="1317">
        <v>4721.82</v>
      </c>
      <c r="AA11" s="1317">
        <f t="shared" si="3"/>
        <v>329.29190550889689</v>
      </c>
      <c r="AB11" s="913">
        <v>1856.51</v>
      </c>
      <c r="AC11" s="913"/>
      <c r="AD11" s="913">
        <v>14346.43</v>
      </c>
      <c r="AE11" s="913">
        <f t="shared" si="4"/>
        <v>133.77232722268207</v>
      </c>
      <c r="AF11" s="913">
        <f t="shared" si="5"/>
        <v>133.77232722268207</v>
      </c>
      <c r="AG11" s="678">
        <v>6918.9259342047908</v>
      </c>
      <c r="AH11" s="890">
        <f t="shared" si="6"/>
        <v>1887.0585727923826</v>
      </c>
      <c r="AI11" s="591">
        <f t="shared" si="7"/>
        <v>8805.9845069971743</v>
      </c>
      <c r="AJ11" s="591">
        <v>59357.587746898709</v>
      </c>
      <c r="AK11" s="591">
        <f t="shared" si="8"/>
        <v>38176.048130575029</v>
      </c>
      <c r="AL11" s="591">
        <f t="shared" si="9"/>
        <v>97533.635877473745</v>
      </c>
      <c r="AM11" s="591">
        <v>12533.776795556842</v>
      </c>
      <c r="AN11" s="591">
        <f t="shared" si="10"/>
        <v>3375.9174627700513</v>
      </c>
      <c r="AO11" s="913">
        <f t="shared" si="11"/>
        <v>15909.694258326894</v>
      </c>
      <c r="AP11" s="591">
        <f t="shared" si="12"/>
        <v>93358.091198996961</v>
      </c>
      <c r="AQ11" s="591">
        <f t="shared" si="13"/>
        <v>49330.411684631523</v>
      </c>
      <c r="AR11" s="591">
        <f t="shared" si="14"/>
        <v>142688.50288362848</v>
      </c>
      <c r="AS11" s="650">
        <f t="shared" si="15"/>
        <v>286459.41408638057</v>
      </c>
      <c r="AT11" s="1424">
        <v>1991.21</v>
      </c>
      <c r="AU11" s="913"/>
      <c r="AV11" s="1442">
        <v>2794.44</v>
      </c>
      <c r="AW11" s="1442">
        <v>371.26</v>
      </c>
      <c r="AX11" s="649">
        <f t="shared" si="16"/>
        <v>5156.91</v>
      </c>
      <c r="AY11" s="591"/>
      <c r="AZ11" s="678">
        <f t="shared" si="17"/>
        <v>79790.416440558285</v>
      </c>
      <c r="BA11" s="678">
        <f t="shared" si="18"/>
        <v>16117.664120992775</v>
      </c>
      <c r="BB11" s="687">
        <f t="shared" si="19"/>
        <v>95908.080561551062</v>
      </c>
      <c r="BC11" s="1129">
        <f t="shared" si="20"/>
        <v>19055.980381625926</v>
      </c>
      <c r="BD11" s="1408">
        <f t="shared" si="21"/>
        <v>2716.6288012969012</v>
      </c>
      <c r="BE11" s="1408">
        <f t="shared" si="22"/>
        <v>1886.7216229355829</v>
      </c>
      <c r="BF11" s="1129">
        <f t="shared" si="23"/>
        <v>3913.1518460419124</v>
      </c>
      <c r="BG11" s="1408">
        <f t="shared" si="24"/>
        <v>58341.636000000006</v>
      </c>
      <c r="BH11" s="1408">
        <f t="shared" si="25"/>
        <v>150.92729046571881</v>
      </c>
      <c r="BI11" s="1129">
        <f t="shared" si="26"/>
        <v>58190.708709534287</v>
      </c>
      <c r="BJ11" s="1129">
        <f t="shared" si="27"/>
        <v>146964.69441486639</v>
      </c>
      <c r="BK11" s="524">
        <f t="shared" si="28"/>
        <v>97.228521176370407</v>
      </c>
      <c r="BL11" s="1444">
        <f t="shared" si="29"/>
        <v>14.299529707078115</v>
      </c>
      <c r="BM11" s="525">
        <f t="shared" si="30"/>
        <v>17062.580000000075</v>
      </c>
      <c r="BN11" s="1445">
        <v>14</v>
      </c>
      <c r="BO11" s="1445">
        <f t="shared" si="31"/>
        <v>3908.4800000000105</v>
      </c>
      <c r="BP11" s="1445">
        <v>5</v>
      </c>
      <c r="BQ11" s="467">
        <f t="shared" si="32"/>
        <v>158699.09</v>
      </c>
      <c r="BR11" s="391"/>
    </row>
    <row r="12" spans="1:70" s="124" customFormat="1" x14ac:dyDescent="0.25">
      <c r="A12" s="6">
        <v>6</v>
      </c>
      <c r="B12" s="1320" t="s">
        <v>21</v>
      </c>
      <c r="C12" s="737">
        <v>1981</v>
      </c>
      <c r="D12" s="737">
        <v>5</v>
      </c>
      <c r="E12" s="737">
        <v>60</v>
      </c>
      <c r="F12" s="909">
        <v>159</v>
      </c>
      <c r="G12" s="738">
        <v>3289.5</v>
      </c>
      <c r="H12" s="738">
        <v>397</v>
      </c>
      <c r="I12" s="738">
        <v>63406.12</v>
      </c>
      <c r="J12" s="738">
        <v>75120.210000000006</v>
      </c>
      <c r="K12" s="738">
        <v>3160.5</v>
      </c>
      <c r="L12" s="738">
        <v>3565.42</v>
      </c>
      <c r="M12" s="911">
        <v>13431.79</v>
      </c>
      <c r="N12" s="911">
        <v>15823.5</v>
      </c>
      <c r="O12" s="912">
        <v>35159.71</v>
      </c>
      <c r="P12" s="912">
        <v>41584.54</v>
      </c>
      <c r="Q12" s="912">
        <v>301721.09999999998</v>
      </c>
      <c r="R12" s="912">
        <v>276447.43</v>
      </c>
      <c r="S12" s="912">
        <v>7403.28</v>
      </c>
      <c r="T12" s="912">
        <v>7275.77</v>
      </c>
      <c r="U12" s="912">
        <v>148144.5</v>
      </c>
      <c r="V12" s="912">
        <v>147143.15</v>
      </c>
      <c r="W12" s="912">
        <f t="shared" si="0"/>
        <v>572427</v>
      </c>
      <c r="X12" s="912">
        <f t="shared" si="1"/>
        <v>566960.02</v>
      </c>
      <c r="Y12" s="1495">
        <f t="shared" si="2"/>
        <v>414031.72795530129</v>
      </c>
      <c r="Z12" s="1317">
        <v>5994.1</v>
      </c>
      <c r="AA12" s="1317">
        <f t="shared" si="3"/>
        <v>297.43690569814828</v>
      </c>
      <c r="AB12" s="913">
        <v>1676.92</v>
      </c>
      <c r="AC12" s="913">
        <v>1948</v>
      </c>
      <c r="AD12" s="913">
        <v>6598.83</v>
      </c>
      <c r="AE12" s="913">
        <f t="shared" si="4"/>
        <v>120.83147630265599</v>
      </c>
      <c r="AF12" s="913">
        <f t="shared" si="5"/>
        <v>120.83147630265599</v>
      </c>
      <c r="AG12" s="678">
        <v>6249.6037290808554</v>
      </c>
      <c r="AH12" s="890">
        <f t="shared" si="6"/>
        <v>1704.5085329234287</v>
      </c>
      <c r="AI12" s="591">
        <f t="shared" si="7"/>
        <v>7954.1122620042843</v>
      </c>
      <c r="AJ12" s="591">
        <v>52107.119100751988</v>
      </c>
      <c r="AK12" s="591">
        <f t="shared" si="8"/>
        <v>34482.978286980768</v>
      </c>
      <c r="AL12" s="591">
        <f t="shared" si="9"/>
        <v>86590.097387732763</v>
      </c>
      <c r="AM12" s="591">
        <v>11321.285839141146</v>
      </c>
      <c r="AN12" s="591">
        <f t="shared" si="10"/>
        <v>3049.3383749195682</v>
      </c>
      <c r="AO12" s="913">
        <f t="shared" si="11"/>
        <v>14370.624214060714</v>
      </c>
      <c r="AP12" s="591">
        <f t="shared" si="12"/>
        <v>84326.827667389894</v>
      </c>
      <c r="AQ12" s="591">
        <f t="shared" si="13"/>
        <v>44558.292392936288</v>
      </c>
      <c r="AR12" s="591">
        <f t="shared" si="14"/>
        <v>128885.12006032618</v>
      </c>
      <c r="AS12" s="650">
        <f t="shared" si="15"/>
        <v>254556.9037824274</v>
      </c>
      <c r="AT12" s="1424">
        <v>2219.5700000000002</v>
      </c>
      <c r="AU12" s="913"/>
      <c r="AV12" s="1442">
        <v>2095.83</v>
      </c>
      <c r="AW12" s="1442">
        <v>545.01</v>
      </c>
      <c r="AX12" s="649">
        <f t="shared" si="16"/>
        <v>4860.41</v>
      </c>
      <c r="AY12" s="591"/>
      <c r="AZ12" s="678">
        <f t="shared" si="17"/>
        <v>67642.099779845477</v>
      </c>
      <c r="BA12" s="678">
        <f t="shared" si="18"/>
        <v>13663.704155528787</v>
      </c>
      <c r="BB12" s="687">
        <f t="shared" si="19"/>
        <v>81305.803935374264</v>
      </c>
      <c r="BC12" s="1129">
        <f t="shared" si="20"/>
        <v>17212.545297753441</v>
      </c>
      <c r="BD12" s="1408">
        <f t="shared" si="21"/>
        <v>2453.8278988044804</v>
      </c>
      <c r="BE12" s="1408">
        <f t="shared" si="22"/>
        <v>1704.2041788803888</v>
      </c>
      <c r="BF12" s="1129">
        <f t="shared" si="23"/>
        <v>3534.6018445699569</v>
      </c>
      <c r="BG12" s="1408">
        <f t="shared" si="24"/>
        <v>52697.79</v>
      </c>
      <c r="BH12" s="1408">
        <f t="shared" si="25"/>
        <v>136.32690482370859</v>
      </c>
      <c r="BI12" s="1129">
        <f t="shared" si="26"/>
        <v>52561.463095176296</v>
      </c>
      <c r="BJ12" s="1129">
        <f t="shared" si="27"/>
        <v>158395.27204469871</v>
      </c>
      <c r="BK12" s="524">
        <f t="shared" si="28"/>
        <v>99.04494721597689</v>
      </c>
      <c r="BL12" s="1444">
        <f t="shared" si="29"/>
        <v>13.984959820144949</v>
      </c>
      <c r="BM12" s="525">
        <f t="shared" si="30"/>
        <v>5466.9799999999814</v>
      </c>
      <c r="BN12" s="1445">
        <v>14.57</v>
      </c>
      <c r="BO12" s="1445">
        <f t="shared" si="31"/>
        <v>1001.3500000000058</v>
      </c>
      <c r="BP12" s="1445">
        <v>5</v>
      </c>
      <c r="BQ12" s="467">
        <f t="shared" si="32"/>
        <v>143284.09</v>
      </c>
      <c r="BR12" s="391"/>
    </row>
    <row r="13" spans="1:70" s="124" customFormat="1" x14ac:dyDescent="0.25">
      <c r="A13" s="6">
        <v>7</v>
      </c>
      <c r="B13" s="1320" t="s">
        <v>311</v>
      </c>
      <c r="C13" s="737">
        <v>1993</v>
      </c>
      <c r="D13" s="737">
        <v>5</v>
      </c>
      <c r="E13" s="737">
        <v>60</v>
      </c>
      <c r="F13" s="909">
        <v>134</v>
      </c>
      <c r="G13" s="738">
        <v>3681.6</v>
      </c>
      <c r="H13" s="738">
        <v>485</v>
      </c>
      <c r="I13" s="738">
        <v>70019.39</v>
      </c>
      <c r="J13" s="738">
        <v>79798.64</v>
      </c>
      <c r="K13" s="738">
        <v>3533.94</v>
      </c>
      <c r="L13" s="738">
        <v>4027.46</v>
      </c>
      <c r="M13" s="911">
        <v>14799.3</v>
      </c>
      <c r="N13" s="911">
        <v>16866.22</v>
      </c>
      <c r="O13" s="912">
        <v>39316.68</v>
      </c>
      <c r="P13" s="912">
        <v>44807.92</v>
      </c>
      <c r="Q13" s="912">
        <v>348881.67</v>
      </c>
      <c r="R13" s="912">
        <v>329607.58</v>
      </c>
      <c r="S13" s="912">
        <v>8732.7000000000007</v>
      </c>
      <c r="T13" s="912">
        <v>8542.81</v>
      </c>
      <c r="U13" s="912">
        <v>165660.29999999999</v>
      </c>
      <c r="V13" s="912">
        <v>165994.56</v>
      </c>
      <c r="W13" s="912">
        <f t="shared" si="0"/>
        <v>650943.98</v>
      </c>
      <c r="X13" s="912">
        <f t="shared" si="1"/>
        <v>649645.18999999994</v>
      </c>
      <c r="Y13" s="1495">
        <f t="shared" si="2"/>
        <v>524779.40023995517</v>
      </c>
      <c r="Z13" s="1317">
        <v>4837.72</v>
      </c>
      <c r="AA13" s="1317">
        <f t="shared" si="3"/>
        <v>332.89062532856138</v>
      </c>
      <c r="AB13" s="913">
        <v>1876.8</v>
      </c>
      <c r="AC13" s="913"/>
      <c r="AD13" s="913">
        <v>27424.25</v>
      </c>
      <c r="AE13" s="913">
        <f t="shared" si="4"/>
        <v>135.23427972514313</v>
      </c>
      <c r="AF13" s="913">
        <f t="shared" si="5"/>
        <v>135.23427972514313</v>
      </c>
      <c r="AG13" s="678">
        <v>6994.5405347268807</v>
      </c>
      <c r="AH13" s="890">
        <f t="shared" si="6"/>
        <v>1907.6815974497324</v>
      </c>
      <c r="AI13" s="591">
        <f t="shared" si="7"/>
        <v>8902.2221321766137</v>
      </c>
      <c r="AJ13" s="591">
        <v>60893.595983655257</v>
      </c>
      <c r="AK13" s="591">
        <f t="shared" si="8"/>
        <v>38593.26124375996</v>
      </c>
      <c r="AL13" s="591">
        <f t="shared" si="9"/>
        <v>99486.857227415225</v>
      </c>
      <c r="AM13" s="591">
        <v>12670.75420136253</v>
      </c>
      <c r="AN13" s="591">
        <f t="shared" si="10"/>
        <v>3412.8117224818002</v>
      </c>
      <c r="AO13" s="913">
        <f t="shared" si="11"/>
        <v>16083.56592384433</v>
      </c>
      <c r="AP13" s="591">
        <f t="shared" si="12"/>
        <v>94378.370190078305</v>
      </c>
      <c r="AQ13" s="591">
        <f t="shared" si="13"/>
        <v>49869.527063029105</v>
      </c>
      <c r="AR13" s="591">
        <f t="shared" si="14"/>
        <v>144247.8972531074</v>
      </c>
      <c r="AS13" s="650">
        <f t="shared" si="15"/>
        <v>303462.67172132235</v>
      </c>
      <c r="AT13" s="1424">
        <v>12662.07</v>
      </c>
      <c r="AU13" s="913"/>
      <c r="AV13" s="1442">
        <v>3260.18</v>
      </c>
      <c r="AW13" s="1442">
        <v>24019.42</v>
      </c>
      <c r="AX13" s="649">
        <f t="shared" si="16"/>
        <v>39941.67</v>
      </c>
      <c r="AY13" s="591"/>
      <c r="AZ13" s="678">
        <f t="shared" si="17"/>
        <v>82635.814592506431</v>
      </c>
      <c r="BA13" s="678">
        <f t="shared" si="18"/>
        <v>16692.434547686302</v>
      </c>
      <c r="BB13" s="687">
        <f t="shared" si="19"/>
        <v>99328.249140192725</v>
      </c>
      <c r="BC13" s="1129">
        <f t="shared" si="20"/>
        <v>19264.236743641606</v>
      </c>
      <c r="BD13" s="1408">
        <f t="shared" si="21"/>
        <v>2746.3179182971803</v>
      </c>
      <c r="BE13" s="1408">
        <f t="shared" si="22"/>
        <v>1907.3409651819543</v>
      </c>
      <c r="BF13" s="1129">
        <f t="shared" si="23"/>
        <v>3955.9173585556327</v>
      </c>
      <c r="BG13" s="1408">
        <f t="shared" si="24"/>
        <v>58979.231999999996</v>
      </c>
      <c r="BH13" s="1408">
        <f t="shared" si="25"/>
        <v>152.57672375709546</v>
      </c>
      <c r="BI13" s="1129">
        <f t="shared" si="26"/>
        <v>58826.655276242898</v>
      </c>
      <c r="BJ13" s="1129">
        <f t="shared" si="27"/>
        <v>126164.57976004481</v>
      </c>
      <c r="BK13" s="524">
        <f t="shared" si="28"/>
        <v>99.800475918065928</v>
      </c>
      <c r="BL13" s="1444">
        <f t="shared" si="29"/>
        <v>15.837902609974984</v>
      </c>
      <c r="BM13" s="525">
        <f t="shared" si="30"/>
        <v>1298.7900000000373</v>
      </c>
      <c r="BN13" s="1445">
        <v>14.89</v>
      </c>
      <c r="BO13" s="1445">
        <f t="shared" si="31"/>
        <v>-334.26000000000931</v>
      </c>
      <c r="BP13" s="1445">
        <v>5</v>
      </c>
      <c r="BQ13" s="467">
        <f t="shared" si="32"/>
        <v>125718.62999999999</v>
      </c>
      <c r="BR13" s="391"/>
    </row>
    <row r="14" spans="1:70" s="124" customFormat="1" ht="24.75" customHeight="1" x14ac:dyDescent="0.25">
      <c r="A14" s="6">
        <v>8</v>
      </c>
      <c r="B14" s="1322" t="s">
        <v>659</v>
      </c>
      <c r="C14" s="737"/>
      <c r="D14" s="737"/>
      <c r="E14" s="737"/>
      <c r="F14" s="909"/>
      <c r="G14" s="738">
        <v>3360</v>
      </c>
      <c r="H14" s="738"/>
      <c r="I14" s="738"/>
      <c r="J14" s="738"/>
      <c r="K14" s="738"/>
      <c r="L14" s="738"/>
      <c r="M14" s="911"/>
      <c r="N14" s="911"/>
      <c r="O14" s="912"/>
      <c r="P14" s="912"/>
      <c r="Q14" s="912">
        <v>237787.41</v>
      </c>
      <c r="R14" s="912">
        <v>0</v>
      </c>
      <c r="S14" s="912"/>
      <c r="T14" s="912"/>
      <c r="U14" s="912"/>
      <c r="V14" s="912"/>
      <c r="W14" s="912">
        <f t="shared" si="0"/>
        <v>237787.41</v>
      </c>
      <c r="X14" s="912">
        <f t="shared" si="1"/>
        <v>0</v>
      </c>
      <c r="Y14" s="1495">
        <f t="shared" si="2"/>
        <v>107079.95652858327</v>
      </c>
      <c r="Z14" s="1317"/>
      <c r="AA14" s="1317">
        <f t="shared" si="3"/>
        <v>303.81152246413683</v>
      </c>
      <c r="AB14" s="1425"/>
      <c r="AC14" s="1317"/>
      <c r="AD14" s="1317"/>
      <c r="AE14" s="913"/>
      <c r="AF14" s="1317"/>
      <c r="AG14" s="1317"/>
      <c r="AH14" s="890">
        <f t="shared" si="6"/>
        <v>1741.0392675551666</v>
      </c>
      <c r="AI14" s="913">
        <f t="shared" si="7"/>
        <v>1741.0392675551666</v>
      </c>
      <c r="AJ14" s="1317"/>
      <c r="AK14" s="913">
        <f t="shared" si="8"/>
        <v>35222.011565361114</v>
      </c>
      <c r="AL14" s="913">
        <f t="shared" si="9"/>
        <v>35222.011565361114</v>
      </c>
      <c r="AM14" s="1317"/>
      <c r="AN14" s="591">
        <f t="shared" si="10"/>
        <v>3114.6912721476665</v>
      </c>
      <c r="AO14" s="913">
        <f t="shared" si="11"/>
        <v>3114.6912721476665</v>
      </c>
      <c r="AP14" s="1317"/>
      <c r="AQ14" s="591">
        <f t="shared" si="13"/>
        <v>45513.258075776233</v>
      </c>
      <c r="AR14" s="591">
        <f t="shared" si="14"/>
        <v>45513.258075776233</v>
      </c>
      <c r="AS14" s="650">
        <f t="shared" si="15"/>
        <v>85894.811703304324</v>
      </c>
      <c r="AT14" s="1317">
        <v>11593.99</v>
      </c>
      <c r="AU14" s="877"/>
      <c r="AV14" s="1443"/>
      <c r="AW14" s="1443"/>
      <c r="AX14" s="649">
        <f t="shared" si="16"/>
        <v>11593.99</v>
      </c>
      <c r="AY14" s="1317"/>
      <c r="AZ14" s="1317"/>
      <c r="BA14" s="1317"/>
      <c r="BB14" s="687">
        <f t="shared" si="19"/>
        <v>0</v>
      </c>
      <c r="BC14" s="912"/>
      <c r="BD14" s="1408"/>
      <c r="BE14" s="1408">
        <f t="shared" si="22"/>
        <v>1740.728390648459</v>
      </c>
      <c r="BF14" s="1129">
        <f t="shared" si="23"/>
        <v>3610.3548252789346</v>
      </c>
      <c r="BG14" s="1408">
        <f>G14*1.78</f>
        <v>5980.8</v>
      </c>
      <c r="BH14" s="1407"/>
      <c r="BI14" s="1129">
        <f t="shared" si="26"/>
        <v>5980.8</v>
      </c>
      <c r="BJ14" s="1129">
        <f t="shared" si="27"/>
        <v>130707.45347141674</v>
      </c>
      <c r="BK14" s="1418">
        <f t="shared" si="28"/>
        <v>0</v>
      </c>
      <c r="BL14" s="1444">
        <f>Y14/G14/3</f>
        <v>10.623011560375323</v>
      </c>
      <c r="BM14" s="525">
        <f t="shared" si="30"/>
        <v>237787.41</v>
      </c>
      <c r="BN14" s="917">
        <v>20.59</v>
      </c>
      <c r="BO14" s="1445">
        <f t="shared" si="31"/>
        <v>0</v>
      </c>
      <c r="BP14" s="917">
        <v>2</v>
      </c>
      <c r="BQ14" s="467">
        <f t="shared" si="32"/>
        <v>-11593.99</v>
      </c>
      <c r="BR14" s="391"/>
    </row>
    <row r="15" spans="1:70" x14ac:dyDescent="0.25">
      <c r="A15" s="4"/>
      <c r="B15" s="1321" t="s">
        <v>23</v>
      </c>
      <c r="C15" s="737"/>
      <c r="D15" s="737"/>
      <c r="E15" s="918">
        <f>SUM(E7:E13)</f>
        <v>354</v>
      </c>
      <c r="F15" s="918">
        <f>SUM(F7:F13)</f>
        <v>923</v>
      </c>
      <c r="G15" s="56">
        <f>SUM(G7:G14)</f>
        <v>23777.899999999998</v>
      </c>
      <c r="H15" s="56">
        <f>SUM(H7:H14)</f>
        <v>2407.3999999999996</v>
      </c>
      <c r="I15" s="56">
        <f t="shared" ref="I15:BE15" si="33">SUM(I7:I14)</f>
        <v>368026.35</v>
      </c>
      <c r="J15" s="56">
        <f t="shared" si="33"/>
        <v>425772.66000000003</v>
      </c>
      <c r="K15" s="56">
        <f t="shared" si="33"/>
        <v>19604.84</v>
      </c>
      <c r="L15" s="56">
        <f t="shared" si="33"/>
        <v>22158.909999999996</v>
      </c>
      <c r="M15" s="56">
        <f t="shared" si="33"/>
        <v>78775.520000000004</v>
      </c>
      <c r="N15" s="56">
        <f t="shared" si="33"/>
        <v>90589.540000000008</v>
      </c>
      <c r="O15" s="56">
        <f t="shared" si="33"/>
        <v>218106.87999999998</v>
      </c>
      <c r="P15" s="56">
        <f t="shared" si="33"/>
        <v>251596.41999999998</v>
      </c>
      <c r="Q15" s="56">
        <f t="shared" si="33"/>
        <v>2105358.8800000004</v>
      </c>
      <c r="R15" s="56">
        <f t="shared" si="33"/>
        <v>1695580.6800000002</v>
      </c>
      <c r="S15" s="56">
        <f t="shared" si="33"/>
        <v>44581.59</v>
      </c>
      <c r="T15" s="56">
        <f t="shared" si="33"/>
        <v>42895.319999999992</v>
      </c>
      <c r="U15" s="56">
        <f t="shared" si="33"/>
        <v>919000.8</v>
      </c>
      <c r="V15" s="56">
        <f t="shared" si="33"/>
        <v>899793.27</v>
      </c>
      <c r="W15" s="1418">
        <f t="shared" si="33"/>
        <v>3753454.8600000003</v>
      </c>
      <c r="X15" s="1418">
        <f t="shared" si="33"/>
        <v>3428386.8</v>
      </c>
      <c r="Y15" s="1496">
        <f t="shared" si="33"/>
        <v>2782417.1326790331</v>
      </c>
      <c r="Z15" s="1426">
        <f t="shared" si="33"/>
        <v>37719.39</v>
      </c>
      <c r="AA15" s="1426">
        <f t="shared" si="33"/>
        <v>2150</v>
      </c>
      <c r="AB15" s="1426">
        <f t="shared" si="33"/>
        <v>10408.61</v>
      </c>
      <c r="AC15" s="1426">
        <f t="shared" si="33"/>
        <v>7100</v>
      </c>
      <c r="AD15" s="1426">
        <f t="shared" si="33"/>
        <v>65175.6</v>
      </c>
      <c r="AE15" s="1427">
        <f t="shared" si="33"/>
        <v>749.99999999999989</v>
      </c>
      <c r="AF15" s="1427">
        <f t="shared" si="33"/>
        <v>749.99999999999989</v>
      </c>
      <c r="AG15" s="1426">
        <f t="shared" si="33"/>
        <v>38791.24</v>
      </c>
      <c r="AH15" s="1426">
        <f t="shared" si="33"/>
        <v>12320.909999999998</v>
      </c>
      <c r="AI15" s="1426">
        <f t="shared" si="33"/>
        <v>51112.149999999994</v>
      </c>
      <c r="AJ15" s="1426">
        <f t="shared" si="33"/>
        <v>325785.5080190337</v>
      </c>
      <c r="AK15" s="1426">
        <f t="shared" si="33"/>
        <v>249257.57999999996</v>
      </c>
      <c r="AL15" s="1426">
        <f t="shared" si="33"/>
        <v>575043.08801903366</v>
      </c>
      <c r="AM15" s="1426">
        <f t="shared" si="33"/>
        <v>70271.13</v>
      </c>
      <c r="AN15" s="1426">
        <f t="shared" si="33"/>
        <v>22041.91</v>
      </c>
      <c r="AO15" s="1426">
        <f t="shared" si="33"/>
        <v>92313.040000000023</v>
      </c>
      <c r="AP15" s="1426">
        <f t="shared" si="33"/>
        <v>523415.93999999994</v>
      </c>
      <c r="AQ15" s="1426">
        <f t="shared" si="33"/>
        <v>322086.21999999991</v>
      </c>
      <c r="AR15" s="1426">
        <f t="shared" si="33"/>
        <v>845502.15999999992</v>
      </c>
      <c r="AS15" s="1496">
        <f t="shared" si="33"/>
        <v>1688024.0380190336</v>
      </c>
      <c r="AT15" s="1426">
        <f t="shared" si="33"/>
        <v>40239</v>
      </c>
      <c r="AU15" s="1426">
        <f t="shared" si="33"/>
        <v>8275.2000000000007</v>
      </c>
      <c r="AV15" s="1426">
        <f t="shared" si="33"/>
        <v>9547.67</v>
      </c>
      <c r="AW15" s="1426">
        <f t="shared" si="33"/>
        <v>78677.360000000015</v>
      </c>
      <c r="AX15" s="1496">
        <f t="shared" si="33"/>
        <v>136739.23000000001</v>
      </c>
      <c r="AY15" s="1426">
        <f t="shared" si="33"/>
        <v>0</v>
      </c>
      <c r="AZ15" s="1426">
        <f t="shared" si="33"/>
        <v>410180.33</v>
      </c>
      <c r="BA15" s="1426">
        <f t="shared" si="33"/>
        <v>82856.426660000026</v>
      </c>
      <c r="BB15" s="1496">
        <f t="shared" si="33"/>
        <v>493036.75665999996</v>
      </c>
      <c r="BC15" s="1418">
        <f t="shared" si="33"/>
        <v>106838.12999999999</v>
      </c>
      <c r="BD15" s="1421">
        <f t="shared" si="33"/>
        <v>15230.89</v>
      </c>
      <c r="BE15" s="1421">
        <f t="shared" si="33"/>
        <v>12318.71</v>
      </c>
      <c r="BF15" s="1418">
        <f t="shared" ref="BF15" si="34">SUM(BF7:BF14)</f>
        <v>25549.599999999991</v>
      </c>
      <c r="BG15" s="1421">
        <f t="shared" ref="BG15" si="35">SUM(BG7:BG14)</f>
        <v>333075.55799999996</v>
      </c>
      <c r="BH15" s="1422">
        <f t="shared" ref="BH15" si="36">SUM(BH7:BH14)</f>
        <v>846.17999999999984</v>
      </c>
      <c r="BI15" s="1423">
        <f t="shared" ref="BI15" si="37">SUM(BI7:BI14)</f>
        <v>332229.37799999997</v>
      </c>
      <c r="BJ15" s="1417">
        <f t="shared" ref="BJ15" si="38">W15-Y15</f>
        <v>971037.72732096724</v>
      </c>
      <c r="BK15" s="1418">
        <f t="shared" si="28"/>
        <v>91.339497286507921</v>
      </c>
      <c r="BL15" s="1419"/>
      <c r="BM15" s="654">
        <f t="shared" si="30"/>
        <v>325068.06000000052</v>
      </c>
      <c r="BN15" s="1420"/>
      <c r="BO15" s="1420">
        <f>SUM(BO7:BO14)</f>
        <v>19207.530000000013</v>
      </c>
      <c r="BP15" s="1420"/>
      <c r="BQ15" s="467">
        <f>SUM(BQ7:BQ14)</f>
        <v>782261.57</v>
      </c>
      <c r="BR15" s="391"/>
    </row>
    <row r="16" spans="1:70" x14ac:dyDescent="0.25">
      <c r="A16" s="8"/>
      <c r="B16" s="1398" t="s">
        <v>675</v>
      </c>
      <c r="C16" s="923"/>
      <c r="D16" s="923"/>
      <c r="E16" s="923"/>
      <c r="F16" s="923"/>
      <c r="G16" s="925">
        <v>20417.900000000001</v>
      </c>
      <c r="H16" s="923"/>
      <c r="I16" s="923"/>
      <c r="J16" s="923"/>
      <c r="K16" s="923"/>
      <c r="L16" s="923"/>
      <c r="M16" s="923"/>
      <c r="N16" s="923"/>
      <c r="O16" s="923"/>
      <c r="P16" s="923"/>
      <c r="Q16" s="923"/>
      <c r="R16" s="923"/>
      <c r="S16" s="923"/>
      <c r="T16" s="923"/>
      <c r="U16" s="923"/>
      <c r="V16" s="923"/>
      <c r="W16" s="923" t="s">
        <v>180</v>
      </c>
      <c r="X16" s="923" t="s">
        <v>180</v>
      </c>
      <c r="Y16" s="923"/>
      <c r="Z16" s="924">
        <f>Z15+AA15</f>
        <v>39869.39</v>
      </c>
      <c r="AA16" s="925"/>
      <c r="AB16" s="923" t="s">
        <v>180</v>
      </c>
      <c r="AC16" s="923" t="s">
        <v>180</v>
      </c>
      <c r="AD16" s="923" t="s">
        <v>180</v>
      </c>
      <c r="AE16" s="788" t="s">
        <v>180</v>
      </c>
      <c r="AF16" s="788" t="s">
        <v>180</v>
      </c>
      <c r="AG16" s="788"/>
      <c r="AH16" s="1406">
        <v>12320.91</v>
      </c>
      <c r="AI16" s="788" t="s">
        <v>180</v>
      </c>
      <c r="AJ16" s="788"/>
      <c r="AK16" s="1406">
        <v>249257.58</v>
      </c>
      <c r="AL16" s="788" t="s">
        <v>180</v>
      </c>
      <c r="AM16" s="788"/>
      <c r="AN16" s="788"/>
      <c r="AO16" s="788"/>
      <c r="AP16" s="926">
        <f>AP15+AR15</f>
        <v>1368918.0999999999</v>
      </c>
      <c r="AQ16" s="926"/>
      <c r="AR16" s="788"/>
      <c r="AS16" s="788" t="s">
        <v>180</v>
      </c>
      <c r="AT16" s="788" t="s">
        <v>180</v>
      </c>
      <c r="AU16" s="788"/>
      <c r="AV16" s="788"/>
      <c r="AW16" s="788"/>
      <c r="AX16" s="788" t="s">
        <v>180</v>
      </c>
      <c r="AY16" s="349"/>
      <c r="AZ16" s="349"/>
      <c r="BA16" s="349"/>
      <c r="BB16" s="349" t="s">
        <v>180</v>
      </c>
      <c r="BC16" s="349" t="s">
        <v>180</v>
      </c>
      <c r="BD16" s="349"/>
      <c r="BE16" s="349"/>
      <c r="BF16" s="349" t="s">
        <v>180</v>
      </c>
      <c r="BG16" s="349"/>
      <c r="BH16" s="349"/>
      <c r="BI16" s="349" t="s">
        <v>180</v>
      </c>
      <c r="BJ16" s="749"/>
      <c r="BK16" s="749"/>
      <c r="BL16" s="749"/>
      <c r="BM16" s="375"/>
      <c r="BN16" s="250"/>
      <c r="BO16" s="250"/>
      <c r="BP16" s="250"/>
      <c r="BQ16" s="250"/>
      <c r="BR16" s="250"/>
    </row>
    <row r="17" spans="1:71" ht="15.75" customHeight="1" x14ac:dyDescent="0.25">
      <c r="A17" s="1405" t="s">
        <v>677</v>
      </c>
      <c r="B17" s="1322" t="s">
        <v>659</v>
      </c>
      <c r="C17" s="9"/>
      <c r="D17" s="9"/>
      <c r="E17" s="9"/>
      <c r="F17" s="9"/>
      <c r="G17" s="1400">
        <v>3360</v>
      </c>
      <c r="H17" s="9"/>
      <c r="I17" s="284" t="s">
        <v>660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1409">
        <f>I15+K15+M15+O15+Q15+S15+U15</f>
        <v>3753454.8600000003</v>
      </c>
      <c r="X17" s="1409">
        <f>J15+L15+N15+P15+R15+V15</f>
        <v>3385491.48</v>
      </c>
      <c r="Y17" s="9"/>
      <c r="Z17" s="9" t="s">
        <v>180</v>
      </c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284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223"/>
      <c r="BK17" s="284"/>
      <c r="BL17" s="223"/>
      <c r="BM17" s="9"/>
      <c r="BN17" s="9"/>
      <c r="BO17" s="9"/>
      <c r="BP17" s="9"/>
      <c r="BQ17" s="9"/>
      <c r="BR17" s="9"/>
      <c r="BS17" s="9"/>
    </row>
    <row r="18" spans="1:71" ht="15.75" customHeight="1" x14ac:dyDescent="0.25">
      <c r="A18" s="9"/>
      <c r="B18" s="1399" t="s">
        <v>676</v>
      </c>
      <c r="C18" s="9"/>
      <c r="D18" s="9"/>
      <c r="E18" s="9"/>
      <c r="F18" s="9"/>
      <c r="G18" s="1400">
        <f>G16+G17</f>
        <v>23777.9</v>
      </c>
      <c r="H18" s="9"/>
      <c r="I18" s="284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284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223"/>
      <c r="BK18" s="284"/>
      <c r="BL18" s="223"/>
      <c r="BM18" s="9"/>
      <c r="BN18" s="9"/>
      <c r="BO18" s="9"/>
      <c r="BP18" s="9"/>
      <c r="BQ18" s="9"/>
      <c r="BR18" s="9"/>
      <c r="BS18" s="9"/>
    </row>
    <row r="19" spans="1:71" ht="20.25" customHeight="1" x14ac:dyDescent="0.25">
      <c r="A19" s="223"/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  <c r="AY19" s="223"/>
      <c r="AZ19" s="223"/>
      <c r="BA19" s="223"/>
      <c r="BB19" s="223"/>
      <c r="BC19" s="223"/>
      <c r="BD19" s="223"/>
      <c r="BE19" s="223"/>
      <c r="BF19" s="223"/>
      <c r="BG19" s="223"/>
      <c r="BH19" s="223"/>
      <c r="BI19" s="223"/>
      <c r="BJ19" s="223"/>
      <c r="BK19" s="223"/>
      <c r="BL19" s="223"/>
      <c r="BM19" s="223"/>
      <c r="BN19" s="223"/>
      <c r="BO19" s="223"/>
      <c r="BP19" s="223"/>
      <c r="BQ19" s="223"/>
      <c r="BR19" s="223"/>
      <c r="BS19" s="9"/>
    </row>
    <row r="20" spans="1:71" ht="15.75" customHeight="1" x14ac:dyDescent="0.3">
      <c r="B20" s="84" t="s">
        <v>717</v>
      </c>
      <c r="C20" s="84"/>
      <c r="D20" s="84"/>
      <c r="E20" s="84"/>
      <c r="F20" s="84"/>
      <c r="AY20" s="250"/>
      <c r="AZ20" s="250"/>
      <c r="BA20" s="250"/>
      <c r="BB20" s="250"/>
      <c r="BC20" s="250"/>
      <c r="BD20" s="250"/>
      <c r="BE20" s="250"/>
      <c r="BF20" s="250"/>
      <c r="BG20" s="250"/>
      <c r="BH20" s="250"/>
      <c r="BI20" s="250"/>
      <c r="BJ20" s="250"/>
      <c r="BK20" s="250"/>
      <c r="BL20" s="250"/>
      <c r="BR20" s="223"/>
      <c r="BS20" s="9"/>
    </row>
    <row r="21" spans="1:71" ht="18.75" x14ac:dyDescent="0.3">
      <c r="B21" s="1993" t="s">
        <v>655</v>
      </c>
      <c r="C21" s="1994"/>
      <c r="D21" s="1994"/>
      <c r="E21" s="1994"/>
      <c r="F21" s="1994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R21" s="223"/>
      <c r="BS21" s="9"/>
    </row>
    <row r="22" spans="1:71" ht="18" customHeight="1" x14ac:dyDescent="0.25"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R22" s="223"/>
      <c r="BS22" s="9"/>
    </row>
    <row r="23" spans="1:71" ht="45.75" customHeight="1" x14ac:dyDescent="0.25">
      <c r="A23" s="1985" t="s">
        <v>0</v>
      </c>
      <c r="B23" s="1985" t="s">
        <v>184</v>
      </c>
      <c r="C23" s="1991" t="s">
        <v>310</v>
      </c>
      <c r="D23" s="1992"/>
      <c r="E23" s="2020" t="s">
        <v>687</v>
      </c>
      <c r="F23" s="2020" t="s">
        <v>333</v>
      </c>
      <c r="G23" s="2020" t="s">
        <v>562</v>
      </c>
      <c r="H23" s="2020" t="s">
        <v>563</v>
      </c>
      <c r="I23" s="2020" t="s">
        <v>337</v>
      </c>
      <c r="J23" s="2020" t="s">
        <v>565</v>
      </c>
      <c r="K23" s="2020" t="s">
        <v>564</v>
      </c>
      <c r="L23" s="2020" t="s">
        <v>679</v>
      </c>
      <c r="M23" s="2020" t="s">
        <v>678</v>
      </c>
      <c r="N23" s="2020" t="s">
        <v>680</v>
      </c>
      <c r="O23" s="2020" t="s">
        <v>681</v>
      </c>
      <c r="P23" s="2020" t="s">
        <v>682</v>
      </c>
      <c r="Q23" s="2020" t="s">
        <v>683</v>
      </c>
      <c r="R23" s="2020" t="s">
        <v>684</v>
      </c>
      <c r="S23" s="2020" t="s">
        <v>685</v>
      </c>
      <c r="T23" s="2020" t="s">
        <v>686</v>
      </c>
      <c r="U23" s="2020" t="s">
        <v>696</v>
      </c>
      <c r="V23" s="2020" t="s">
        <v>697</v>
      </c>
      <c r="W23" s="2020" t="s">
        <v>698</v>
      </c>
      <c r="X23" s="2020" t="s">
        <v>688</v>
      </c>
      <c r="Y23" s="1999" t="s">
        <v>716</v>
      </c>
      <c r="Z23" s="1434"/>
      <c r="AA23" s="1434"/>
      <c r="AB23" s="1434"/>
      <c r="AC23" s="1434"/>
      <c r="AD23" s="1434"/>
      <c r="AE23" s="1434"/>
      <c r="AF23" s="1434"/>
      <c r="AG23" s="1434"/>
      <c r="AH23" s="1434"/>
      <c r="AI23" s="1428"/>
      <c r="AJ23" s="1428"/>
      <c r="AK23" s="1428"/>
      <c r="AL23" s="1428"/>
      <c r="AM23" s="1428"/>
      <c r="AN23" s="1428"/>
      <c r="AO23" s="1428"/>
      <c r="AP23" s="1428"/>
      <c r="AQ23" s="1428"/>
      <c r="AR23" s="1428"/>
      <c r="AS23" s="1428"/>
      <c r="AT23" s="1428"/>
      <c r="AU23" s="1429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358"/>
      <c r="BN23" s="358"/>
      <c r="BO23" s="358"/>
      <c r="BP23" s="358"/>
      <c r="BQ23" s="358"/>
      <c r="BR23" s="358"/>
      <c r="BS23" s="358"/>
    </row>
    <row r="24" spans="1:71" ht="47.25" customHeight="1" x14ac:dyDescent="0.25">
      <c r="A24" s="1986"/>
      <c r="B24" s="1986"/>
      <c r="C24" s="1434" t="s">
        <v>15</v>
      </c>
      <c r="D24" s="1434" t="s">
        <v>16</v>
      </c>
      <c r="E24" s="2021"/>
      <c r="F24" s="2021"/>
      <c r="G24" s="2021"/>
      <c r="H24" s="2021"/>
      <c r="I24" s="2021"/>
      <c r="J24" s="2021"/>
      <c r="K24" s="2021"/>
      <c r="L24" s="2021"/>
      <c r="M24" s="2021"/>
      <c r="N24" s="2021"/>
      <c r="O24" s="2021"/>
      <c r="P24" s="2021"/>
      <c r="Q24" s="2021"/>
      <c r="R24" s="2021"/>
      <c r="S24" s="2021"/>
      <c r="T24" s="2021"/>
      <c r="U24" s="2021"/>
      <c r="V24" s="2021"/>
      <c r="W24" s="2021"/>
      <c r="X24" s="2021"/>
      <c r="Y24" s="2000"/>
      <c r="Z24" s="1434"/>
      <c r="AA24" s="1434"/>
      <c r="AB24" s="1434"/>
      <c r="AC24" s="1434"/>
      <c r="AD24" s="1434"/>
      <c r="AE24" s="1434"/>
      <c r="AF24" s="1434"/>
      <c r="AG24" s="1434"/>
      <c r="AH24" s="1434"/>
      <c r="AI24" s="1430"/>
      <c r="AJ24" s="1430"/>
      <c r="AK24" s="1430"/>
      <c r="AL24" s="1430"/>
      <c r="AM24" s="1430"/>
      <c r="AN24" s="1430"/>
      <c r="AO24" s="1430"/>
      <c r="AP24" s="1430"/>
      <c r="AQ24" s="1430"/>
      <c r="AR24" s="1430"/>
      <c r="AS24" s="1430"/>
      <c r="AT24" s="1430"/>
      <c r="AU24" s="1431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  <c r="BJ24" s="250"/>
      <c r="BK24" s="250"/>
      <c r="BL24" s="250"/>
      <c r="BM24" s="358"/>
      <c r="BN24" s="358"/>
      <c r="BO24" s="358"/>
      <c r="BP24" s="358"/>
      <c r="BQ24" s="358"/>
      <c r="BR24" s="358"/>
      <c r="BS24" s="358"/>
    </row>
    <row r="25" spans="1:71" ht="15" customHeight="1" x14ac:dyDescent="0.25">
      <c r="A25" s="2">
        <v>1</v>
      </c>
      <c r="B25" s="1319" t="s">
        <v>17</v>
      </c>
      <c r="C25" s="1435"/>
      <c r="D25" s="1435"/>
      <c r="E25" s="1435"/>
      <c r="F25" s="1435"/>
      <c r="G25" s="1435"/>
      <c r="H25" s="1435"/>
      <c r="I25" s="1435"/>
      <c r="J25" s="1438"/>
      <c r="K25" s="1438"/>
      <c r="L25" s="1438"/>
      <c r="M25" s="1438"/>
      <c r="N25" s="1438"/>
      <c r="O25" s="1438"/>
      <c r="P25" s="1437"/>
      <c r="Q25" s="1437"/>
      <c r="R25" s="1437"/>
      <c r="S25" s="1437"/>
      <c r="T25" s="1437"/>
      <c r="U25" s="1437"/>
      <c r="V25" s="1437"/>
      <c r="W25" s="1437"/>
      <c r="X25" s="1437"/>
      <c r="Y25" s="1437"/>
      <c r="Z25" s="1434"/>
      <c r="AA25" s="1434"/>
      <c r="AB25" s="1434"/>
      <c r="AC25" s="1434"/>
      <c r="AD25" s="1434"/>
      <c r="AE25" s="1434"/>
      <c r="AF25" s="1434"/>
      <c r="AG25" s="1434"/>
      <c r="AH25" s="1434"/>
      <c r="AI25" s="1430"/>
      <c r="AJ25" s="1430"/>
      <c r="AK25" s="1430"/>
      <c r="AL25" s="1430"/>
      <c r="AM25" s="1430"/>
      <c r="AN25" s="1430"/>
      <c r="AO25" s="1430"/>
      <c r="AP25" s="1430"/>
      <c r="AQ25" s="1430"/>
      <c r="AR25" s="1430"/>
      <c r="AS25" s="1430"/>
      <c r="AT25" s="1430"/>
      <c r="AU25" s="1431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  <c r="BJ25" s="250"/>
      <c r="BK25" s="250"/>
      <c r="BL25" s="250"/>
      <c r="BM25" s="358"/>
      <c r="BN25" s="358"/>
      <c r="BO25" s="358"/>
      <c r="BP25" s="358"/>
      <c r="BQ25" s="358"/>
      <c r="BR25" s="358"/>
      <c r="BS25" s="358"/>
    </row>
    <row r="26" spans="1:71" ht="15" customHeight="1" x14ac:dyDescent="0.25">
      <c r="A26" s="5">
        <v>2</v>
      </c>
      <c r="B26" s="1320" t="s">
        <v>18</v>
      </c>
      <c r="C26" s="1435"/>
      <c r="D26" s="1435"/>
      <c r="E26" s="1435"/>
      <c r="F26" s="1435"/>
      <c r="G26" s="1435"/>
      <c r="H26" s="1435"/>
      <c r="I26" s="1435"/>
      <c r="J26" s="1438"/>
      <c r="K26" s="1438"/>
      <c r="L26" s="1438"/>
      <c r="M26" s="1438"/>
      <c r="N26" s="1438"/>
      <c r="O26" s="1438"/>
      <c r="P26" s="1437"/>
      <c r="Q26" s="1437"/>
      <c r="R26" s="1437"/>
      <c r="S26" s="1437"/>
      <c r="T26" s="1437"/>
      <c r="U26" s="1437"/>
      <c r="V26" s="1437"/>
      <c r="W26" s="1437"/>
      <c r="X26" s="1437"/>
      <c r="Y26" s="1437"/>
      <c r="Z26" s="1434"/>
      <c r="AA26" s="1434"/>
      <c r="AB26" s="1434"/>
      <c r="AC26" s="1434"/>
      <c r="AD26" s="1434"/>
      <c r="AE26" s="1434"/>
      <c r="AF26" s="1434"/>
      <c r="AG26" s="1434"/>
      <c r="AH26" s="1434"/>
      <c r="AI26" s="1430"/>
      <c r="AJ26" s="1430"/>
      <c r="AK26" s="1430"/>
      <c r="AL26" s="1430"/>
      <c r="AM26" s="1430"/>
      <c r="AN26" s="1430"/>
      <c r="AO26" s="1430"/>
      <c r="AP26" s="1430"/>
      <c r="AQ26" s="1430"/>
      <c r="AR26" s="1430"/>
      <c r="AS26" s="1430"/>
      <c r="AT26" s="1430"/>
      <c r="AU26" s="1431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  <c r="BJ26" s="250"/>
      <c r="BK26" s="250"/>
      <c r="BL26" s="250"/>
      <c r="BM26" s="358"/>
      <c r="BN26" s="358"/>
      <c r="BO26" s="358"/>
      <c r="BP26" s="358"/>
      <c r="BQ26" s="358"/>
      <c r="BR26" s="358"/>
      <c r="BS26" s="358"/>
    </row>
    <row r="27" spans="1:71" s="124" customFormat="1" ht="15" customHeight="1" x14ac:dyDescent="0.25">
      <c r="A27" s="5">
        <v>3</v>
      </c>
      <c r="B27" s="1320" t="s">
        <v>19</v>
      </c>
      <c r="C27" s="1435"/>
      <c r="D27" s="1435"/>
      <c r="E27" s="1435"/>
      <c r="F27" s="1435"/>
      <c r="G27" s="1435"/>
      <c r="H27" s="1435"/>
      <c r="I27" s="1435"/>
      <c r="J27" s="1438"/>
      <c r="K27" s="1438"/>
      <c r="L27" s="1438"/>
      <c r="M27" s="1438"/>
      <c r="N27" s="1438"/>
      <c r="O27" s="1438"/>
      <c r="P27" s="1437"/>
      <c r="Q27" s="1437"/>
      <c r="R27" s="1437"/>
      <c r="S27" s="1437"/>
      <c r="T27" s="1437"/>
      <c r="U27" s="1437"/>
      <c r="V27" s="1437"/>
      <c r="W27" s="1437"/>
      <c r="X27" s="1437"/>
      <c r="Y27" s="1437"/>
      <c r="Z27" s="1434"/>
      <c r="AA27" s="1434"/>
      <c r="AB27" s="1434"/>
      <c r="AC27" s="1434"/>
      <c r="AD27" s="1434"/>
      <c r="AE27" s="1434"/>
      <c r="AF27" s="1434"/>
      <c r="AG27" s="1434"/>
      <c r="AH27" s="1434"/>
      <c r="AI27" s="1430"/>
      <c r="AJ27" s="1430"/>
      <c r="AK27" s="1430"/>
      <c r="AL27" s="1430"/>
      <c r="AM27" s="1430"/>
      <c r="AN27" s="1430"/>
      <c r="AO27" s="1430"/>
      <c r="AP27" s="1430"/>
      <c r="AQ27" s="1430"/>
      <c r="AR27" s="1430"/>
      <c r="AS27" s="1430"/>
      <c r="AT27" s="1430"/>
      <c r="AU27" s="1431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  <c r="BJ27" s="250"/>
      <c r="BK27" s="250"/>
      <c r="BL27" s="250"/>
      <c r="BM27" s="358"/>
      <c r="BN27" s="358"/>
      <c r="BO27" s="358"/>
      <c r="BP27" s="358"/>
      <c r="BQ27" s="358"/>
      <c r="BR27" s="358"/>
      <c r="BS27" s="358"/>
    </row>
    <row r="28" spans="1:71" s="124" customFormat="1" ht="15" customHeight="1" x14ac:dyDescent="0.25">
      <c r="A28" s="5">
        <v>4</v>
      </c>
      <c r="B28" s="1320" t="s">
        <v>20</v>
      </c>
      <c r="C28" s="1435"/>
      <c r="D28" s="1435"/>
      <c r="E28" s="1435"/>
      <c r="F28" s="1435"/>
      <c r="G28" s="1435"/>
      <c r="H28" s="1435"/>
      <c r="I28" s="1435"/>
      <c r="J28" s="1438"/>
      <c r="K28" s="1438"/>
      <c r="L28" s="1438"/>
      <c r="M28" s="1438"/>
      <c r="N28" s="1438"/>
      <c r="O28" s="1438"/>
      <c r="P28" s="1437"/>
      <c r="Q28" s="1437"/>
      <c r="R28" s="1437"/>
      <c r="S28" s="1437"/>
      <c r="T28" s="1437"/>
      <c r="U28" s="1437"/>
      <c r="V28" s="1437"/>
      <c r="W28" s="1437"/>
      <c r="X28" s="1437"/>
      <c r="Y28" s="1437"/>
      <c r="Z28" s="1434"/>
      <c r="AA28" s="1434"/>
      <c r="AB28" s="1434"/>
      <c r="AC28" s="1434"/>
      <c r="AD28" s="1434"/>
      <c r="AE28" s="1434"/>
      <c r="AF28" s="1434"/>
      <c r="AG28" s="1434"/>
      <c r="AH28" s="1434"/>
      <c r="AI28" s="1430"/>
      <c r="AJ28" s="1430"/>
      <c r="AK28" s="1430"/>
      <c r="AL28" s="1430"/>
      <c r="AM28" s="1430"/>
      <c r="AN28" s="1430"/>
      <c r="AO28" s="1430"/>
      <c r="AP28" s="1430"/>
      <c r="AQ28" s="1430"/>
      <c r="AR28" s="1430"/>
      <c r="AS28" s="1430"/>
      <c r="AT28" s="1430"/>
      <c r="AU28" s="1431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  <c r="BJ28" s="250"/>
      <c r="BK28" s="250"/>
      <c r="BL28" s="250"/>
      <c r="BM28" s="358"/>
      <c r="BN28" s="358"/>
      <c r="BO28" s="358"/>
      <c r="BP28" s="358"/>
      <c r="BQ28" s="358"/>
      <c r="BR28" s="358"/>
      <c r="BS28" s="358"/>
    </row>
    <row r="29" spans="1:71" s="124" customFormat="1" ht="15" customHeight="1" x14ac:dyDescent="0.25">
      <c r="A29" s="5">
        <v>5</v>
      </c>
      <c r="B29" s="1320" t="s">
        <v>22</v>
      </c>
      <c r="C29" s="1435"/>
      <c r="D29" s="1435"/>
      <c r="E29" s="1435"/>
      <c r="F29" s="1435"/>
      <c r="G29" s="1435"/>
      <c r="H29" s="1435"/>
      <c r="I29" s="1435"/>
      <c r="J29" s="1438"/>
      <c r="K29" s="1438"/>
      <c r="L29" s="1438"/>
      <c r="M29" s="1438"/>
      <c r="N29" s="1438"/>
      <c r="O29" s="1438"/>
      <c r="P29" s="1437"/>
      <c r="Q29" s="1437"/>
      <c r="R29" s="1437"/>
      <c r="S29" s="1437"/>
      <c r="T29" s="1437"/>
      <c r="U29" s="1437"/>
      <c r="V29" s="1437"/>
      <c r="W29" s="1437"/>
      <c r="X29" s="1437"/>
      <c r="Y29" s="1437"/>
      <c r="Z29" s="1434"/>
      <c r="AA29" s="1434"/>
      <c r="AB29" s="1434"/>
      <c r="AC29" s="1434"/>
      <c r="AD29" s="1434"/>
      <c r="AE29" s="1434"/>
      <c r="AF29" s="1434"/>
      <c r="AG29" s="1434"/>
      <c r="AH29" s="1434"/>
      <c r="AI29" s="1430"/>
      <c r="AJ29" s="1430"/>
      <c r="AK29" s="1430"/>
      <c r="AL29" s="1430"/>
      <c r="AM29" s="1430"/>
      <c r="AN29" s="1430"/>
      <c r="AO29" s="1430"/>
      <c r="AP29" s="1430"/>
      <c r="AQ29" s="1430"/>
      <c r="AR29" s="1430"/>
      <c r="AS29" s="1430"/>
      <c r="AT29" s="1430"/>
      <c r="AU29" s="1431"/>
      <c r="AV29" s="250"/>
      <c r="AW29" s="250"/>
      <c r="AX29" s="250"/>
      <c r="AY29" s="250"/>
      <c r="AZ29" s="250"/>
      <c r="BA29" s="250"/>
      <c r="BB29" s="250"/>
      <c r="BC29" s="250"/>
      <c r="BD29" s="250"/>
      <c r="BE29" s="250"/>
      <c r="BF29" s="250"/>
      <c r="BG29" s="250"/>
      <c r="BH29" s="250"/>
      <c r="BI29" s="250"/>
      <c r="BJ29" s="250"/>
      <c r="BK29" s="250"/>
      <c r="BL29" s="250"/>
      <c r="BM29" s="358"/>
      <c r="BN29" s="358"/>
      <c r="BO29" s="358"/>
      <c r="BP29" s="358"/>
      <c r="BQ29" s="358"/>
      <c r="BR29" s="358"/>
      <c r="BS29" s="358"/>
    </row>
    <row r="30" spans="1:71" s="124" customFormat="1" ht="15" customHeight="1" x14ac:dyDescent="0.25">
      <c r="A30" s="5">
        <v>6</v>
      </c>
      <c r="B30" s="1320" t="s">
        <v>21</v>
      </c>
      <c r="C30" s="1435"/>
      <c r="D30" s="1435"/>
      <c r="E30" s="1435"/>
      <c r="F30" s="1435"/>
      <c r="G30" s="1435"/>
      <c r="H30" s="1435"/>
      <c r="I30" s="1435"/>
      <c r="J30" s="1438"/>
      <c r="K30" s="1438"/>
      <c r="L30" s="1438"/>
      <c r="M30" s="1438"/>
      <c r="N30" s="1438"/>
      <c r="O30" s="1438"/>
      <c r="P30" s="1437"/>
      <c r="Q30" s="1437"/>
      <c r="R30" s="1437"/>
      <c r="S30" s="1437"/>
      <c r="T30" s="1437"/>
      <c r="U30" s="1437"/>
      <c r="V30" s="1437"/>
      <c r="W30" s="1437"/>
      <c r="X30" s="1437"/>
      <c r="Y30" s="1437"/>
      <c r="Z30" s="1434"/>
      <c r="AA30" s="1434"/>
      <c r="AB30" s="1434"/>
      <c r="AC30" s="1434"/>
      <c r="AD30" s="1434"/>
      <c r="AE30" s="1434"/>
      <c r="AF30" s="1434"/>
      <c r="AG30" s="1434"/>
      <c r="AH30" s="1434"/>
      <c r="AI30" s="1430"/>
      <c r="AJ30" s="1430"/>
      <c r="AK30" s="1430"/>
      <c r="AL30" s="1430"/>
      <c r="AM30" s="1430"/>
      <c r="AN30" s="1430"/>
      <c r="AO30" s="1430"/>
      <c r="AP30" s="1430"/>
      <c r="AQ30" s="1430"/>
      <c r="AR30" s="1430"/>
      <c r="AS30" s="1430"/>
      <c r="AT30" s="1430"/>
      <c r="AU30" s="1431"/>
      <c r="AV30" s="250"/>
      <c r="AW30" s="250"/>
      <c r="AX30" s="250"/>
      <c r="AY30" s="250"/>
      <c r="AZ30" s="250"/>
      <c r="BA30" s="250"/>
      <c r="BB30" s="250"/>
      <c r="BC30" s="250"/>
      <c r="BD30" s="250"/>
      <c r="BE30" s="250"/>
      <c r="BF30" s="250"/>
      <c r="BG30" s="250"/>
      <c r="BH30" s="250"/>
      <c r="BI30" s="250"/>
      <c r="BJ30" s="358"/>
      <c r="BK30" s="358"/>
      <c r="BL30" s="358"/>
      <c r="BM30" s="358"/>
      <c r="BN30" s="358"/>
      <c r="BO30" s="358"/>
      <c r="BP30" s="358"/>
      <c r="BQ30" s="358"/>
      <c r="BR30" s="358"/>
      <c r="BS30" s="358"/>
    </row>
    <row r="31" spans="1:71" s="124" customFormat="1" ht="15" customHeight="1" x14ac:dyDescent="0.25">
      <c r="A31" s="260">
        <v>7</v>
      </c>
      <c r="B31" s="1320" t="s">
        <v>311</v>
      </c>
      <c r="C31" s="1435"/>
      <c r="D31" s="1435"/>
      <c r="E31" s="1435"/>
      <c r="F31" s="1435"/>
      <c r="G31" s="1435"/>
      <c r="H31" s="1435"/>
      <c r="I31" s="1435"/>
      <c r="J31" s="1438"/>
      <c r="K31" s="1438"/>
      <c r="L31" s="1438"/>
      <c r="M31" s="1438"/>
      <c r="N31" s="1438"/>
      <c r="O31" s="1438"/>
      <c r="P31" s="1437"/>
      <c r="Q31" s="1437"/>
      <c r="R31" s="1437"/>
      <c r="S31" s="1437"/>
      <c r="T31" s="1437"/>
      <c r="U31" s="1437"/>
      <c r="V31" s="1437"/>
      <c r="W31" s="1437"/>
      <c r="X31" s="1437"/>
      <c r="Y31" s="1437"/>
      <c r="Z31" s="1434"/>
      <c r="AA31" s="1434"/>
      <c r="AB31" s="1434"/>
      <c r="AC31" s="1434"/>
      <c r="AD31" s="1434"/>
      <c r="AE31" s="1434"/>
      <c r="AF31" s="1434"/>
      <c r="AG31" s="1434"/>
      <c r="AH31" s="1434"/>
      <c r="AI31" s="1430"/>
      <c r="AJ31" s="1430"/>
      <c r="AK31" s="1430"/>
      <c r="AL31" s="1430"/>
      <c r="AM31" s="1430"/>
      <c r="AN31" s="1430"/>
      <c r="AO31" s="1430"/>
      <c r="AP31" s="1430"/>
      <c r="AQ31" s="1430"/>
      <c r="AR31" s="1430"/>
      <c r="AS31" s="1430"/>
      <c r="AT31" s="1430"/>
      <c r="AU31" s="1431"/>
      <c r="AV31" s="250"/>
      <c r="AW31" s="250"/>
      <c r="AX31" s="250"/>
      <c r="AY31" s="250"/>
      <c r="AZ31" s="250"/>
      <c r="BA31" s="250"/>
      <c r="BB31" s="250"/>
      <c r="BC31" s="250"/>
      <c r="BD31" s="250"/>
      <c r="BE31" s="250"/>
      <c r="BF31" s="250"/>
      <c r="BG31" s="250"/>
      <c r="BH31" s="250"/>
      <c r="BI31" s="250"/>
      <c r="BJ31" s="358"/>
      <c r="BK31" s="358"/>
      <c r="BL31" s="358"/>
      <c r="BM31" s="358"/>
      <c r="BN31" s="358"/>
      <c r="BO31" s="358"/>
      <c r="BP31" s="358"/>
      <c r="BQ31" s="358"/>
      <c r="BR31" s="358"/>
      <c r="BS31" s="358"/>
    </row>
    <row r="32" spans="1:71" s="124" customFormat="1" ht="15" customHeight="1" x14ac:dyDescent="0.25">
      <c r="A32" s="260">
        <v>8</v>
      </c>
      <c r="B32" s="1320" t="s">
        <v>659</v>
      </c>
      <c r="C32" s="1435"/>
      <c r="D32" s="1438"/>
      <c r="E32" s="1435"/>
      <c r="F32" s="1435"/>
      <c r="G32" s="1435"/>
      <c r="H32" s="1435"/>
      <c r="I32" s="1435"/>
      <c r="J32" s="1438"/>
      <c r="K32" s="1438"/>
      <c r="L32" s="1438"/>
      <c r="M32" s="1438"/>
      <c r="N32" s="1438"/>
      <c r="O32" s="1438"/>
      <c r="P32" s="1437"/>
      <c r="Q32" s="1437"/>
      <c r="R32" s="1437"/>
      <c r="S32" s="1437"/>
      <c r="T32" s="1437"/>
      <c r="U32" s="1437"/>
      <c r="V32" s="1437"/>
      <c r="W32" s="1437"/>
      <c r="X32" s="1437"/>
      <c r="Y32" s="1437"/>
      <c r="Z32" s="1434"/>
      <c r="AA32" s="1434"/>
      <c r="AB32" s="1434"/>
      <c r="AC32" s="1434"/>
      <c r="AD32" s="1434"/>
      <c r="AE32" s="1434"/>
      <c r="AF32" s="1434"/>
      <c r="AG32" s="1434"/>
      <c r="AH32" s="1434"/>
      <c r="AI32" s="1430"/>
      <c r="AJ32" s="1430"/>
      <c r="AK32" s="1430"/>
      <c r="AL32" s="1430"/>
      <c r="AM32" s="1430"/>
      <c r="AN32" s="1430"/>
      <c r="AO32" s="1430"/>
      <c r="AP32" s="1430"/>
      <c r="AQ32" s="1430"/>
      <c r="AR32" s="1430"/>
      <c r="AS32" s="1430"/>
      <c r="AT32" s="1430"/>
      <c r="AU32" s="1431"/>
      <c r="AV32" s="250"/>
      <c r="AW32" s="250"/>
      <c r="AX32" s="250"/>
      <c r="AY32" s="250"/>
      <c r="AZ32" s="250"/>
      <c r="BA32" s="250"/>
      <c r="BB32" s="250"/>
      <c r="BC32" s="250"/>
      <c r="BD32" s="250"/>
      <c r="BE32" s="250"/>
      <c r="BF32" s="250"/>
      <c r="BG32" s="250"/>
      <c r="BH32" s="250"/>
      <c r="BI32" s="250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</row>
    <row r="33" spans="1:71" s="124" customFormat="1" ht="15" customHeight="1" x14ac:dyDescent="0.25">
      <c r="A33" s="4"/>
      <c r="B33" s="1321" t="s">
        <v>23</v>
      </c>
      <c r="C33" s="1436"/>
      <c r="D33" s="1436"/>
      <c r="E33" s="1437"/>
      <c r="F33" s="1436"/>
      <c r="G33" s="1436"/>
      <c r="H33" s="1436"/>
      <c r="I33" s="1436"/>
      <c r="J33" s="1436"/>
      <c r="K33" s="1436"/>
      <c r="L33" s="1436"/>
      <c r="M33" s="1436"/>
      <c r="N33" s="1436"/>
      <c r="O33" s="1436"/>
      <c r="P33" s="1436"/>
      <c r="Q33" s="1436"/>
      <c r="R33" s="1436"/>
      <c r="S33" s="1436"/>
      <c r="T33" s="1436"/>
      <c r="U33" s="1436"/>
      <c r="V33" s="1436"/>
      <c r="W33" s="1436"/>
      <c r="X33" s="1436"/>
      <c r="Y33" s="1437"/>
      <c r="Z33" s="1434"/>
      <c r="AA33" s="1434"/>
      <c r="AB33" s="1434"/>
      <c r="AC33" s="1434"/>
      <c r="AD33" s="1434"/>
      <c r="AE33" s="1434"/>
      <c r="AF33" s="1434"/>
      <c r="AG33" s="1434"/>
      <c r="AH33" s="1434"/>
      <c r="AI33" s="1432"/>
      <c r="AJ33" s="1432"/>
      <c r="AK33" s="1432"/>
      <c r="AL33" s="1432"/>
      <c r="AM33" s="1432"/>
      <c r="AN33" s="1432"/>
      <c r="AO33" s="1432"/>
      <c r="AP33" s="1432"/>
      <c r="AQ33" s="1432"/>
      <c r="AR33" s="1432"/>
      <c r="AS33" s="1432"/>
      <c r="AT33" s="1432"/>
      <c r="AU33" s="1433"/>
      <c r="AV33" s="250"/>
      <c r="AW33" s="250"/>
      <c r="AX33" s="250"/>
      <c r="AY33" s="250"/>
      <c r="AZ33" s="250"/>
      <c r="BA33" s="250"/>
      <c r="BB33" s="250"/>
      <c r="BC33" s="250"/>
      <c r="BD33" s="250"/>
      <c r="BE33" s="250"/>
      <c r="BF33" s="250"/>
      <c r="BG33" s="250"/>
      <c r="BH33" s="250"/>
      <c r="BI33" s="250"/>
      <c r="BJ33" s="358"/>
      <c r="BK33" s="358"/>
      <c r="BL33" s="358"/>
      <c r="BM33" s="358"/>
      <c r="BN33" s="358"/>
      <c r="BO33" s="358"/>
      <c r="BP33" s="358"/>
      <c r="BQ33" s="358"/>
      <c r="BR33" s="358"/>
      <c r="BS33" s="358"/>
    </row>
    <row r="34" spans="1:71" s="124" customFormat="1" ht="15" customHeight="1" x14ac:dyDescent="0.25">
      <c r="A34" s="8"/>
      <c r="B34" s="8"/>
      <c r="C34" s="8"/>
      <c r="D34" s="8"/>
      <c r="E34" s="278"/>
      <c r="F34" s="278"/>
      <c r="G34" s="279"/>
      <c r="H34" s="279"/>
      <c r="I34" s="279"/>
      <c r="J34" s="279"/>
      <c r="K34" s="279"/>
      <c r="L34" s="279"/>
      <c r="M34" s="279"/>
      <c r="N34" s="279"/>
      <c r="O34" s="280" t="s">
        <v>180</v>
      </c>
      <c r="P34" s="280"/>
      <c r="Q34" s="280"/>
      <c r="R34" s="280"/>
      <c r="S34" s="280"/>
      <c r="T34" s="280"/>
      <c r="U34" s="280"/>
      <c r="V34" s="280"/>
      <c r="W34" s="280"/>
      <c r="X34" s="280"/>
      <c r="Y34" s="280"/>
      <c r="Z34" s="369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  <c r="AT34" s="28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358"/>
      <c r="BK34" s="358"/>
      <c r="BL34" s="358"/>
      <c r="BM34" s="358"/>
      <c r="BN34" s="358"/>
      <c r="BO34" s="358"/>
      <c r="BP34" s="358"/>
      <c r="BQ34" s="358"/>
      <c r="BR34" s="358"/>
      <c r="BS34" s="358"/>
    </row>
    <row r="35" spans="1:71" s="124" customFormat="1" ht="15" customHeight="1" x14ac:dyDescent="0.25">
      <c r="A35" s="8"/>
      <c r="B35" s="8"/>
      <c r="C35" s="8"/>
      <c r="D35" s="8"/>
      <c r="E35" s="278"/>
      <c r="F35" s="278"/>
      <c r="G35" s="279"/>
      <c r="H35" s="279"/>
      <c r="I35" s="279"/>
      <c r="J35" s="279"/>
      <c r="K35" s="279"/>
      <c r="L35" s="279"/>
      <c r="M35" s="279"/>
      <c r="N35" s="279"/>
      <c r="O35" s="280"/>
      <c r="P35" s="280"/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398"/>
      <c r="AE35" s="398"/>
      <c r="AF35" s="398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  <c r="AT35" s="280"/>
      <c r="AU35" s="250"/>
      <c r="AV35" s="250"/>
      <c r="AW35" s="250"/>
      <c r="AX35" s="250"/>
      <c r="AY35" s="250"/>
      <c r="AZ35" s="250"/>
      <c r="BA35" s="250"/>
      <c r="BB35" s="250"/>
      <c r="BC35" s="250"/>
      <c r="BD35" s="250"/>
      <c r="BE35" s="250"/>
      <c r="BF35" s="250"/>
      <c r="BG35" s="250"/>
      <c r="BH35" s="250"/>
      <c r="BI35" s="250"/>
      <c r="BJ35" s="358"/>
      <c r="BK35" s="358"/>
      <c r="BL35" s="358"/>
      <c r="BM35" s="358"/>
      <c r="BN35" s="358"/>
      <c r="BO35" s="358"/>
      <c r="BP35" s="358"/>
      <c r="BQ35" s="358"/>
      <c r="BR35" s="358"/>
      <c r="BS35" s="358"/>
    </row>
    <row r="36" spans="1:71" s="124" customFormat="1" ht="18" customHeight="1" x14ac:dyDescent="0.25">
      <c r="A36" s="223"/>
      <c r="B36" s="223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82"/>
      <c r="Z36" s="223"/>
      <c r="AA36" s="223"/>
      <c r="AB36" s="223"/>
      <c r="AC36" s="234"/>
      <c r="AD36" s="234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340"/>
      <c r="BK36" s="340"/>
      <c r="BL36" s="340"/>
      <c r="BM36" s="223"/>
      <c r="BN36" s="223"/>
      <c r="BO36" s="223"/>
      <c r="BP36" s="223"/>
      <c r="BQ36" s="223"/>
      <c r="BR36" s="223"/>
      <c r="BS36" s="30"/>
    </row>
    <row r="37" spans="1:71" ht="18" customHeight="1" x14ac:dyDescent="0.25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86"/>
      <c r="Z37" s="286"/>
      <c r="AA37" s="286"/>
      <c r="AB37" s="286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340"/>
      <c r="BK37" s="340"/>
      <c r="BL37" s="340"/>
      <c r="BM37" s="223"/>
      <c r="BN37" s="223"/>
      <c r="BO37" s="223"/>
      <c r="BP37" s="223"/>
      <c r="BQ37" s="223"/>
      <c r="BR37" s="223"/>
      <c r="BS37" s="9"/>
    </row>
    <row r="38" spans="1:71" x14ac:dyDescent="0.25">
      <c r="A38" s="223"/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340"/>
      <c r="BK38" s="340"/>
      <c r="BL38" s="340"/>
      <c r="BM38" s="223"/>
      <c r="BN38" s="223"/>
      <c r="BO38" s="223"/>
      <c r="BP38" s="223"/>
      <c r="BQ38" s="223"/>
      <c r="BR38" s="223"/>
      <c r="BS38" s="9"/>
    </row>
    <row r="39" spans="1:71" ht="18.75" x14ac:dyDescent="0.3">
      <c r="B39" s="84" t="s">
        <v>718</v>
      </c>
      <c r="C39" s="84"/>
      <c r="D39" s="84"/>
      <c r="E39" s="84"/>
      <c r="F39" s="84"/>
      <c r="N39" s="353"/>
      <c r="Q39" s="250"/>
      <c r="R39" s="250"/>
      <c r="BR39" s="223"/>
      <c r="BS39" s="9"/>
    </row>
    <row r="40" spans="1:71" ht="18.75" x14ac:dyDescent="0.3">
      <c r="B40" s="1993" t="s">
        <v>655</v>
      </c>
      <c r="C40" s="1994"/>
      <c r="D40" s="1994"/>
      <c r="E40" s="1994"/>
      <c r="F40" s="1994"/>
      <c r="Q40" s="250"/>
      <c r="R40" s="250"/>
      <c r="S40" s="1439"/>
      <c r="T40" s="1439"/>
      <c r="BR40" s="223"/>
      <c r="BS40" s="9"/>
    </row>
    <row r="41" spans="1:71" x14ac:dyDescent="0.25">
      <c r="Q41" s="250"/>
      <c r="R41" s="250"/>
      <c r="S41" s="1439"/>
      <c r="T41" s="1439"/>
      <c r="AP41" s="250"/>
      <c r="AQ41" s="250"/>
      <c r="AR41" s="250"/>
      <c r="AS41" s="250"/>
      <c r="AT41" s="250"/>
      <c r="AU41" s="250"/>
      <c r="AV41" s="250"/>
      <c r="AW41" s="250"/>
      <c r="AX41" s="250"/>
      <c r="AY41" s="250"/>
      <c r="AZ41" s="250"/>
      <c r="BA41" s="250"/>
      <c r="BB41" s="250"/>
      <c r="BC41" s="250"/>
      <c r="BD41" s="250"/>
      <c r="BE41" s="250"/>
      <c r="BF41" s="250"/>
      <c r="BG41" s="250"/>
      <c r="BH41" s="250"/>
      <c r="BI41" s="250"/>
      <c r="BJ41" s="250"/>
      <c r="BK41" s="250"/>
      <c r="BL41" s="250"/>
      <c r="BM41" s="250"/>
      <c r="BN41" s="250"/>
      <c r="BO41" s="250"/>
      <c r="BP41" s="250"/>
      <c r="BQ41" s="250"/>
      <c r="BR41" s="250"/>
      <c r="BS41" s="250"/>
    </row>
    <row r="42" spans="1:71" ht="27" customHeight="1" x14ac:dyDescent="0.25">
      <c r="A42" s="1985" t="s">
        <v>0</v>
      </c>
      <c r="B42" s="1985" t="s">
        <v>184</v>
      </c>
      <c r="C42" s="1985" t="s">
        <v>54</v>
      </c>
      <c r="D42" s="1985" t="s">
        <v>55</v>
      </c>
      <c r="E42" s="1985" t="s">
        <v>56</v>
      </c>
      <c r="F42" s="1985" t="s">
        <v>57</v>
      </c>
      <c r="G42" s="1985" t="s">
        <v>6</v>
      </c>
      <c r="H42" s="1985" t="s">
        <v>288</v>
      </c>
      <c r="I42" s="1307"/>
      <c r="J42" s="1307"/>
      <c r="K42" s="1307"/>
      <c r="L42" s="1307"/>
      <c r="M42" s="1305"/>
      <c r="N42" s="1305"/>
      <c r="O42" s="1989" t="s">
        <v>284</v>
      </c>
      <c r="P42" s="1990"/>
      <c r="Q42" s="2020"/>
      <c r="R42" s="2027"/>
      <c r="S42" s="2027"/>
      <c r="T42" s="2027"/>
      <c r="U42" s="1394"/>
      <c r="V42" s="1394"/>
      <c r="W42" s="937"/>
      <c r="X42" s="937"/>
      <c r="Y42" s="1987"/>
      <c r="Z42" s="1987"/>
      <c r="AA42" s="1987"/>
      <c r="AB42" s="2003"/>
      <c r="AC42" s="1987"/>
      <c r="AD42" s="1987"/>
      <c r="AE42" s="1987"/>
      <c r="AF42" s="2001"/>
      <c r="AG42" s="1999"/>
      <c r="AH42" s="1391"/>
      <c r="AI42" s="1391"/>
      <c r="AJ42" s="1391"/>
      <c r="AK42" s="1391"/>
      <c r="AL42" s="1391"/>
      <c r="AM42" s="1391"/>
      <c r="AN42" s="1391"/>
      <c r="AO42" s="1391"/>
      <c r="AP42" s="2010"/>
      <c r="AQ42" s="1401"/>
      <c r="AR42" s="250"/>
      <c r="AS42" s="250"/>
      <c r="AT42" s="250"/>
      <c r="AU42" s="250"/>
      <c r="AV42" s="250"/>
      <c r="AW42" s="250"/>
      <c r="AX42" s="250"/>
      <c r="AY42" s="250"/>
      <c r="AZ42" s="250"/>
      <c r="BA42" s="250"/>
      <c r="BB42" s="250"/>
      <c r="BC42" s="250"/>
      <c r="BD42" s="250"/>
      <c r="BE42" s="250"/>
      <c r="BF42" s="250"/>
      <c r="BG42" s="250"/>
      <c r="BH42" s="250"/>
      <c r="BI42" s="250"/>
      <c r="BJ42" s="250"/>
      <c r="BK42" s="250"/>
      <c r="BL42" s="250"/>
      <c r="BM42" s="250"/>
      <c r="BN42" s="250"/>
      <c r="BO42" s="250"/>
      <c r="BP42" s="250"/>
      <c r="BQ42" s="250"/>
      <c r="BR42" s="250"/>
      <c r="BS42" s="250"/>
    </row>
    <row r="43" spans="1:71" ht="21" customHeight="1" x14ac:dyDescent="0.25">
      <c r="A43" s="1986"/>
      <c r="B43" s="1986"/>
      <c r="C43" s="1986"/>
      <c r="D43" s="1986"/>
      <c r="E43" s="1986"/>
      <c r="F43" s="1986"/>
      <c r="G43" s="1986"/>
      <c r="H43" s="1986"/>
      <c r="I43" s="605"/>
      <c r="J43" s="605"/>
      <c r="K43" s="605"/>
      <c r="L43" s="605"/>
      <c r="M43" s="934"/>
      <c r="N43" s="934"/>
      <c r="O43" s="150" t="s">
        <v>15</v>
      </c>
      <c r="P43" s="1313" t="s">
        <v>16</v>
      </c>
      <c r="Q43" s="2021"/>
      <c r="R43" s="2028"/>
      <c r="S43" s="2028"/>
      <c r="T43" s="2028"/>
      <c r="U43" s="1416"/>
      <c r="V43" s="1393"/>
      <c r="W43" s="938"/>
      <c r="X43" s="938"/>
      <c r="Y43" s="1988"/>
      <c r="Z43" s="1988"/>
      <c r="AA43" s="1988"/>
      <c r="AB43" s="2004"/>
      <c r="AC43" s="1988"/>
      <c r="AD43" s="1988"/>
      <c r="AE43" s="1988"/>
      <c r="AF43" s="2002"/>
      <c r="AG43" s="2000"/>
      <c r="AH43" s="1392"/>
      <c r="AI43" s="1392"/>
      <c r="AJ43" s="1392"/>
      <c r="AK43" s="1392"/>
      <c r="AL43" s="1392"/>
      <c r="AM43" s="1392"/>
      <c r="AN43" s="1392"/>
      <c r="AO43" s="1392"/>
      <c r="AP43" s="2011"/>
      <c r="AQ43" s="1401"/>
      <c r="AR43" s="250"/>
      <c r="AS43" s="250"/>
      <c r="AT43" s="250"/>
      <c r="AU43" s="250"/>
      <c r="AV43" s="250"/>
      <c r="AW43" s="250"/>
      <c r="AX43" s="250"/>
      <c r="AY43" s="250"/>
      <c r="AZ43" s="250"/>
      <c r="BA43" s="250"/>
      <c r="BB43" s="250"/>
      <c r="BC43" s="250"/>
      <c r="BD43" s="250"/>
      <c r="BE43" s="250"/>
      <c r="BF43" s="250"/>
      <c r="BG43" s="250"/>
      <c r="BH43" s="250"/>
      <c r="BI43" s="250"/>
      <c r="BJ43" s="250"/>
      <c r="BK43" s="250"/>
      <c r="BL43" s="250"/>
      <c r="BM43" s="250"/>
      <c r="BN43" s="250"/>
      <c r="BO43" s="250"/>
      <c r="BP43" s="250"/>
      <c r="BQ43" s="250"/>
      <c r="BR43" s="250"/>
      <c r="BS43" s="250"/>
    </row>
    <row r="44" spans="1:71" x14ac:dyDescent="0.25">
      <c r="A44" s="2">
        <v>1</v>
      </c>
      <c r="B44" s="1319" t="s">
        <v>17</v>
      </c>
      <c r="C44" s="908">
        <v>1977</v>
      </c>
      <c r="D44" s="908">
        <v>5</v>
      </c>
      <c r="E44" s="908">
        <v>45</v>
      </c>
      <c r="F44" s="927">
        <v>132</v>
      </c>
      <c r="G44" s="910">
        <v>2366.1999999999998</v>
      </c>
      <c r="H44" s="910">
        <v>207.4</v>
      </c>
      <c r="I44" s="911"/>
      <c r="J44" s="911"/>
      <c r="K44" s="911"/>
      <c r="L44" s="911"/>
      <c r="M44" s="935"/>
      <c r="N44" s="935"/>
      <c r="O44" s="912">
        <v>106546.5</v>
      </c>
      <c r="P44" s="912">
        <v>105969.23</v>
      </c>
      <c r="Q44" s="855"/>
      <c r="R44" s="1441"/>
      <c r="S44" s="1441"/>
      <c r="T44" s="1441"/>
      <c r="U44" s="1440"/>
      <c r="V44" s="912"/>
      <c r="W44" s="939"/>
      <c r="X44" s="939"/>
      <c r="Y44" s="912"/>
      <c r="Z44" s="912"/>
      <c r="AA44" s="912"/>
      <c r="AB44" s="855"/>
      <c r="AC44" s="855"/>
      <c r="AD44" s="855"/>
      <c r="AE44" s="855"/>
      <c r="AF44" s="855"/>
      <c r="AG44" s="855"/>
      <c r="AH44" s="855"/>
      <c r="AI44" s="855"/>
      <c r="AJ44" s="855"/>
      <c r="AK44" s="855"/>
      <c r="AL44" s="855"/>
      <c r="AM44" s="855"/>
      <c r="AN44" s="855"/>
      <c r="AO44" s="855"/>
      <c r="AP44" s="736"/>
      <c r="AQ44" s="350"/>
      <c r="AR44" s="250"/>
      <c r="AS44" s="250"/>
      <c r="AT44" s="250"/>
      <c r="AU44" s="250"/>
      <c r="AV44" s="250"/>
      <c r="AW44" s="250"/>
      <c r="AX44" s="250"/>
      <c r="AY44" s="250"/>
      <c r="AZ44" s="250"/>
      <c r="BA44" s="250"/>
      <c r="BB44" s="250"/>
      <c r="BC44" s="250"/>
      <c r="BD44" s="250"/>
      <c r="BE44" s="250"/>
      <c r="BF44" s="250"/>
      <c r="BG44" s="250"/>
      <c r="BH44" s="250"/>
      <c r="BI44" s="250"/>
      <c r="BJ44" s="250"/>
      <c r="BK44" s="250"/>
      <c r="BL44" s="250"/>
      <c r="BM44" s="250"/>
      <c r="BN44" s="250"/>
      <c r="BO44" s="250"/>
      <c r="BP44" s="250"/>
      <c r="BQ44" s="250"/>
      <c r="BR44" s="250"/>
      <c r="BS44" s="250"/>
    </row>
    <row r="45" spans="1:71" x14ac:dyDescent="0.25">
      <c r="A45" s="5">
        <v>2</v>
      </c>
      <c r="B45" s="1320" t="s">
        <v>18</v>
      </c>
      <c r="C45" s="737">
        <v>1977</v>
      </c>
      <c r="D45" s="737">
        <v>5</v>
      </c>
      <c r="E45" s="737">
        <v>45</v>
      </c>
      <c r="F45" s="929">
        <v>117</v>
      </c>
      <c r="G45" s="738">
        <v>2363.9</v>
      </c>
      <c r="H45" s="738">
        <v>207.4</v>
      </c>
      <c r="I45" s="911"/>
      <c r="J45" s="911"/>
      <c r="K45" s="911"/>
      <c r="L45" s="911"/>
      <c r="M45" s="935"/>
      <c r="N45" s="935"/>
      <c r="O45" s="912">
        <v>106391.5</v>
      </c>
      <c r="P45" s="912">
        <v>100698.18</v>
      </c>
      <c r="Q45" s="855"/>
      <c r="R45" s="1441"/>
      <c r="S45" s="1441"/>
      <c r="T45" s="1441"/>
      <c r="U45" s="1440"/>
      <c r="V45" s="912"/>
      <c r="W45" s="939"/>
      <c r="X45" s="939"/>
      <c r="Y45" s="912"/>
      <c r="Z45" s="912"/>
      <c r="AA45" s="912"/>
      <c r="AB45" s="855"/>
      <c r="AC45" s="855"/>
      <c r="AD45" s="855"/>
      <c r="AE45" s="855"/>
      <c r="AF45" s="855"/>
      <c r="AG45" s="855"/>
      <c r="AH45" s="855"/>
      <c r="AI45" s="855"/>
      <c r="AJ45" s="855"/>
      <c r="AK45" s="855"/>
      <c r="AL45" s="855"/>
      <c r="AM45" s="855"/>
      <c r="AN45" s="855"/>
      <c r="AO45" s="855"/>
      <c r="AP45" s="736"/>
      <c r="AQ45" s="350"/>
      <c r="AR45" s="250"/>
      <c r="AS45" s="250"/>
      <c r="AT45" s="250"/>
      <c r="AU45" s="250"/>
      <c r="AV45" s="250"/>
      <c r="AW45" s="250"/>
      <c r="AX45" s="250"/>
      <c r="AY45" s="250"/>
      <c r="AZ45" s="250"/>
      <c r="BA45" s="250"/>
      <c r="BB45" s="250"/>
      <c r="BC45" s="250"/>
      <c r="BD45" s="250"/>
      <c r="BE45" s="250"/>
      <c r="BF45" s="250"/>
      <c r="BG45" s="250"/>
      <c r="BH45" s="250"/>
      <c r="BI45" s="250"/>
      <c r="BJ45" s="250"/>
      <c r="BK45" s="250"/>
      <c r="BL45" s="250"/>
      <c r="BM45" s="250"/>
      <c r="BN45" s="250"/>
      <c r="BO45" s="250"/>
      <c r="BP45" s="250"/>
      <c r="BQ45" s="250"/>
      <c r="BR45" s="250"/>
      <c r="BS45" s="250"/>
    </row>
    <row r="46" spans="1:71" x14ac:dyDescent="0.25">
      <c r="A46" s="5">
        <v>3</v>
      </c>
      <c r="B46" s="1320" t="s">
        <v>19</v>
      </c>
      <c r="C46" s="737">
        <v>1986</v>
      </c>
      <c r="D46" s="737">
        <v>3</v>
      </c>
      <c r="E46" s="737">
        <v>24</v>
      </c>
      <c r="F46" s="927">
        <v>83</v>
      </c>
      <c r="G46" s="738">
        <v>1440.6</v>
      </c>
      <c r="H46" s="738">
        <v>174</v>
      </c>
      <c r="I46" s="911"/>
      <c r="J46" s="911"/>
      <c r="K46" s="911"/>
      <c r="L46" s="911"/>
      <c r="M46" s="935"/>
      <c r="N46" s="935"/>
      <c r="O46" s="912">
        <v>64827</v>
      </c>
      <c r="P46" s="912">
        <v>62955.81</v>
      </c>
      <c r="Q46" s="855"/>
      <c r="R46" s="1441"/>
      <c r="S46" s="1441"/>
      <c r="T46" s="1441"/>
      <c r="U46" s="1440"/>
      <c r="V46" s="912"/>
      <c r="W46" s="939"/>
      <c r="X46" s="939"/>
      <c r="Y46" s="912"/>
      <c r="Z46" s="912"/>
      <c r="AA46" s="912"/>
      <c r="AB46" s="855"/>
      <c r="AC46" s="855"/>
      <c r="AD46" s="855"/>
      <c r="AE46" s="855"/>
      <c r="AF46" s="855"/>
      <c r="AG46" s="855"/>
      <c r="AH46" s="855"/>
      <c r="AI46" s="855"/>
      <c r="AJ46" s="855"/>
      <c r="AK46" s="855"/>
      <c r="AL46" s="855"/>
      <c r="AM46" s="855"/>
      <c r="AN46" s="855"/>
      <c r="AO46" s="855"/>
      <c r="AP46" s="736"/>
      <c r="AQ46" s="350"/>
      <c r="AR46" s="250"/>
      <c r="AS46" s="250"/>
      <c r="AT46" s="250"/>
      <c r="AU46" s="250"/>
      <c r="AV46" s="250"/>
      <c r="AW46" s="250"/>
      <c r="AX46" s="250"/>
      <c r="AY46" s="250"/>
      <c r="AZ46" s="250"/>
      <c r="BA46" s="250"/>
      <c r="BB46" s="250"/>
      <c r="BC46" s="250"/>
      <c r="BD46" s="250"/>
      <c r="BE46" s="250"/>
      <c r="BF46" s="250"/>
      <c r="BG46" s="250"/>
      <c r="BH46" s="250"/>
      <c r="BI46" s="250"/>
      <c r="BJ46" s="250"/>
      <c r="BK46" s="250"/>
      <c r="BL46" s="250"/>
      <c r="BM46" s="250"/>
      <c r="BN46" s="250"/>
      <c r="BO46" s="250"/>
      <c r="BP46" s="250"/>
      <c r="BQ46" s="250"/>
      <c r="BR46" s="250"/>
      <c r="BS46" s="250"/>
    </row>
    <row r="47" spans="1:71" x14ac:dyDescent="0.25">
      <c r="A47" s="5">
        <v>4</v>
      </c>
      <c r="B47" s="1320" t="s">
        <v>20</v>
      </c>
      <c r="C47" s="737">
        <v>1992</v>
      </c>
      <c r="D47" s="737">
        <v>5</v>
      </c>
      <c r="E47" s="737">
        <v>60</v>
      </c>
      <c r="F47" s="929">
        <v>167</v>
      </c>
      <c r="G47" s="738">
        <v>3634.3</v>
      </c>
      <c r="H47" s="738">
        <v>468.3</v>
      </c>
      <c r="I47" s="911"/>
      <c r="J47" s="911"/>
      <c r="K47" s="911"/>
      <c r="L47" s="911"/>
      <c r="M47" s="935"/>
      <c r="N47" s="935"/>
      <c r="O47" s="912">
        <v>163575</v>
      </c>
      <c r="P47" s="912">
        <v>157084.82</v>
      </c>
      <c r="Q47" s="912"/>
      <c r="R47" s="912"/>
      <c r="S47" s="912"/>
      <c r="T47" s="912"/>
      <c r="U47" s="912"/>
      <c r="V47" s="912"/>
      <c r="W47" s="939"/>
      <c r="X47" s="939"/>
      <c r="Y47" s="912"/>
      <c r="Z47" s="912"/>
      <c r="AA47" s="912"/>
      <c r="AB47" s="855"/>
      <c r="AC47" s="855"/>
      <c r="AD47" s="855"/>
      <c r="AE47" s="855"/>
      <c r="AF47" s="855"/>
      <c r="AG47" s="855"/>
      <c r="AH47" s="855"/>
      <c r="AI47" s="855"/>
      <c r="AJ47" s="855"/>
      <c r="AK47" s="855"/>
      <c r="AL47" s="855"/>
      <c r="AM47" s="855"/>
      <c r="AN47" s="855"/>
      <c r="AO47" s="855"/>
      <c r="AP47" s="736"/>
      <c r="AQ47" s="350"/>
      <c r="AR47" s="250"/>
      <c r="AS47" s="250"/>
      <c r="AT47" s="250"/>
      <c r="AU47" s="250"/>
      <c r="AV47" s="250"/>
      <c r="AW47" s="250"/>
      <c r="AX47" s="250"/>
      <c r="AY47" s="250"/>
      <c r="AZ47" s="250"/>
      <c r="BA47" s="250"/>
      <c r="BB47" s="250"/>
      <c r="BC47" s="250"/>
      <c r="BD47" s="250"/>
      <c r="BE47" s="250"/>
      <c r="BF47" s="250"/>
      <c r="BG47" s="250"/>
      <c r="BH47" s="250"/>
      <c r="BI47" s="250"/>
      <c r="BJ47" s="250"/>
      <c r="BK47" s="250"/>
      <c r="BL47" s="250"/>
      <c r="BM47" s="250"/>
      <c r="BN47" s="250"/>
      <c r="BO47" s="250"/>
      <c r="BP47" s="250"/>
      <c r="BQ47" s="250"/>
      <c r="BR47" s="250"/>
      <c r="BS47" s="250"/>
    </row>
    <row r="48" spans="1:71" x14ac:dyDescent="0.25">
      <c r="A48" s="5">
        <v>5</v>
      </c>
      <c r="B48" s="1320" t="s">
        <v>22</v>
      </c>
      <c r="C48" s="737">
        <v>1994</v>
      </c>
      <c r="D48" s="737">
        <v>5</v>
      </c>
      <c r="E48" s="737">
        <v>60</v>
      </c>
      <c r="F48" s="909">
        <v>131</v>
      </c>
      <c r="G48" s="738">
        <v>3641.8</v>
      </c>
      <c r="H48" s="738">
        <v>468.3</v>
      </c>
      <c r="I48" s="911"/>
      <c r="J48" s="911"/>
      <c r="K48" s="911"/>
      <c r="L48" s="911"/>
      <c r="M48" s="935"/>
      <c r="N48" s="935"/>
      <c r="O48" s="912">
        <v>163856</v>
      </c>
      <c r="P48" s="912">
        <v>159947.51999999999</v>
      </c>
      <c r="Q48" s="912"/>
      <c r="R48" s="912"/>
      <c r="S48" s="912"/>
      <c r="T48" s="912"/>
      <c r="U48" s="912"/>
      <c r="V48" s="912"/>
      <c r="W48" s="939"/>
      <c r="X48" s="939"/>
      <c r="Y48" s="912"/>
      <c r="Z48" s="912"/>
      <c r="AA48" s="912"/>
      <c r="AB48" s="855"/>
      <c r="AC48" s="855"/>
      <c r="AD48" s="855"/>
      <c r="AE48" s="855"/>
      <c r="AF48" s="855"/>
      <c r="AG48" s="855"/>
      <c r="AH48" s="855"/>
      <c r="AI48" s="855"/>
      <c r="AJ48" s="855"/>
      <c r="AK48" s="855"/>
      <c r="AL48" s="855"/>
      <c r="AM48" s="855"/>
      <c r="AN48" s="855"/>
      <c r="AO48" s="855"/>
      <c r="AP48" s="736"/>
      <c r="AQ48" s="350"/>
      <c r="AR48" s="250"/>
      <c r="AS48" s="250"/>
      <c r="AT48" s="250"/>
      <c r="AU48" s="250"/>
      <c r="AV48" s="250"/>
      <c r="AW48" s="250"/>
      <c r="AX48" s="250"/>
      <c r="AY48" s="250"/>
      <c r="AZ48" s="250"/>
      <c r="BA48" s="250"/>
      <c r="BB48" s="250"/>
      <c r="BC48" s="250"/>
      <c r="BD48" s="250"/>
      <c r="BE48" s="250"/>
      <c r="BF48" s="250"/>
      <c r="BG48" s="250"/>
      <c r="BH48" s="250"/>
      <c r="BI48" s="250"/>
      <c r="BJ48" s="250"/>
      <c r="BK48" s="250"/>
      <c r="BL48" s="250"/>
      <c r="BM48" s="250"/>
      <c r="BN48" s="250"/>
      <c r="BO48" s="250"/>
      <c r="BP48" s="250"/>
      <c r="BQ48" s="250"/>
      <c r="BR48" s="250"/>
      <c r="BS48" s="250"/>
    </row>
    <row r="49" spans="1:71" x14ac:dyDescent="0.25">
      <c r="A49" s="5">
        <v>6</v>
      </c>
      <c r="B49" s="1320" t="s">
        <v>21</v>
      </c>
      <c r="C49" s="737">
        <v>1981</v>
      </c>
      <c r="D49" s="737">
        <v>5</v>
      </c>
      <c r="E49" s="737">
        <v>60</v>
      </c>
      <c r="F49" s="909">
        <v>159</v>
      </c>
      <c r="G49" s="738">
        <v>3289.5</v>
      </c>
      <c r="H49" s="738">
        <v>397</v>
      </c>
      <c r="I49" s="911"/>
      <c r="J49" s="911"/>
      <c r="K49" s="911"/>
      <c r="L49" s="911"/>
      <c r="M49" s="935"/>
      <c r="N49" s="935"/>
      <c r="O49" s="912">
        <v>148144.5</v>
      </c>
      <c r="P49" s="912">
        <v>147143.15</v>
      </c>
      <c r="Q49" s="912"/>
      <c r="R49" s="912"/>
      <c r="S49" s="912"/>
      <c r="T49" s="912"/>
      <c r="U49" s="912"/>
      <c r="V49" s="912"/>
      <c r="W49" s="939"/>
      <c r="X49" s="939"/>
      <c r="Y49" s="912"/>
      <c r="Z49" s="912"/>
      <c r="AA49" s="912"/>
      <c r="AB49" s="855"/>
      <c r="AC49" s="855"/>
      <c r="AD49" s="855"/>
      <c r="AE49" s="855"/>
      <c r="AF49" s="855"/>
      <c r="AG49" s="855"/>
      <c r="AH49" s="855"/>
      <c r="AI49" s="855"/>
      <c r="AJ49" s="855"/>
      <c r="AK49" s="855"/>
      <c r="AL49" s="855"/>
      <c r="AM49" s="855"/>
      <c r="AN49" s="855"/>
      <c r="AO49" s="855"/>
      <c r="AP49" s="736"/>
      <c r="AQ49" s="350"/>
      <c r="AR49" s="250"/>
      <c r="AS49" s="250"/>
      <c r="AT49" s="250"/>
      <c r="AU49" s="250"/>
      <c r="AV49" s="250"/>
      <c r="AW49" s="250"/>
      <c r="AX49" s="250"/>
      <c r="AY49" s="250"/>
      <c r="AZ49" s="250"/>
      <c r="BA49" s="250"/>
      <c r="BB49" s="250"/>
      <c r="BC49" s="250"/>
      <c r="BD49" s="250"/>
      <c r="BE49" s="250"/>
      <c r="BF49" s="250"/>
      <c r="BG49" s="250"/>
      <c r="BH49" s="250"/>
      <c r="BI49" s="250"/>
      <c r="BJ49" s="250"/>
      <c r="BK49" s="250"/>
      <c r="BL49" s="250"/>
      <c r="BM49" s="250"/>
      <c r="BN49" s="250"/>
      <c r="BO49" s="250"/>
      <c r="BP49" s="250"/>
      <c r="BQ49" s="250"/>
      <c r="BR49" s="250"/>
      <c r="BS49" s="250"/>
    </row>
    <row r="50" spans="1:71" x14ac:dyDescent="0.25">
      <c r="A50" s="260">
        <v>7</v>
      </c>
      <c r="B50" s="1320" t="s">
        <v>311</v>
      </c>
      <c r="C50" s="737">
        <v>1993</v>
      </c>
      <c r="D50" s="737">
        <v>5</v>
      </c>
      <c r="E50" s="737">
        <v>60</v>
      </c>
      <c r="F50" s="909">
        <v>134</v>
      </c>
      <c r="G50" s="738">
        <v>3681.6</v>
      </c>
      <c r="H50" s="738">
        <v>485</v>
      </c>
      <c r="I50" s="911"/>
      <c r="J50" s="911"/>
      <c r="K50" s="911"/>
      <c r="L50" s="911"/>
      <c r="M50" s="935"/>
      <c r="N50" s="935"/>
      <c r="O50" s="912">
        <v>165660.29999999999</v>
      </c>
      <c r="P50" s="912">
        <v>165994.56</v>
      </c>
      <c r="Q50" s="912"/>
      <c r="R50" s="912"/>
      <c r="S50" s="912"/>
      <c r="T50" s="912"/>
      <c r="U50" s="912"/>
      <c r="V50" s="912"/>
      <c r="W50" s="939"/>
      <c r="X50" s="939"/>
      <c r="Y50" s="912"/>
      <c r="Z50" s="912"/>
      <c r="AA50" s="912"/>
      <c r="AB50" s="855"/>
      <c r="AC50" s="855"/>
      <c r="AD50" s="855"/>
      <c r="AE50" s="855"/>
      <c r="AF50" s="855"/>
      <c r="AG50" s="855"/>
      <c r="AH50" s="855"/>
      <c r="AI50" s="855"/>
      <c r="AJ50" s="855"/>
      <c r="AK50" s="855"/>
      <c r="AL50" s="855"/>
      <c r="AM50" s="855"/>
      <c r="AN50" s="855"/>
      <c r="AO50" s="855"/>
      <c r="AP50" s="736"/>
      <c r="AQ50" s="350"/>
      <c r="AR50" s="250"/>
      <c r="AS50" s="250"/>
      <c r="AT50" s="250"/>
      <c r="AU50" s="250"/>
      <c r="AV50" s="250"/>
      <c r="AW50" s="250"/>
      <c r="AX50" s="250"/>
      <c r="AY50" s="250"/>
      <c r="AZ50" s="250"/>
      <c r="BA50" s="250"/>
      <c r="BB50" s="250"/>
      <c r="BC50" s="250"/>
      <c r="BD50" s="250"/>
      <c r="BE50" s="250"/>
      <c r="BF50" s="250"/>
      <c r="BG50" s="250"/>
      <c r="BH50" s="250"/>
      <c r="BI50" s="250"/>
      <c r="BJ50" s="250"/>
      <c r="BK50" s="250"/>
      <c r="BL50" s="250"/>
      <c r="BM50" s="250"/>
      <c r="BN50" s="250"/>
      <c r="BO50" s="250"/>
      <c r="BP50" s="250"/>
      <c r="BQ50" s="250"/>
      <c r="BR50" s="250"/>
      <c r="BS50" s="250"/>
    </row>
    <row r="51" spans="1:71" x14ac:dyDescent="0.25">
      <c r="A51" s="260">
        <v>8</v>
      </c>
      <c r="B51" s="1320" t="s">
        <v>659</v>
      </c>
      <c r="C51" s="737"/>
      <c r="D51" s="737"/>
      <c r="E51" s="737"/>
      <c r="F51" s="909"/>
      <c r="G51" s="738">
        <v>3360</v>
      </c>
      <c r="H51" s="738"/>
      <c r="I51" s="911"/>
      <c r="J51" s="911"/>
      <c r="K51" s="911"/>
      <c r="L51" s="911"/>
      <c r="M51" s="935"/>
      <c r="N51" s="935"/>
      <c r="O51" s="912"/>
      <c r="P51" s="912"/>
      <c r="Q51" s="912"/>
      <c r="R51" s="912"/>
      <c r="S51" s="912"/>
      <c r="T51" s="912"/>
      <c r="U51" s="912"/>
      <c r="V51" s="912"/>
      <c r="W51" s="939"/>
      <c r="X51" s="939"/>
      <c r="Y51" s="912"/>
      <c r="Z51" s="912"/>
      <c r="AA51" s="912"/>
      <c r="AB51" s="855"/>
      <c r="AC51" s="855"/>
      <c r="AD51" s="855"/>
      <c r="AE51" s="855"/>
      <c r="AF51" s="855"/>
      <c r="AG51" s="855"/>
      <c r="AH51" s="855"/>
      <c r="AI51" s="855"/>
      <c r="AJ51" s="855"/>
      <c r="AK51" s="855"/>
      <c r="AL51" s="855"/>
      <c r="AM51" s="855"/>
      <c r="AN51" s="855"/>
      <c r="AO51" s="855"/>
      <c r="AP51" s="736"/>
      <c r="AQ51" s="350"/>
      <c r="AR51" s="250"/>
      <c r="AS51" s="250"/>
      <c r="AT51" s="250"/>
      <c r="AU51" s="250"/>
      <c r="AV51" s="250"/>
      <c r="AW51" s="250"/>
      <c r="AX51" s="250"/>
      <c r="AY51" s="250"/>
      <c r="AZ51" s="250"/>
      <c r="BA51" s="250"/>
      <c r="BB51" s="250"/>
      <c r="BC51" s="250"/>
      <c r="BD51" s="250"/>
      <c r="BE51" s="250"/>
      <c r="BF51" s="250"/>
      <c r="BG51" s="250"/>
      <c r="BH51" s="250"/>
      <c r="BI51" s="250"/>
      <c r="BJ51" s="250"/>
      <c r="BK51" s="250"/>
      <c r="BL51" s="250"/>
      <c r="BM51" s="250"/>
      <c r="BN51" s="250"/>
      <c r="BO51" s="250"/>
      <c r="BP51" s="250"/>
      <c r="BQ51" s="250"/>
      <c r="BR51" s="250"/>
      <c r="BS51" s="250"/>
    </row>
    <row r="52" spans="1:71" x14ac:dyDescent="0.25">
      <c r="A52" s="4"/>
      <c r="B52" s="4" t="s">
        <v>23</v>
      </c>
      <c r="C52" s="737"/>
      <c r="D52" s="737"/>
      <c r="E52" s="918">
        <f>SUM(E44:E50)</f>
        <v>354</v>
      </c>
      <c r="F52" s="918">
        <f>SUM(F44:F50)</f>
        <v>923</v>
      </c>
      <c r="G52" s="919">
        <f>SUM(G44:G51)</f>
        <v>23777.899999999998</v>
      </c>
      <c r="H52" s="919">
        <f>SUM(H44:H50)</f>
        <v>2407.3999999999996</v>
      </c>
      <c r="I52" s="1318"/>
      <c r="J52" s="1318"/>
      <c r="K52" s="1318"/>
      <c r="L52" s="1318"/>
      <c r="M52" s="936"/>
      <c r="N52" s="936"/>
      <c r="O52" s="920">
        <f>SUM(O44:O50)</f>
        <v>919000.8</v>
      </c>
      <c r="P52" s="920">
        <f>SUM(P44:P50)</f>
        <v>899793.27</v>
      </c>
      <c r="Q52" s="920"/>
      <c r="R52" s="920"/>
      <c r="S52" s="920"/>
      <c r="T52" s="920"/>
      <c r="U52" s="920"/>
      <c r="V52" s="920"/>
      <c r="W52" s="940"/>
      <c r="X52" s="940"/>
      <c r="Y52" s="920"/>
      <c r="Z52" s="56"/>
      <c r="AA52" s="920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762"/>
      <c r="AQ52" s="898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</row>
    <row r="53" spans="1:71" x14ac:dyDescent="0.25">
      <c r="A53" s="134"/>
      <c r="B53" s="223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349"/>
      <c r="Y53" s="349"/>
      <c r="Z53" s="930"/>
      <c r="AA53" s="931"/>
      <c r="AB53" s="932"/>
      <c r="AC53" s="349"/>
      <c r="AD53" s="749"/>
      <c r="AE53" s="749"/>
      <c r="AF53" s="349"/>
      <c r="AG53" s="349"/>
      <c r="AH53" s="349"/>
      <c r="AI53" s="349"/>
      <c r="AJ53" s="349"/>
      <c r="AK53" s="349"/>
      <c r="AL53" s="349"/>
      <c r="AM53" s="349"/>
      <c r="AN53" s="349"/>
      <c r="AO53" s="349"/>
      <c r="AP53" s="375"/>
      <c r="AQ53" s="375"/>
      <c r="AR53" s="250"/>
      <c r="AS53" s="250"/>
      <c r="AT53" s="250"/>
      <c r="AU53" s="250"/>
      <c r="AV53" s="250"/>
      <c r="AW53" s="250"/>
      <c r="AX53" s="250"/>
      <c r="AY53" s="250"/>
      <c r="AZ53" s="250"/>
      <c r="BA53" s="250"/>
      <c r="BB53" s="250"/>
      <c r="BC53" s="250"/>
      <c r="BD53" s="250"/>
      <c r="BE53" s="250"/>
      <c r="BF53" s="250"/>
      <c r="BG53" s="250"/>
      <c r="BH53" s="250"/>
      <c r="BI53" s="250"/>
      <c r="BJ53" s="250"/>
      <c r="BK53" s="250"/>
      <c r="BL53" s="250"/>
      <c r="BM53" s="250"/>
      <c r="BN53" s="250"/>
      <c r="BO53" s="250"/>
      <c r="BP53" s="250"/>
      <c r="BQ53" s="250"/>
      <c r="BR53" s="250"/>
      <c r="BS53" s="250"/>
    </row>
    <row r="54" spans="1:71" x14ac:dyDescent="0.25">
      <c r="A54" s="134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50"/>
      <c r="AQ54" s="250"/>
      <c r="AR54" s="250"/>
      <c r="AS54" s="250"/>
      <c r="AT54" s="250"/>
      <c r="AU54" s="250"/>
      <c r="AV54" s="250"/>
      <c r="AW54" s="250"/>
      <c r="AX54" s="250"/>
      <c r="AY54" s="250"/>
      <c r="AZ54" s="250"/>
      <c r="BA54" s="250"/>
      <c r="BB54" s="250"/>
      <c r="BC54" s="250"/>
      <c r="BD54" s="250"/>
      <c r="BE54" s="250"/>
      <c r="BF54" s="250"/>
      <c r="BG54" s="250"/>
      <c r="BH54" s="250"/>
      <c r="BI54" s="250"/>
      <c r="BJ54" s="250"/>
      <c r="BK54" s="250"/>
      <c r="BL54" s="250"/>
      <c r="BM54" s="250"/>
      <c r="BN54" s="250"/>
      <c r="BO54" s="250"/>
      <c r="BP54" s="250"/>
      <c r="BQ54" s="250"/>
      <c r="BR54" s="250"/>
      <c r="BS54" s="250"/>
    </row>
    <row r="55" spans="1:71" x14ac:dyDescent="0.25">
      <c r="A55" s="134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344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3"/>
      <c r="AK55" s="223"/>
      <c r="AL55" s="223"/>
      <c r="AM55" s="223"/>
      <c r="AN55" s="223"/>
      <c r="AO55" s="223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0"/>
      <c r="BA55" s="250"/>
      <c r="BB55" s="250"/>
      <c r="BC55" s="250"/>
      <c r="BD55" s="250"/>
      <c r="BE55" s="250"/>
      <c r="BF55" s="250"/>
      <c r="BG55" s="250"/>
      <c r="BH55" s="250"/>
      <c r="BI55" s="250"/>
      <c r="BJ55" s="250"/>
      <c r="BK55" s="250"/>
      <c r="BL55" s="250"/>
      <c r="BM55" s="250"/>
      <c r="BN55" s="250"/>
      <c r="BO55" s="250"/>
      <c r="BP55" s="250"/>
      <c r="BQ55" s="250"/>
      <c r="BR55" s="250"/>
      <c r="BS55" s="250"/>
    </row>
    <row r="56" spans="1:71" x14ac:dyDescent="0.25">
      <c r="A56" s="223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  <c r="AL56" s="223"/>
      <c r="AM56" s="223"/>
      <c r="AN56" s="223"/>
      <c r="AO56" s="223"/>
      <c r="AP56" s="223"/>
      <c r="AQ56" s="223"/>
      <c r="AR56" s="223"/>
      <c r="AS56" s="343"/>
      <c r="AT56" s="343"/>
      <c r="AU56" s="343"/>
      <c r="AV56" s="343"/>
      <c r="AW56" s="343"/>
      <c r="AX56" s="343"/>
      <c r="AY56" s="343"/>
      <c r="AZ56" s="343"/>
      <c r="BA56" s="343"/>
      <c r="BB56" s="343"/>
      <c r="BC56" s="343"/>
      <c r="BD56" s="343"/>
      <c r="BE56" s="343"/>
      <c r="BF56" s="343"/>
      <c r="BG56" s="343"/>
      <c r="BH56" s="343"/>
      <c r="BI56" s="343"/>
      <c r="BJ56" s="343"/>
      <c r="BK56" s="343"/>
      <c r="BL56" s="223"/>
    </row>
    <row r="57" spans="1:71" ht="18.75" customHeight="1" x14ac:dyDescent="0.25">
      <c r="A57" s="223"/>
      <c r="B57" s="223"/>
      <c r="C57" s="223"/>
      <c r="D57" s="223"/>
      <c r="E57" s="223"/>
      <c r="F57" s="343"/>
      <c r="G57" s="343"/>
      <c r="H57" s="343"/>
      <c r="I57" s="343"/>
      <c r="J57" s="343"/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223"/>
      <c r="AD57" s="223"/>
      <c r="AE57" s="223"/>
      <c r="AF57" s="223"/>
      <c r="AG57" s="223"/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3"/>
      <c r="BF57" s="223"/>
      <c r="BG57" s="223"/>
      <c r="BH57" s="223"/>
      <c r="BI57" s="223"/>
      <c r="BJ57" s="223"/>
      <c r="BK57" s="223"/>
      <c r="BL57" s="223"/>
    </row>
    <row r="58" spans="1:71" ht="18.75" customHeight="1" x14ac:dyDescent="0.25">
      <c r="A58" s="223"/>
      <c r="B58" s="223"/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223"/>
      <c r="AA58" s="223"/>
      <c r="AB58" s="223"/>
      <c r="AC58" s="223"/>
      <c r="AD58" s="223"/>
      <c r="AE58" s="223"/>
      <c r="AF58" s="223"/>
      <c r="AG58" s="223"/>
      <c r="AH58" s="223"/>
      <c r="AI58" s="223"/>
      <c r="AJ58" s="223"/>
      <c r="AK58" s="223"/>
      <c r="AL58" s="223"/>
      <c r="AM58" s="223"/>
      <c r="AN58" s="223"/>
      <c r="AO58" s="223"/>
      <c r="AP58" s="223"/>
      <c r="AQ58" s="223"/>
      <c r="AR58" s="223"/>
      <c r="AS58" s="223"/>
      <c r="AT58" s="223"/>
      <c r="AU58" s="223"/>
      <c r="AV58" s="223"/>
      <c r="AW58" s="223"/>
      <c r="AX58" s="223"/>
      <c r="AY58" s="223"/>
      <c r="AZ58" s="223"/>
      <c r="BA58" s="223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</row>
    <row r="59" spans="1:71" x14ac:dyDescent="0.25">
      <c r="A59" s="223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  <c r="AA59" s="223"/>
      <c r="AB59" s="223"/>
      <c r="AC59" s="223"/>
      <c r="AD59" s="223"/>
      <c r="AE59" s="223"/>
      <c r="AF59" s="223"/>
      <c r="AG59" s="223"/>
      <c r="AH59" s="223"/>
      <c r="AI59" s="223"/>
      <c r="AJ59" s="223"/>
      <c r="AK59" s="223"/>
      <c r="AL59" s="223"/>
      <c r="AM59" s="223"/>
      <c r="AN59" s="223"/>
      <c r="AO59" s="223"/>
      <c r="AP59" s="223"/>
      <c r="AQ59" s="223"/>
      <c r="AR59" s="223"/>
      <c r="AS59" s="223"/>
      <c r="AT59" s="223"/>
      <c r="AU59" s="223"/>
      <c r="AV59" s="223"/>
      <c r="AW59" s="223"/>
      <c r="AX59" s="223"/>
      <c r="AY59" s="223"/>
      <c r="AZ59" s="223"/>
      <c r="BA59" s="223"/>
      <c r="BB59" s="223"/>
      <c r="BC59" s="223"/>
      <c r="BD59" s="223"/>
      <c r="BE59" s="223"/>
      <c r="BF59" s="223"/>
      <c r="BG59" s="223"/>
      <c r="BH59" s="223"/>
      <c r="BI59" s="223"/>
      <c r="BJ59" s="223"/>
      <c r="BK59" s="223"/>
      <c r="BL59" s="223"/>
    </row>
    <row r="60" spans="1:71" x14ac:dyDescent="0.25">
      <c r="A60" s="223"/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</row>
    <row r="61" spans="1:71" ht="38.25" customHeight="1" x14ac:dyDescent="0.3">
      <c r="B61" s="84" t="s">
        <v>551</v>
      </c>
      <c r="C61" s="84"/>
      <c r="D61" s="84"/>
      <c r="E61" s="84"/>
      <c r="F61" s="84"/>
      <c r="AP61" s="223"/>
      <c r="AQ61" s="223"/>
      <c r="AR61" s="223"/>
      <c r="AS61" s="223"/>
      <c r="AT61" s="223"/>
      <c r="AU61" s="223"/>
      <c r="AV61" s="223"/>
      <c r="AW61" s="223"/>
      <c r="AX61" s="223"/>
      <c r="AY61" s="223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</row>
    <row r="62" spans="1:71" ht="23.25" customHeight="1" x14ac:dyDescent="0.3">
      <c r="B62" s="1993" t="s">
        <v>655</v>
      </c>
      <c r="C62" s="1994"/>
      <c r="D62" s="1994"/>
      <c r="E62" s="1994"/>
      <c r="F62" s="1994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</row>
    <row r="63" spans="1:71" x14ac:dyDescent="0.25"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</row>
    <row r="64" spans="1:71" ht="30" customHeight="1" x14ac:dyDescent="0.25">
      <c r="A64" s="1985" t="s">
        <v>0</v>
      </c>
      <c r="B64" s="1985" t="s">
        <v>184</v>
      </c>
      <c r="C64" s="1985" t="s">
        <v>54</v>
      </c>
      <c r="D64" s="1985" t="s">
        <v>55</v>
      </c>
      <c r="E64" s="1985" t="s">
        <v>56</v>
      </c>
      <c r="F64" s="1985" t="s">
        <v>57</v>
      </c>
      <c r="G64" s="1985" t="s">
        <v>6</v>
      </c>
      <c r="H64" s="1985" t="s">
        <v>288</v>
      </c>
      <c r="I64" s="1307"/>
      <c r="J64" s="1307"/>
      <c r="K64" s="1307"/>
      <c r="L64" s="1307"/>
      <c r="M64" s="2018"/>
      <c r="N64" s="2019"/>
      <c r="O64" s="1989" t="s">
        <v>552</v>
      </c>
      <c r="P64" s="1990"/>
      <c r="Q64" s="1304"/>
      <c r="R64" s="1304"/>
      <c r="S64" s="1355"/>
      <c r="T64" s="1355"/>
      <c r="U64" s="1389"/>
      <c r="V64" s="1389"/>
      <c r="W64" s="2016"/>
      <c r="X64" s="2016"/>
      <c r="Y64" s="1987" t="s">
        <v>376</v>
      </c>
      <c r="Z64" s="1987" t="s">
        <v>332</v>
      </c>
      <c r="AA64" s="1987" t="s">
        <v>555</v>
      </c>
      <c r="AB64" s="2003" t="s">
        <v>553</v>
      </c>
      <c r="AC64" s="1987" t="s">
        <v>554</v>
      </c>
      <c r="AD64" s="1987" t="s">
        <v>175</v>
      </c>
      <c r="AE64" s="1987" t="s">
        <v>176</v>
      </c>
      <c r="AF64" s="1999" t="s">
        <v>544</v>
      </c>
      <c r="AG64" s="2010" t="s">
        <v>566</v>
      </c>
      <c r="AH64" s="1401"/>
      <c r="AI64" s="1401"/>
      <c r="AJ64" s="1401"/>
      <c r="AK64" s="1401"/>
      <c r="AL64" s="1401"/>
      <c r="AM64" s="1401"/>
      <c r="AN64" s="1401"/>
      <c r="AO64" s="1401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</row>
    <row r="65" spans="1:64" x14ac:dyDescent="0.25">
      <c r="A65" s="1986"/>
      <c r="B65" s="1986"/>
      <c r="C65" s="1986"/>
      <c r="D65" s="1986"/>
      <c r="E65" s="1986"/>
      <c r="F65" s="1986"/>
      <c r="G65" s="1986"/>
      <c r="H65" s="1986"/>
      <c r="I65" s="605"/>
      <c r="J65" s="605"/>
      <c r="K65" s="605"/>
      <c r="L65" s="605"/>
      <c r="M65" s="941"/>
      <c r="N65" s="942"/>
      <c r="O65" s="150" t="s">
        <v>15</v>
      </c>
      <c r="P65" s="1313" t="s">
        <v>16</v>
      </c>
      <c r="Q65" s="150"/>
      <c r="R65" s="150"/>
      <c r="S65" s="150"/>
      <c r="T65" s="150"/>
      <c r="U65" s="150"/>
      <c r="V65" s="150"/>
      <c r="W65" s="941"/>
      <c r="X65" s="942"/>
      <c r="Y65" s="1988"/>
      <c r="Z65" s="1988"/>
      <c r="AA65" s="1988"/>
      <c r="AB65" s="2004"/>
      <c r="AC65" s="1988"/>
      <c r="AD65" s="1988"/>
      <c r="AE65" s="1988"/>
      <c r="AF65" s="2000"/>
      <c r="AG65" s="2011"/>
      <c r="AH65" s="1401"/>
      <c r="AI65" s="1401"/>
      <c r="AJ65" s="1401"/>
      <c r="AK65" s="1401"/>
      <c r="AL65" s="1401"/>
      <c r="AM65" s="1401"/>
      <c r="AN65" s="1401"/>
      <c r="AO65" s="1401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</row>
    <row r="66" spans="1:64" x14ac:dyDescent="0.25">
      <c r="A66" s="2">
        <v>1</v>
      </c>
      <c r="B66" s="1319" t="s">
        <v>17</v>
      </c>
      <c r="C66" s="908">
        <v>1977</v>
      </c>
      <c r="D66" s="908">
        <v>5</v>
      </c>
      <c r="E66" s="908">
        <v>45</v>
      </c>
      <c r="F66" s="927">
        <v>132</v>
      </c>
      <c r="G66" s="910">
        <v>2366.1999999999998</v>
      </c>
      <c r="H66" s="910">
        <v>207.4</v>
      </c>
      <c r="I66" s="911"/>
      <c r="J66" s="911"/>
      <c r="K66" s="911"/>
      <c r="L66" s="911"/>
      <c r="M66" s="935"/>
      <c r="N66" s="935"/>
      <c r="O66" s="912"/>
      <c r="P66" s="912"/>
      <c r="Q66" s="912"/>
      <c r="R66" s="912"/>
      <c r="S66" s="912"/>
      <c r="T66" s="912"/>
      <c r="U66" s="912"/>
      <c r="V66" s="912"/>
      <c r="W66" s="939"/>
      <c r="X66" s="939"/>
      <c r="Y66" s="912"/>
      <c r="Z66" s="912"/>
      <c r="AA66" s="912"/>
      <c r="AB66" s="855"/>
      <c r="AC66" s="855"/>
      <c r="AD66" s="855"/>
      <c r="AE66" s="855"/>
      <c r="AF66" s="855"/>
      <c r="AG66" s="855"/>
      <c r="AH66" s="1402"/>
      <c r="AI66" s="1402"/>
      <c r="AJ66" s="1402"/>
      <c r="AK66" s="1402"/>
      <c r="AL66" s="1402"/>
      <c r="AM66" s="1402"/>
      <c r="AN66" s="1402"/>
      <c r="AO66" s="1402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</row>
    <row r="67" spans="1:64" x14ac:dyDescent="0.25">
      <c r="A67" s="5">
        <v>2</v>
      </c>
      <c r="B67" s="1320" t="s">
        <v>18</v>
      </c>
      <c r="C67" s="737">
        <v>1977</v>
      </c>
      <c r="D67" s="737">
        <v>5</v>
      </c>
      <c r="E67" s="737">
        <v>45</v>
      </c>
      <c r="F67" s="929">
        <v>117</v>
      </c>
      <c r="G67" s="738">
        <v>2363.9</v>
      </c>
      <c r="H67" s="738">
        <v>207.4</v>
      </c>
      <c r="I67" s="911"/>
      <c r="J67" s="911"/>
      <c r="K67" s="911"/>
      <c r="L67" s="911"/>
      <c r="M67" s="935"/>
      <c r="N67" s="935"/>
      <c r="O67" s="912"/>
      <c r="P67" s="912"/>
      <c r="Q67" s="912"/>
      <c r="R67" s="912"/>
      <c r="S67" s="912"/>
      <c r="T67" s="912"/>
      <c r="U67" s="912"/>
      <c r="V67" s="912"/>
      <c r="W67" s="939"/>
      <c r="X67" s="939"/>
      <c r="Y67" s="912"/>
      <c r="Z67" s="912"/>
      <c r="AA67" s="912"/>
      <c r="AB67" s="855"/>
      <c r="AC67" s="855"/>
      <c r="AD67" s="855"/>
      <c r="AE67" s="855"/>
      <c r="AF67" s="855"/>
      <c r="AG67" s="855"/>
      <c r="AH67" s="1402"/>
      <c r="AI67" s="1402"/>
      <c r="AJ67" s="1402"/>
      <c r="AK67" s="1402"/>
      <c r="AL67" s="1402"/>
      <c r="AM67" s="1402"/>
      <c r="AN67" s="1402"/>
      <c r="AO67" s="1402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</row>
    <row r="68" spans="1:64" x14ac:dyDescent="0.25">
      <c r="A68" s="5">
        <v>3</v>
      </c>
      <c r="B68" s="1320" t="s">
        <v>19</v>
      </c>
      <c r="C68" s="737">
        <v>1986</v>
      </c>
      <c r="D68" s="737">
        <v>3</v>
      </c>
      <c r="E68" s="737">
        <v>24</v>
      </c>
      <c r="F68" s="927">
        <v>83</v>
      </c>
      <c r="G68" s="738">
        <v>1440.6</v>
      </c>
      <c r="H68" s="738">
        <v>174</v>
      </c>
      <c r="I68" s="911"/>
      <c r="J68" s="911"/>
      <c r="K68" s="911"/>
      <c r="L68" s="911"/>
      <c r="M68" s="935"/>
      <c r="N68" s="935"/>
      <c r="O68" s="912"/>
      <c r="P68" s="912"/>
      <c r="Q68" s="912"/>
      <c r="R68" s="912"/>
      <c r="S68" s="912"/>
      <c r="T68" s="912"/>
      <c r="U68" s="912"/>
      <c r="V68" s="912"/>
      <c r="W68" s="939"/>
      <c r="X68" s="939"/>
      <c r="Y68" s="912"/>
      <c r="Z68" s="912"/>
      <c r="AA68" s="912"/>
      <c r="AB68" s="855"/>
      <c r="AC68" s="855"/>
      <c r="AD68" s="855"/>
      <c r="AE68" s="855"/>
      <c r="AF68" s="855"/>
      <c r="AG68" s="855"/>
      <c r="AH68" s="1402"/>
      <c r="AI68" s="1402"/>
      <c r="AJ68" s="1402"/>
      <c r="AK68" s="1402"/>
      <c r="AL68" s="1402"/>
      <c r="AM68" s="1402"/>
      <c r="AN68" s="1402"/>
      <c r="AO68" s="1402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</row>
    <row r="69" spans="1:64" x14ac:dyDescent="0.25">
      <c r="A69" s="5">
        <v>4</v>
      </c>
      <c r="B69" s="1320" t="s">
        <v>20</v>
      </c>
      <c r="C69" s="737">
        <v>1992</v>
      </c>
      <c r="D69" s="737">
        <v>5</v>
      </c>
      <c r="E69" s="737">
        <v>60</v>
      </c>
      <c r="F69" s="929">
        <v>167</v>
      </c>
      <c r="G69" s="738">
        <v>3634.3</v>
      </c>
      <c r="H69" s="738">
        <v>468.3</v>
      </c>
      <c r="I69" s="911"/>
      <c r="J69" s="911"/>
      <c r="K69" s="911"/>
      <c r="L69" s="911"/>
      <c r="M69" s="935"/>
      <c r="N69" s="935"/>
      <c r="O69" s="912"/>
      <c r="P69" s="912"/>
      <c r="Q69" s="912"/>
      <c r="R69" s="912"/>
      <c r="S69" s="912"/>
      <c r="T69" s="912"/>
      <c r="U69" s="912"/>
      <c r="V69" s="912"/>
      <c r="W69" s="939"/>
      <c r="X69" s="939"/>
      <c r="Y69" s="912"/>
      <c r="Z69" s="912"/>
      <c r="AA69" s="912"/>
      <c r="AB69" s="855"/>
      <c r="AC69" s="855"/>
      <c r="AD69" s="855"/>
      <c r="AE69" s="855"/>
      <c r="AF69" s="855"/>
      <c r="AG69" s="855"/>
      <c r="AH69" s="1402"/>
      <c r="AI69" s="1402"/>
      <c r="AJ69" s="1402"/>
      <c r="AK69" s="1402"/>
      <c r="AL69" s="1402"/>
      <c r="AM69" s="1402"/>
      <c r="AN69" s="1402"/>
      <c r="AO69" s="1402"/>
      <c r="AP69" s="223"/>
      <c r="AQ69" s="223"/>
      <c r="AR69" s="223"/>
      <c r="AS69" s="223"/>
      <c r="AT69" s="223"/>
      <c r="AU69" s="223"/>
      <c r="AV69" s="223"/>
      <c r="AW69" s="223"/>
      <c r="AX69" s="223"/>
      <c r="AY69" s="223"/>
      <c r="AZ69" s="223"/>
      <c r="BA69" s="223"/>
      <c r="BB69" s="223"/>
      <c r="BC69" s="223"/>
      <c r="BD69" s="223"/>
      <c r="BE69" s="223"/>
      <c r="BF69" s="223"/>
      <c r="BG69" s="223"/>
      <c r="BH69" s="223"/>
      <c r="BI69" s="223"/>
      <c r="BJ69" s="223"/>
      <c r="BK69" s="223"/>
      <c r="BL69" s="223"/>
    </row>
    <row r="70" spans="1:64" x14ac:dyDescent="0.25">
      <c r="A70" s="5">
        <v>5</v>
      </c>
      <c r="B70" s="1320" t="s">
        <v>22</v>
      </c>
      <c r="C70" s="737">
        <v>1994</v>
      </c>
      <c r="D70" s="737">
        <v>5</v>
      </c>
      <c r="E70" s="737">
        <v>60</v>
      </c>
      <c r="F70" s="909">
        <v>131</v>
      </c>
      <c r="G70" s="738">
        <v>3641.8</v>
      </c>
      <c r="H70" s="738">
        <v>468.3</v>
      </c>
      <c r="I70" s="911"/>
      <c r="J70" s="911"/>
      <c r="K70" s="911"/>
      <c r="L70" s="911"/>
      <c r="M70" s="935"/>
      <c r="N70" s="935"/>
      <c r="O70" s="912"/>
      <c r="P70" s="912"/>
      <c r="Q70" s="912"/>
      <c r="R70" s="912"/>
      <c r="S70" s="912"/>
      <c r="T70" s="912"/>
      <c r="U70" s="912"/>
      <c r="V70" s="912"/>
      <c r="W70" s="939"/>
      <c r="X70" s="939"/>
      <c r="Y70" s="912"/>
      <c r="Z70" s="912"/>
      <c r="AA70" s="912"/>
      <c r="AB70" s="855"/>
      <c r="AC70" s="855"/>
      <c r="AD70" s="855"/>
      <c r="AE70" s="855"/>
      <c r="AF70" s="855"/>
      <c r="AG70" s="855"/>
      <c r="AH70" s="1402"/>
      <c r="AI70" s="1402"/>
      <c r="AJ70" s="1402"/>
      <c r="AK70" s="1402"/>
      <c r="AL70" s="1402"/>
      <c r="AM70" s="1402"/>
      <c r="AN70" s="1402"/>
      <c r="AO70" s="1402"/>
      <c r="AP70" s="223"/>
      <c r="AQ70" s="223"/>
      <c r="AR70" s="223"/>
      <c r="AS70" s="223"/>
      <c r="AT70" s="223"/>
      <c r="AU70" s="223"/>
      <c r="AV70" s="223"/>
      <c r="AW70" s="223"/>
      <c r="AX70" s="223"/>
      <c r="AY70" s="223"/>
      <c r="AZ70" s="223"/>
      <c r="BA70" s="223"/>
      <c r="BB70" s="223"/>
      <c r="BC70" s="223"/>
      <c r="BD70" s="223"/>
      <c r="BE70" s="223"/>
      <c r="BF70" s="223"/>
      <c r="BG70" s="223"/>
      <c r="BH70" s="223"/>
      <c r="BI70" s="223"/>
      <c r="BJ70" s="223"/>
      <c r="BK70" s="223"/>
      <c r="BL70" s="223"/>
    </row>
    <row r="71" spans="1:64" x14ac:dyDescent="0.25">
      <c r="A71" s="5">
        <v>6</v>
      </c>
      <c r="B71" s="1320" t="s">
        <v>21</v>
      </c>
      <c r="C71" s="737">
        <v>1981</v>
      </c>
      <c r="D71" s="737">
        <v>5</v>
      </c>
      <c r="E71" s="737">
        <v>60</v>
      </c>
      <c r="F71" s="909">
        <v>159</v>
      </c>
      <c r="G71" s="738">
        <v>3289.5</v>
      </c>
      <c r="H71" s="738">
        <v>397</v>
      </c>
      <c r="I71" s="911"/>
      <c r="J71" s="911"/>
      <c r="K71" s="911"/>
      <c r="L71" s="911"/>
      <c r="M71" s="935"/>
      <c r="N71" s="935"/>
      <c r="O71" s="912"/>
      <c r="P71" s="912"/>
      <c r="Q71" s="912"/>
      <c r="R71" s="912"/>
      <c r="S71" s="912"/>
      <c r="T71" s="912"/>
      <c r="U71" s="912"/>
      <c r="V71" s="912"/>
      <c r="W71" s="939"/>
      <c r="X71" s="939"/>
      <c r="Y71" s="912"/>
      <c r="Z71" s="912"/>
      <c r="AA71" s="912"/>
      <c r="AB71" s="855"/>
      <c r="AC71" s="855"/>
      <c r="AD71" s="855"/>
      <c r="AE71" s="855"/>
      <c r="AF71" s="855"/>
      <c r="AG71" s="855"/>
      <c r="AH71" s="1402"/>
      <c r="AI71" s="1402"/>
      <c r="AJ71" s="1402"/>
      <c r="AK71" s="1402"/>
      <c r="AL71" s="1402"/>
      <c r="AM71" s="1402"/>
      <c r="AN71" s="1402"/>
      <c r="AO71" s="1402"/>
      <c r="AP71" s="223"/>
      <c r="AQ71" s="223"/>
      <c r="AR71" s="223"/>
      <c r="AS71" s="223"/>
      <c r="AT71" s="223"/>
      <c r="AU71" s="223"/>
      <c r="AV71" s="223"/>
      <c r="AW71" s="223"/>
      <c r="AX71" s="223"/>
      <c r="AY71" s="223"/>
      <c r="AZ71" s="223"/>
      <c r="BA71" s="223"/>
      <c r="BB71" s="223"/>
      <c r="BC71" s="223"/>
      <c r="BD71" s="223"/>
      <c r="BE71" s="223"/>
      <c r="BF71" s="223"/>
      <c r="BG71" s="223"/>
      <c r="BH71" s="223"/>
      <c r="BI71" s="223"/>
      <c r="BJ71" s="223"/>
      <c r="BK71" s="223"/>
      <c r="BL71" s="223"/>
    </row>
    <row r="72" spans="1:64" x14ac:dyDescent="0.25">
      <c r="A72" s="260">
        <v>7</v>
      </c>
      <c r="B72" s="1320" t="s">
        <v>311</v>
      </c>
      <c r="C72" s="737">
        <v>1993</v>
      </c>
      <c r="D72" s="737">
        <v>5</v>
      </c>
      <c r="E72" s="737">
        <v>60</v>
      </c>
      <c r="F72" s="909">
        <v>134</v>
      </c>
      <c r="G72" s="738">
        <v>3681.6</v>
      </c>
      <c r="H72" s="738">
        <v>485</v>
      </c>
      <c r="I72" s="911"/>
      <c r="J72" s="911"/>
      <c r="K72" s="911"/>
      <c r="L72" s="911"/>
      <c r="M72" s="935"/>
      <c r="N72" s="935"/>
      <c r="O72" s="912"/>
      <c r="P72" s="912"/>
      <c r="Q72" s="912"/>
      <c r="R72" s="912"/>
      <c r="S72" s="912"/>
      <c r="T72" s="912"/>
      <c r="U72" s="912"/>
      <c r="V72" s="912"/>
      <c r="W72" s="939"/>
      <c r="X72" s="939"/>
      <c r="Y72" s="912"/>
      <c r="Z72" s="912"/>
      <c r="AA72" s="912"/>
      <c r="AB72" s="855"/>
      <c r="AC72" s="855"/>
      <c r="AD72" s="855"/>
      <c r="AE72" s="855"/>
      <c r="AF72" s="855"/>
      <c r="AG72" s="855"/>
      <c r="AH72" s="1402"/>
      <c r="AI72" s="1402"/>
      <c r="AJ72" s="1402"/>
      <c r="AK72" s="1402"/>
      <c r="AL72" s="1402"/>
      <c r="AM72" s="1402"/>
      <c r="AN72" s="1402"/>
      <c r="AO72" s="1402"/>
      <c r="AP72" s="223"/>
      <c r="AQ72" s="223"/>
      <c r="AR72" s="223"/>
      <c r="AS72" s="223"/>
      <c r="AT72" s="223"/>
      <c r="AU72" s="223"/>
      <c r="AV72" s="223"/>
      <c r="AW72" s="223"/>
      <c r="AX72" s="223"/>
      <c r="AY72" s="223"/>
      <c r="AZ72" s="223"/>
      <c r="BA72" s="223"/>
      <c r="BB72" s="223"/>
      <c r="BC72" s="223"/>
      <c r="BD72" s="223"/>
      <c r="BE72" s="223"/>
      <c r="BF72" s="223"/>
      <c r="BG72" s="223"/>
      <c r="BH72" s="223"/>
      <c r="BI72" s="223"/>
      <c r="BJ72" s="223"/>
      <c r="BK72" s="223"/>
      <c r="BL72" s="223"/>
    </row>
    <row r="73" spans="1:64" x14ac:dyDescent="0.25">
      <c r="A73" s="4"/>
      <c r="B73" s="1321" t="s">
        <v>23</v>
      </c>
      <c r="C73" s="737"/>
      <c r="D73" s="737"/>
      <c r="E73" s="918">
        <f>SUM(E66:E72)</f>
        <v>354</v>
      </c>
      <c r="F73" s="918">
        <f>SUM(F66:F72)</f>
        <v>923</v>
      </c>
      <c r="G73" s="919">
        <f>SUM(G66:G72)</f>
        <v>20417.899999999998</v>
      </c>
      <c r="H73" s="919">
        <f>SUM(H66:H72)</f>
        <v>2407.3999999999996</v>
      </c>
      <c r="I73" s="1318"/>
      <c r="J73" s="1318"/>
      <c r="K73" s="1318"/>
      <c r="L73" s="1318"/>
      <c r="M73" s="936"/>
      <c r="N73" s="936"/>
      <c r="O73" s="920"/>
      <c r="P73" s="920"/>
      <c r="Q73" s="920"/>
      <c r="R73" s="920"/>
      <c r="S73" s="920"/>
      <c r="T73" s="920"/>
      <c r="U73" s="920"/>
      <c r="V73" s="920"/>
      <c r="W73" s="940"/>
      <c r="X73" s="940"/>
      <c r="Y73" s="920"/>
      <c r="Z73" s="56"/>
      <c r="AA73" s="920"/>
      <c r="AB73" s="56"/>
      <c r="AC73" s="56"/>
      <c r="AD73" s="56"/>
      <c r="AE73" s="56"/>
      <c r="AF73" s="56"/>
      <c r="AG73" s="56"/>
      <c r="AH73" s="1403"/>
      <c r="AI73" s="1403"/>
      <c r="AJ73" s="1403"/>
      <c r="AK73" s="1403"/>
      <c r="AL73" s="1403"/>
      <c r="AM73" s="1403"/>
      <c r="AN73" s="1403"/>
      <c r="AO73" s="1403"/>
      <c r="AP73" s="223"/>
      <c r="AQ73" s="223"/>
      <c r="AR73" s="223"/>
      <c r="AS73" s="223"/>
      <c r="AT73" s="223"/>
      <c r="AU73" s="223"/>
      <c r="AV73" s="223"/>
      <c r="AW73" s="223"/>
      <c r="AX73" s="223"/>
      <c r="AY73" s="223"/>
      <c r="AZ73" s="223"/>
      <c r="BA73" s="223"/>
      <c r="BB73" s="223"/>
      <c r="BC73" s="223"/>
      <c r="BD73" s="223"/>
      <c r="BE73" s="223"/>
      <c r="BF73" s="223"/>
      <c r="BG73" s="223"/>
      <c r="BH73" s="223"/>
      <c r="BI73" s="223"/>
      <c r="BJ73" s="223"/>
      <c r="BK73" s="223"/>
      <c r="BL73" s="223"/>
    </row>
    <row r="74" spans="1:64" x14ac:dyDescent="0.25">
      <c r="A74" s="223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  <c r="AA74" s="223"/>
      <c r="AB74" s="346"/>
      <c r="AC74" s="223"/>
      <c r="AD74" s="223"/>
      <c r="AE74" s="223"/>
      <c r="AF74" s="223"/>
      <c r="AG74" s="223"/>
      <c r="AH74" s="223"/>
      <c r="AI74" s="223"/>
      <c r="AJ74" s="223"/>
      <c r="AK74" s="223"/>
      <c r="AL74" s="223"/>
      <c r="AM74" s="223"/>
      <c r="AN74" s="223"/>
      <c r="AO74" s="223"/>
      <c r="AP74" s="223"/>
      <c r="AQ74" s="223"/>
      <c r="AR74" s="223"/>
      <c r="AS74" s="223"/>
      <c r="AT74" s="223"/>
      <c r="AU74" s="223"/>
      <c r="AV74" s="223"/>
      <c r="AW74" s="223"/>
      <c r="AX74" s="223"/>
      <c r="AY74" s="223"/>
      <c r="AZ74" s="223"/>
      <c r="BA74" s="223"/>
      <c r="BB74" s="223"/>
      <c r="BC74" s="223"/>
      <c r="BD74" s="223"/>
      <c r="BE74" s="223"/>
      <c r="BF74" s="223"/>
      <c r="BG74" s="223"/>
      <c r="BH74" s="223"/>
      <c r="BI74" s="223"/>
      <c r="BJ74" s="223"/>
      <c r="BK74" s="223"/>
      <c r="BL74" s="223"/>
    </row>
    <row r="75" spans="1:64" x14ac:dyDescent="0.25">
      <c r="A75" s="223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223"/>
      <c r="Z75" s="223"/>
      <c r="AA75" s="223"/>
      <c r="AB75" s="223"/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3"/>
      <c r="BD75" s="223"/>
      <c r="BE75" s="223"/>
      <c r="BF75" s="223"/>
      <c r="BG75" s="223"/>
      <c r="BH75" s="223"/>
      <c r="BI75" s="223"/>
      <c r="BJ75" s="223"/>
      <c r="BK75" s="223"/>
      <c r="BL75" s="223"/>
    </row>
    <row r="76" spans="1:64" x14ac:dyDescent="0.25">
      <c r="A76" s="223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3"/>
      <c r="BD76" s="223"/>
      <c r="BE76" s="223"/>
      <c r="BF76" s="223"/>
      <c r="BG76" s="223"/>
      <c r="BH76" s="223"/>
      <c r="BI76" s="223"/>
      <c r="BJ76" s="223"/>
      <c r="BK76" s="223"/>
      <c r="BL76" s="223"/>
    </row>
    <row r="77" spans="1:64" x14ac:dyDescent="0.25">
      <c r="A77" s="223"/>
      <c r="B77" s="223"/>
      <c r="C77" s="223"/>
      <c r="D77" s="223"/>
      <c r="E77" s="223"/>
      <c r="F77" s="223"/>
      <c r="G77" s="344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3"/>
      <c r="AB77" s="223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3"/>
      <c r="BD77" s="223"/>
      <c r="BE77" s="223"/>
      <c r="BF77" s="223"/>
      <c r="BG77" s="223"/>
      <c r="BH77" s="223"/>
      <c r="BI77" s="223"/>
      <c r="BJ77" s="223"/>
      <c r="BK77" s="223"/>
      <c r="BL77" s="223"/>
    </row>
    <row r="78" spans="1:64" x14ac:dyDescent="0.25">
      <c r="A78" s="223"/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</row>
    <row r="79" spans="1:64" x14ac:dyDescent="0.25">
      <c r="A79" s="223"/>
      <c r="B79" s="223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</row>
    <row r="80" spans="1:64" x14ac:dyDescent="0.25">
      <c r="A80" s="223"/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</row>
    <row r="81" spans="1:64" x14ac:dyDescent="0.25">
      <c r="A81" s="223"/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</row>
    <row r="82" spans="1:64" x14ac:dyDescent="0.25">
      <c r="A82" s="223"/>
      <c r="B82" s="608" t="s">
        <v>595</v>
      </c>
      <c r="C82" s="609"/>
      <c r="D82" s="609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</row>
    <row r="83" spans="1:64" x14ac:dyDescent="0.25">
      <c r="A83" s="223"/>
      <c r="B83" s="608" t="s">
        <v>599</v>
      </c>
      <c r="C83" s="608"/>
      <c r="D83" s="608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</row>
    <row r="84" spans="1:64" x14ac:dyDescent="0.25">
      <c r="A84" s="223"/>
      <c r="B84" s="608" t="s">
        <v>596</v>
      </c>
      <c r="C84" s="608"/>
      <c r="D84" s="608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</row>
    <row r="85" spans="1:64" x14ac:dyDescent="0.25">
      <c r="A85" s="223"/>
      <c r="B85" s="608" t="s">
        <v>597</v>
      </c>
      <c r="C85" s="608"/>
      <c r="D85" s="608"/>
      <c r="E85" s="223"/>
      <c r="F85" s="223"/>
      <c r="G85" s="223"/>
      <c r="H85" s="223"/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</row>
    <row r="86" spans="1:64" x14ac:dyDescent="0.25">
      <c r="A86" s="223"/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</row>
    <row r="87" spans="1:64" x14ac:dyDescent="0.25">
      <c r="A87" s="223"/>
      <c r="B87" s="223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  <c r="AQ87" s="223"/>
      <c r="AR87" s="223"/>
      <c r="AS87" s="223"/>
      <c r="AT87" s="223"/>
      <c r="AU87" s="223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</row>
    <row r="88" spans="1:64" x14ac:dyDescent="0.25">
      <c r="A88" s="223"/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  <c r="AQ88" s="223"/>
      <c r="AR88" s="223"/>
      <c r="AS88" s="223"/>
      <c r="AT88" s="223"/>
      <c r="AU88" s="223"/>
      <c r="AV88" s="223"/>
      <c r="AW88" s="223"/>
      <c r="AX88" s="223"/>
      <c r="AY88" s="223"/>
      <c r="AZ88" s="223"/>
      <c r="BA88" s="223"/>
      <c r="BB88" s="223"/>
      <c r="BC88" s="223"/>
      <c r="BD88" s="223"/>
      <c r="BE88" s="223"/>
      <c r="BF88" s="223"/>
      <c r="BG88" s="223"/>
      <c r="BH88" s="223"/>
      <c r="BI88" s="223"/>
      <c r="BJ88" s="223"/>
      <c r="BK88" s="223"/>
      <c r="BL88" s="223"/>
    </row>
    <row r="89" spans="1:64" x14ac:dyDescent="0.25">
      <c r="A89" s="223"/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  <c r="AQ89" s="223"/>
      <c r="AR89" s="223"/>
      <c r="AS89" s="223"/>
      <c r="AT89" s="223"/>
      <c r="AU89" s="223"/>
      <c r="AV89" s="223"/>
      <c r="AW89" s="223"/>
      <c r="AX89" s="223"/>
      <c r="AY89" s="223"/>
      <c r="AZ89" s="223"/>
      <c r="BA89" s="223"/>
      <c r="BB89" s="223"/>
      <c r="BC89" s="223"/>
      <c r="BD89" s="223"/>
      <c r="BE89" s="223"/>
      <c r="BF89" s="223"/>
      <c r="BG89" s="223"/>
      <c r="BH89" s="223"/>
      <c r="BI89" s="223"/>
      <c r="BJ89" s="223"/>
      <c r="BK89" s="223"/>
      <c r="BL89" s="223"/>
    </row>
    <row r="90" spans="1:64" x14ac:dyDescent="0.25">
      <c r="A90" s="223"/>
      <c r="B90" s="223"/>
      <c r="C90" s="223"/>
      <c r="D90" s="223"/>
      <c r="E90" s="223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  <c r="AQ90" s="223"/>
      <c r="AR90" s="223"/>
      <c r="AS90" s="223"/>
      <c r="AT90" s="223"/>
      <c r="AU90" s="223"/>
      <c r="AV90" s="223"/>
      <c r="AW90" s="223"/>
      <c r="AX90" s="223"/>
      <c r="AY90" s="223"/>
      <c r="AZ90" s="223"/>
      <c r="BA90" s="223"/>
      <c r="BB90" s="223"/>
      <c r="BC90" s="223"/>
      <c r="BD90" s="223"/>
      <c r="BE90" s="223"/>
      <c r="BF90" s="223"/>
      <c r="BG90" s="223"/>
      <c r="BH90" s="223"/>
      <c r="BI90" s="223"/>
      <c r="BJ90" s="223"/>
      <c r="BK90" s="223"/>
      <c r="BL90" s="223"/>
    </row>
    <row r="91" spans="1:64" x14ac:dyDescent="0.25">
      <c r="A91" s="223"/>
      <c r="B91" s="223"/>
      <c r="C91" s="223"/>
      <c r="D91" s="223"/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  <c r="AQ91" s="223"/>
      <c r="AR91" s="223"/>
      <c r="AS91" s="223"/>
      <c r="AT91" s="223"/>
      <c r="AU91" s="223"/>
      <c r="AV91" s="223"/>
      <c r="AW91" s="223"/>
      <c r="AX91" s="223"/>
      <c r="AY91" s="223"/>
      <c r="AZ91" s="223"/>
      <c r="BA91" s="223"/>
      <c r="BB91" s="223"/>
      <c r="BC91" s="223"/>
      <c r="BD91" s="223"/>
      <c r="BE91" s="223"/>
      <c r="BF91" s="223"/>
      <c r="BG91" s="223"/>
      <c r="BH91" s="223"/>
      <c r="BI91" s="223"/>
      <c r="BJ91" s="223"/>
      <c r="BK91" s="223"/>
      <c r="BL91" s="223"/>
    </row>
    <row r="92" spans="1:64" x14ac:dyDescent="0.25">
      <c r="A92" s="223"/>
      <c r="B92" s="223"/>
      <c r="C92" s="223"/>
      <c r="D92" s="223"/>
      <c r="E92" s="223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  <c r="AQ92" s="223"/>
      <c r="AR92" s="223"/>
      <c r="AS92" s="223"/>
      <c r="AT92" s="223"/>
      <c r="AU92" s="223"/>
      <c r="AV92" s="223"/>
      <c r="AW92" s="223"/>
      <c r="AX92" s="223"/>
      <c r="AY92" s="223"/>
      <c r="AZ92" s="223"/>
      <c r="BA92" s="223"/>
      <c r="BB92" s="223"/>
      <c r="BC92" s="223"/>
      <c r="BD92" s="223"/>
      <c r="BE92" s="223"/>
      <c r="BF92" s="223"/>
      <c r="BG92" s="223"/>
      <c r="BH92" s="223"/>
      <c r="BI92" s="223"/>
      <c r="BJ92" s="223"/>
      <c r="BK92" s="223"/>
      <c r="BL92" s="223"/>
    </row>
    <row r="93" spans="1:64" x14ac:dyDescent="0.25">
      <c r="A93" s="223"/>
      <c r="B93" s="223"/>
      <c r="C93" s="223"/>
      <c r="D93" s="223"/>
      <c r="E93" s="223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223"/>
      <c r="AW93" s="223"/>
      <c r="AX93" s="223"/>
      <c r="AY93" s="223"/>
      <c r="AZ93" s="223"/>
      <c r="BA93" s="223"/>
      <c r="BB93" s="223"/>
      <c r="BC93" s="223"/>
      <c r="BD93" s="223"/>
      <c r="BE93" s="223"/>
      <c r="BF93" s="223"/>
      <c r="BG93" s="223"/>
      <c r="BH93" s="223"/>
      <c r="BI93" s="223"/>
      <c r="BJ93" s="223"/>
      <c r="BK93" s="223"/>
      <c r="BL93" s="223"/>
    </row>
    <row r="94" spans="1:64" x14ac:dyDescent="0.25">
      <c r="A94" s="223"/>
      <c r="B94" s="223"/>
      <c r="C94" s="223"/>
      <c r="D94" s="223"/>
      <c r="E94" s="223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3"/>
      <c r="AX94" s="223"/>
      <c r="AY94" s="223"/>
      <c r="AZ94" s="223"/>
      <c r="BA94" s="223"/>
      <c r="BB94" s="223"/>
      <c r="BC94" s="223"/>
      <c r="BD94" s="223"/>
      <c r="BE94" s="223"/>
      <c r="BF94" s="223"/>
      <c r="BG94" s="223"/>
      <c r="BH94" s="223"/>
      <c r="BI94" s="223"/>
      <c r="BJ94" s="223"/>
      <c r="BK94" s="223"/>
      <c r="BL94" s="223"/>
    </row>
    <row r="95" spans="1:64" x14ac:dyDescent="0.25">
      <c r="A95" s="223"/>
      <c r="B95" s="223"/>
      <c r="C95" s="223"/>
      <c r="D95" s="223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  <c r="AQ95" s="223"/>
      <c r="AR95" s="223"/>
      <c r="AS95" s="223"/>
      <c r="AT95" s="223"/>
      <c r="AU95" s="223"/>
      <c r="AV95" s="223"/>
      <c r="AW95" s="223"/>
      <c r="AX95" s="223"/>
      <c r="AY95" s="223"/>
      <c r="AZ95" s="223"/>
      <c r="BA95" s="223"/>
      <c r="BB95" s="223"/>
      <c r="BC95" s="223"/>
      <c r="BD95" s="223"/>
      <c r="BE95" s="223"/>
      <c r="BF95" s="223"/>
      <c r="BG95" s="223"/>
      <c r="BH95" s="223"/>
      <c r="BI95" s="223"/>
      <c r="BJ95" s="223"/>
      <c r="BK95" s="223"/>
      <c r="BL95" s="223"/>
    </row>
    <row r="96" spans="1:64" x14ac:dyDescent="0.25">
      <c r="A96" s="223"/>
      <c r="B96" s="223"/>
      <c r="C96" s="223"/>
      <c r="D96" s="223"/>
      <c r="E96" s="223"/>
      <c r="F96" s="223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  <c r="AQ96" s="223"/>
      <c r="AR96" s="223"/>
      <c r="AS96" s="223"/>
      <c r="AT96" s="223"/>
      <c r="AU96" s="223"/>
      <c r="AV96" s="223"/>
      <c r="AW96" s="223"/>
      <c r="AX96" s="223"/>
      <c r="AY96" s="223"/>
      <c r="AZ96" s="223"/>
      <c r="BA96" s="223"/>
      <c r="BB96" s="223"/>
      <c r="BC96" s="223"/>
      <c r="BD96" s="223"/>
      <c r="BE96" s="223"/>
      <c r="BF96" s="223"/>
      <c r="BG96" s="223"/>
      <c r="BH96" s="223"/>
      <c r="BI96" s="223"/>
      <c r="BJ96" s="223"/>
      <c r="BK96" s="223"/>
      <c r="BL96" s="223"/>
    </row>
    <row r="97" spans="1:70" x14ac:dyDescent="0.25">
      <c r="A97" s="223"/>
      <c r="B97" s="223"/>
      <c r="C97" s="223"/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  <c r="AQ97" s="223"/>
      <c r="AR97" s="223"/>
      <c r="AS97" s="223"/>
      <c r="AT97" s="223"/>
      <c r="AU97" s="223"/>
      <c r="AV97" s="223"/>
      <c r="AW97" s="223"/>
      <c r="AX97" s="223"/>
      <c r="AY97" s="223"/>
      <c r="AZ97" s="223"/>
      <c r="BA97" s="223"/>
      <c r="BB97" s="223"/>
      <c r="BC97" s="223"/>
      <c r="BD97" s="223"/>
      <c r="BE97" s="223"/>
      <c r="BF97" s="223"/>
      <c r="BG97" s="223"/>
      <c r="BH97" s="223"/>
      <c r="BI97" s="223"/>
      <c r="BJ97" s="223"/>
      <c r="BK97" s="223"/>
      <c r="BL97" s="223"/>
    </row>
    <row r="98" spans="1:70" x14ac:dyDescent="0.25">
      <c r="A98" s="223"/>
      <c r="B98" s="223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  <c r="AY98" s="223"/>
      <c r="AZ98" s="223"/>
      <c r="BA98" s="223"/>
      <c r="BB98" s="223"/>
      <c r="BC98" s="223"/>
      <c r="BD98" s="223"/>
      <c r="BE98" s="223"/>
      <c r="BF98" s="223"/>
      <c r="BG98" s="223"/>
      <c r="BH98" s="223"/>
      <c r="BI98" s="223"/>
      <c r="BJ98" s="223"/>
      <c r="BK98" s="223"/>
      <c r="BL98" s="223"/>
    </row>
    <row r="99" spans="1:70" x14ac:dyDescent="0.25">
      <c r="A99" s="223"/>
      <c r="B99" s="223"/>
      <c r="C99" s="223"/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23"/>
      <c r="AU99" s="223"/>
      <c r="AV99" s="223"/>
      <c r="AW99" s="223"/>
      <c r="AX99" s="223"/>
      <c r="AY99" s="223"/>
      <c r="AZ99" s="223"/>
      <c r="BA99" s="223"/>
      <c r="BB99" s="223"/>
      <c r="BC99" s="223"/>
      <c r="BD99" s="223"/>
      <c r="BE99" s="223"/>
      <c r="BF99" s="223"/>
      <c r="BG99" s="223"/>
      <c r="BH99" s="223"/>
      <c r="BI99" s="223"/>
      <c r="BJ99" s="223"/>
      <c r="BK99" s="223"/>
      <c r="BL99" s="223"/>
    </row>
    <row r="100" spans="1:70" x14ac:dyDescent="0.25">
      <c r="A100" s="223"/>
      <c r="B100" s="223"/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  <c r="AQ100" s="223"/>
      <c r="AR100" s="223"/>
      <c r="AS100" s="223"/>
      <c r="AT100" s="223"/>
      <c r="AU100" s="223"/>
      <c r="AV100" s="223"/>
      <c r="AW100" s="223"/>
      <c r="AX100" s="223"/>
      <c r="AY100" s="223"/>
      <c r="AZ100" s="223"/>
      <c r="BA100" s="223"/>
      <c r="BB100" s="223"/>
      <c r="BC100" s="223"/>
      <c r="BD100" s="223"/>
      <c r="BE100" s="223"/>
      <c r="BF100" s="223"/>
      <c r="BG100" s="223"/>
      <c r="BH100" s="223"/>
      <c r="BI100" s="223"/>
      <c r="BJ100" s="223"/>
      <c r="BK100" s="223"/>
      <c r="BL100" s="223"/>
    </row>
    <row r="101" spans="1:70" x14ac:dyDescent="0.25">
      <c r="A101" s="223"/>
      <c r="B101" s="223"/>
      <c r="C101" s="223"/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  <c r="AQ101" s="223"/>
      <c r="AR101" s="223"/>
      <c r="AS101" s="223"/>
      <c r="AT101" s="223"/>
      <c r="AU101" s="223"/>
      <c r="AV101" s="223"/>
      <c r="AW101" s="223"/>
      <c r="AX101" s="223"/>
      <c r="AY101" s="223"/>
      <c r="AZ101" s="223"/>
      <c r="BA101" s="223"/>
      <c r="BB101" s="223"/>
      <c r="BC101" s="223"/>
      <c r="BD101" s="223"/>
      <c r="BE101" s="223"/>
      <c r="BF101" s="223"/>
      <c r="BG101" s="223"/>
      <c r="BH101" s="223"/>
      <c r="BI101" s="223"/>
      <c r="BJ101" s="223"/>
      <c r="BK101" s="223"/>
      <c r="BL101" s="223"/>
    </row>
    <row r="102" spans="1:70" x14ac:dyDescent="0.25">
      <c r="A102" s="223"/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  <c r="AQ102" s="223"/>
      <c r="AR102" s="223"/>
      <c r="AS102" s="223"/>
      <c r="AT102" s="223"/>
      <c r="AU102" s="223"/>
      <c r="AV102" s="223"/>
      <c r="AW102" s="223"/>
      <c r="AX102" s="223"/>
      <c r="AY102" s="223"/>
      <c r="AZ102" s="223"/>
      <c r="BA102" s="223"/>
      <c r="BB102" s="223"/>
      <c r="BC102" s="223"/>
      <c r="BD102" s="223"/>
      <c r="BE102" s="223"/>
      <c r="BF102" s="223"/>
      <c r="BG102" s="223"/>
      <c r="BH102" s="223"/>
      <c r="BI102" s="223"/>
      <c r="BJ102" s="223"/>
      <c r="BK102" s="223"/>
      <c r="BL102" s="223"/>
    </row>
    <row r="103" spans="1:70" x14ac:dyDescent="0.25">
      <c r="A103" s="223"/>
      <c r="B103" s="223"/>
      <c r="C103" s="223"/>
      <c r="D103" s="223"/>
      <c r="E103" s="223"/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23"/>
      <c r="T103" s="223"/>
      <c r="U103" s="223"/>
      <c r="V103" s="223"/>
      <c r="W103" s="223"/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  <c r="AQ103" s="223"/>
      <c r="AR103" s="223"/>
      <c r="AS103" s="223"/>
      <c r="AT103" s="223"/>
      <c r="AU103" s="223"/>
      <c r="AV103" s="223"/>
      <c r="AW103" s="223"/>
      <c r="AX103" s="223"/>
      <c r="AY103" s="223"/>
      <c r="AZ103" s="223"/>
      <c r="BA103" s="223"/>
      <c r="BB103" s="223"/>
      <c r="BC103" s="223"/>
      <c r="BD103" s="223"/>
      <c r="BE103" s="223"/>
      <c r="BF103" s="223"/>
      <c r="BG103" s="223"/>
      <c r="BH103" s="223"/>
      <c r="BI103" s="223"/>
      <c r="BJ103" s="223"/>
      <c r="BK103" s="223"/>
      <c r="BL103" s="223"/>
    </row>
    <row r="104" spans="1:70" x14ac:dyDescent="0.25">
      <c r="A104" s="223"/>
      <c r="B104" s="223"/>
      <c r="C104" s="223"/>
      <c r="D104" s="223"/>
      <c r="E104" s="223"/>
      <c r="F104" s="223"/>
      <c r="G104" s="223"/>
      <c r="H104" s="223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  <c r="AQ104" s="223"/>
      <c r="AR104" s="223"/>
      <c r="AS104" s="223"/>
      <c r="AT104" s="223"/>
      <c r="AU104" s="223"/>
      <c r="AV104" s="223"/>
      <c r="AW104" s="223"/>
      <c r="AX104" s="223"/>
      <c r="AY104" s="223"/>
      <c r="AZ104" s="223"/>
      <c r="BA104" s="223"/>
      <c r="BB104" s="223"/>
      <c r="BC104" s="223"/>
      <c r="BD104" s="223"/>
      <c r="BE104" s="223"/>
      <c r="BF104" s="223"/>
      <c r="BG104" s="223"/>
      <c r="BH104" s="223"/>
      <c r="BI104" s="223"/>
      <c r="BJ104" s="223"/>
      <c r="BK104" s="223"/>
      <c r="BL104" s="223"/>
    </row>
    <row r="105" spans="1:70" x14ac:dyDescent="0.25">
      <c r="A105" s="223"/>
      <c r="B105" s="223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  <c r="AQ105" s="223"/>
      <c r="AR105" s="223"/>
      <c r="AS105" s="223"/>
      <c r="AT105" s="223"/>
      <c r="AU105" s="223"/>
      <c r="AV105" s="223"/>
      <c r="AW105" s="223"/>
      <c r="AX105" s="223"/>
      <c r="AY105" s="223"/>
      <c r="AZ105" s="223"/>
      <c r="BA105" s="223"/>
      <c r="BB105" s="223"/>
      <c r="BC105" s="223"/>
      <c r="BD105" s="223"/>
      <c r="BE105" s="223"/>
      <c r="BF105" s="223"/>
      <c r="BG105" s="223"/>
      <c r="BH105" s="223"/>
      <c r="BI105" s="223"/>
      <c r="BJ105" s="223"/>
      <c r="BK105" s="223"/>
      <c r="BL105" s="223"/>
    </row>
    <row r="106" spans="1:70" ht="18.75" customHeight="1" x14ac:dyDescent="0.25">
      <c r="A106" s="223"/>
      <c r="B106" s="223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  <c r="AQ106" s="223"/>
      <c r="AR106" s="223"/>
      <c r="AS106" s="223"/>
      <c r="AT106" s="223"/>
      <c r="AU106" s="223"/>
      <c r="AV106" s="223"/>
      <c r="AW106" s="223"/>
      <c r="AX106" s="223"/>
      <c r="AY106" s="223"/>
      <c r="AZ106" s="223"/>
      <c r="BA106" s="223"/>
      <c r="BB106" s="223"/>
      <c r="BC106" s="223"/>
      <c r="BD106" s="223"/>
      <c r="BE106" s="223"/>
      <c r="BF106" s="223"/>
      <c r="BG106" s="223"/>
      <c r="BH106" s="223"/>
      <c r="BI106" s="223"/>
      <c r="BJ106" s="223"/>
      <c r="BK106" s="223"/>
      <c r="BL106" s="223"/>
    </row>
    <row r="107" spans="1:70" ht="18.75" x14ac:dyDescent="0.3">
      <c r="B107" s="1993"/>
      <c r="C107" s="1994"/>
      <c r="D107" s="1994"/>
      <c r="E107" s="1994"/>
      <c r="F107" s="1994"/>
    </row>
    <row r="108" spans="1:70" x14ac:dyDescent="0.25">
      <c r="AT108" s="250"/>
      <c r="AU108" s="250"/>
      <c r="AV108" s="250"/>
      <c r="AW108" s="250"/>
      <c r="AX108" s="250"/>
      <c r="AY108" s="250"/>
      <c r="AZ108" s="250"/>
      <c r="BA108" s="250"/>
      <c r="BB108" s="250"/>
      <c r="BC108" s="250"/>
      <c r="BD108" s="250"/>
      <c r="BE108" s="250"/>
      <c r="BF108" s="250"/>
      <c r="BG108" s="250"/>
      <c r="BH108" s="250"/>
      <c r="BI108" s="250"/>
      <c r="BJ108" s="250"/>
      <c r="BK108" s="250"/>
      <c r="BL108" s="250"/>
      <c r="BM108" s="250"/>
      <c r="BN108" s="250"/>
      <c r="BO108" s="250"/>
      <c r="BP108" s="250"/>
      <c r="BQ108" s="250"/>
      <c r="BR108" s="250"/>
    </row>
    <row r="109" spans="1:70" x14ac:dyDescent="0.25">
      <c r="A109" s="1985"/>
      <c r="B109" s="1985"/>
      <c r="C109" s="1985"/>
      <c r="D109" s="1985"/>
      <c r="E109" s="1985"/>
      <c r="F109" s="1985"/>
      <c r="G109" s="1985"/>
      <c r="H109" s="1985"/>
      <c r="I109" s="1307"/>
      <c r="J109" s="1307"/>
      <c r="K109" s="1307"/>
      <c r="L109" s="1307"/>
      <c r="M109" s="1307"/>
      <c r="N109" s="1307"/>
      <c r="O109" s="1989"/>
      <c r="P109" s="1990"/>
      <c r="Q109" s="1312"/>
      <c r="R109" s="1312"/>
      <c r="S109" s="1358"/>
      <c r="T109" s="1358"/>
      <c r="U109" s="1394"/>
      <c r="V109" s="1394"/>
      <c r="W109" s="1312"/>
      <c r="X109" s="1312"/>
      <c r="Y109" s="1987"/>
      <c r="Z109" s="2014"/>
      <c r="AA109" s="2014"/>
      <c r="AB109" s="2012"/>
      <c r="AC109" s="2012"/>
      <c r="AD109" s="2012"/>
      <c r="AE109" s="2012"/>
      <c r="AF109" s="2012"/>
      <c r="AG109" s="2012"/>
      <c r="AH109" s="1404"/>
      <c r="AI109" s="1404"/>
      <c r="AJ109" s="1404"/>
      <c r="AK109" s="1404"/>
      <c r="AL109" s="1404"/>
      <c r="AM109" s="1404"/>
      <c r="AN109" s="1404"/>
      <c r="AO109" s="1404"/>
      <c r="AP109" s="276"/>
      <c r="AQ109" s="277"/>
      <c r="AR109" s="277"/>
      <c r="AS109" s="277"/>
      <c r="AT109" s="250"/>
      <c r="AU109" s="250"/>
      <c r="AV109" s="250"/>
      <c r="AW109" s="250"/>
      <c r="AX109" s="250"/>
      <c r="AY109" s="250"/>
      <c r="AZ109" s="250"/>
      <c r="BA109" s="250"/>
      <c r="BB109" s="250"/>
      <c r="BC109" s="250"/>
      <c r="BD109" s="250"/>
      <c r="BE109" s="250"/>
      <c r="BF109" s="250"/>
      <c r="BG109" s="250"/>
      <c r="BH109" s="250"/>
      <c r="BI109" s="250"/>
      <c r="BJ109" s="250"/>
      <c r="BK109" s="250"/>
      <c r="BL109" s="250"/>
      <c r="BM109" s="250"/>
      <c r="BN109" s="250"/>
      <c r="BO109" s="250"/>
      <c r="BP109" s="250"/>
      <c r="BQ109" s="250"/>
      <c r="BR109" s="250"/>
    </row>
    <row r="110" spans="1:70" x14ac:dyDescent="0.25">
      <c r="A110" s="1986"/>
      <c r="B110" s="1986"/>
      <c r="C110" s="1986"/>
      <c r="D110" s="1986"/>
      <c r="E110" s="1986"/>
      <c r="F110" s="1986"/>
      <c r="G110" s="1986"/>
      <c r="H110" s="1986"/>
      <c r="I110" s="605"/>
      <c r="J110" s="605"/>
      <c r="K110" s="605"/>
      <c r="L110" s="605"/>
      <c r="M110" s="605"/>
      <c r="N110" s="605"/>
      <c r="O110" s="150"/>
      <c r="P110" s="1313"/>
      <c r="Q110" s="1306"/>
      <c r="R110" s="1306"/>
      <c r="S110" s="1356"/>
      <c r="T110" s="1356"/>
      <c r="U110" s="1393"/>
      <c r="V110" s="1393"/>
      <c r="W110" s="1306"/>
      <c r="X110" s="1306"/>
      <c r="Y110" s="1988"/>
      <c r="Z110" s="2015"/>
      <c r="AA110" s="2015"/>
      <c r="AB110" s="2013"/>
      <c r="AC110" s="2013"/>
      <c r="AD110" s="2013"/>
      <c r="AE110" s="2013"/>
      <c r="AF110" s="2013"/>
      <c r="AG110" s="2013"/>
      <c r="AH110" s="1390"/>
      <c r="AI110" s="1390"/>
      <c r="AJ110" s="1390"/>
      <c r="AK110" s="1390"/>
      <c r="AL110" s="1390"/>
      <c r="AM110" s="1390"/>
      <c r="AN110" s="1390"/>
      <c r="AO110" s="1390"/>
      <c r="AP110" s="221"/>
      <c r="AQ110" s="221"/>
      <c r="AR110" s="221"/>
      <c r="AS110" s="221"/>
      <c r="AT110" s="250"/>
      <c r="AU110" s="250"/>
      <c r="AV110" s="250"/>
      <c r="AW110" s="250"/>
      <c r="AX110" s="250"/>
      <c r="AY110" s="250"/>
      <c r="AZ110" s="250"/>
      <c r="BA110" s="250"/>
      <c r="BB110" s="250"/>
      <c r="BC110" s="250"/>
      <c r="BD110" s="250"/>
      <c r="BE110" s="250"/>
      <c r="BF110" s="250"/>
      <c r="BG110" s="250"/>
      <c r="BH110" s="250"/>
      <c r="BI110" s="250"/>
      <c r="BJ110" s="250"/>
      <c r="BK110" s="250"/>
      <c r="BL110" s="250"/>
      <c r="BM110" s="250"/>
      <c r="BN110" s="250"/>
      <c r="BO110" s="250"/>
      <c r="BP110" s="250"/>
      <c r="BQ110" s="250"/>
      <c r="BR110" s="250"/>
    </row>
    <row r="111" spans="1:70" x14ac:dyDescent="0.25">
      <c r="A111" s="2"/>
      <c r="B111" s="85"/>
      <c r="C111" s="3"/>
      <c r="D111" s="3"/>
      <c r="E111" s="6"/>
      <c r="F111" s="261"/>
      <c r="G111" s="31"/>
      <c r="H111" s="31"/>
      <c r="I111" s="606"/>
      <c r="J111" s="606"/>
      <c r="K111" s="606"/>
      <c r="L111" s="606"/>
      <c r="M111" s="606"/>
      <c r="N111" s="606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74"/>
      <c r="AQ111" s="274"/>
      <c r="AR111" s="274"/>
      <c r="AS111" s="341"/>
      <c r="AT111" s="250"/>
      <c r="AU111" s="250"/>
      <c r="AV111" s="250"/>
      <c r="AW111" s="250"/>
      <c r="AX111" s="250"/>
      <c r="AY111" s="250"/>
      <c r="AZ111" s="250"/>
      <c r="BA111" s="250"/>
      <c r="BB111" s="250"/>
      <c r="BC111" s="250"/>
      <c r="BD111" s="250"/>
      <c r="BE111" s="250"/>
      <c r="BF111" s="250"/>
      <c r="BG111" s="250"/>
      <c r="BH111" s="250"/>
      <c r="BI111" s="250"/>
      <c r="BJ111" s="250"/>
      <c r="BK111" s="250"/>
      <c r="BL111" s="250"/>
      <c r="BM111" s="250"/>
      <c r="BN111" s="250"/>
      <c r="BO111" s="250"/>
      <c r="BP111" s="250"/>
      <c r="BQ111" s="250"/>
      <c r="BR111" s="250"/>
    </row>
    <row r="112" spans="1:70" x14ac:dyDescent="0.25">
      <c r="A112" s="5"/>
      <c r="B112" s="43"/>
      <c r="C112" s="6"/>
      <c r="D112" s="6"/>
      <c r="E112" s="6"/>
      <c r="F112" s="261"/>
      <c r="G112" s="18"/>
      <c r="H112" s="18"/>
      <c r="I112" s="606"/>
      <c r="J112" s="606"/>
      <c r="K112" s="606"/>
      <c r="L112" s="606"/>
      <c r="M112" s="606"/>
      <c r="N112" s="606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74"/>
      <c r="AQ112" s="274"/>
      <c r="AR112" s="274"/>
      <c r="AS112" s="341"/>
      <c r="AT112" s="250"/>
      <c r="AU112" s="250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0"/>
      <c r="BF112" s="250"/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0"/>
      <c r="BQ112" s="250"/>
      <c r="BR112" s="250"/>
    </row>
    <row r="113" spans="1:70" x14ac:dyDescent="0.25">
      <c r="A113" s="5"/>
      <c r="B113" s="43"/>
      <c r="C113" s="6"/>
      <c r="D113" s="6"/>
      <c r="E113" s="6"/>
      <c r="F113" s="261"/>
      <c r="G113" s="18"/>
      <c r="H113" s="18"/>
      <c r="I113" s="606"/>
      <c r="J113" s="606"/>
      <c r="K113" s="606"/>
      <c r="L113" s="606"/>
      <c r="M113" s="606"/>
      <c r="N113" s="606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74"/>
      <c r="AQ113" s="274"/>
      <c r="AR113" s="274"/>
      <c r="AS113" s="341"/>
      <c r="AT113" s="250"/>
      <c r="AU113" s="250"/>
      <c r="AV113" s="250"/>
      <c r="AW113" s="250"/>
      <c r="AX113" s="250"/>
      <c r="AY113" s="250"/>
      <c r="AZ113" s="250"/>
      <c r="BA113" s="250"/>
      <c r="BB113" s="250"/>
      <c r="BC113" s="250"/>
      <c r="BD113" s="250"/>
      <c r="BE113" s="250"/>
      <c r="BF113" s="250"/>
      <c r="BG113" s="250"/>
      <c r="BH113" s="250"/>
      <c r="BI113" s="250"/>
      <c r="BJ113" s="250"/>
      <c r="BK113" s="250"/>
      <c r="BL113" s="250"/>
      <c r="BM113" s="250"/>
      <c r="BN113" s="250"/>
      <c r="BO113" s="250"/>
      <c r="BP113" s="250"/>
      <c r="BQ113" s="250"/>
      <c r="BR113" s="250"/>
    </row>
    <row r="114" spans="1:70" x14ac:dyDescent="0.25">
      <c r="A114" s="5"/>
      <c r="B114" s="43"/>
      <c r="C114" s="6"/>
      <c r="D114" s="6"/>
      <c r="E114" s="6"/>
      <c r="F114" s="261"/>
      <c r="G114" s="18"/>
      <c r="H114" s="18"/>
      <c r="I114" s="606"/>
      <c r="J114" s="606"/>
      <c r="K114" s="606"/>
      <c r="L114" s="606"/>
      <c r="M114" s="606"/>
      <c r="N114" s="606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74"/>
      <c r="AQ114" s="274"/>
      <c r="AR114" s="274"/>
      <c r="AS114" s="341"/>
      <c r="AT114" s="250"/>
      <c r="AU114" s="250"/>
      <c r="AV114" s="250"/>
      <c r="AW114" s="250"/>
      <c r="AX114" s="250"/>
      <c r="AY114" s="250"/>
      <c r="AZ114" s="250"/>
      <c r="BA114" s="250"/>
      <c r="BB114" s="250"/>
      <c r="BC114" s="250"/>
      <c r="BD114" s="250"/>
      <c r="BE114" s="250"/>
      <c r="BF114" s="250"/>
      <c r="BG114" s="250"/>
      <c r="BH114" s="250"/>
      <c r="BI114" s="250"/>
      <c r="BJ114" s="250"/>
      <c r="BK114" s="250"/>
      <c r="BL114" s="250"/>
      <c r="BM114" s="250"/>
      <c r="BN114" s="250"/>
      <c r="BO114" s="250"/>
      <c r="BP114" s="250"/>
      <c r="BQ114" s="250"/>
      <c r="BR114" s="250"/>
    </row>
    <row r="115" spans="1:70" x14ac:dyDescent="0.25">
      <c r="A115" s="5"/>
      <c r="B115" s="43"/>
      <c r="C115" s="6"/>
      <c r="D115" s="6"/>
      <c r="E115" s="6"/>
      <c r="F115" s="261"/>
      <c r="G115" s="18"/>
      <c r="H115" s="18"/>
      <c r="I115" s="606"/>
      <c r="J115" s="606"/>
      <c r="K115" s="606"/>
      <c r="L115" s="606"/>
      <c r="M115" s="606"/>
      <c r="N115" s="606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74"/>
      <c r="AQ115" s="274"/>
      <c r="AR115" s="274"/>
      <c r="AS115" s="341"/>
      <c r="AT115" s="250"/>
      <c r="AU115" s="250"/>
      <c r="AV115" s="250"/>
      <c r="AW115" s="250"/>
      <c r="AX115" s="250"/>
      <c r="AY115" s="250"/>
      <c r="AZ115" s="250"/>
      <c r="BA115" s="250"/>
      <c r="BB115" s="250"/>
      <c r="BC115" s="250"/>
      <c r="BD115" s="250"/>
      <c r="BE115" s="250"/>
      <c r="BF115" s="250"/>
      <c r="BG115" s="250"/>
      <c r="BH115" s="250"/>
      <c r="BI115" s="250"/>
      <c r="BJ115" s="250"/>
      <c r="BK115" s="250"/>
      <c r="BL115" s="250"/>
      <c r="BM115" s="250"/>
      <c r="BN115" s="250"/>
      <c r="BO115" s="250"/>
      <c r="BP115" s="250"/>
      <c r="BQ115" s="250"/>
      <c r="BR115" s="250"/>
    </row>
    <row r="116" spans="1:70" x14ac:dyDescent="0.25">
      <c r="A116" s="5"/>
      <c r="B116" s="43"/>
      <c r="C116" s="6"/>
      <c r="D116" s="6"/>
      <c r="E116" s="6"/>
      <c r="F116" s="261"/>
      <c r="G116" s="18"/>
      <c r="H116" s="18"/>
      <c r="I116" s="606"/>
      <c r="J116" s="606"/>
      <c r="K116" s="606"/>
      <c r="L116" s="606"/>
      <c r="M116" s="606"/>
      <c r="N116" s="606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74"/>
      <c r="AQ116" s="274"/>
      <c r="AR116" s="274"/>
      <c r="AS116" s="341"/>
      <c r="AT116" s="250"/>
      <c r="AU116" s="250"/>
      <c r="AV116" s="250"/>
      <c r="AW116" s="250"/>
      <c r="AX116" s="250"/>
      <c r="AY116" s="250"/>
      <c r="AZ116" s="250"/>
      <c r="BA116" s="250"/>
      <c r="BB116" s="250"/>
      <c r="BC116" s="250"/>
      <c r="BD116" s="250"/>
      <c r="BE116" s="250"/>
      <c r="BF116" s="250"/>
      <c r="BG116" s="250"/>
      <c r="BH116" s="250"/>
      <c r="BI116" s="250"/>
      <c r="BJ116" s="250"/>
      <c r="BK116" s="250"/>
      <c r="BL116" s="250"/>
      <c r="BM116" s="250"/>
      <c r="BN116" s="250"/>
      <c r="BO116" s="250"/>
      <c r="BP116" s="250"/>
      <c r="BQ116" s="250"/>
      <c r="BR116" s="250"/>
    </row>
    <row r="117" spans="1:70" x14ac:dyDescent="0.25">
      <c r="A117" s="260"/>
      <c r="B117" s="43"/>
      <c r="C117" s="6"/>
      <c r="D117" s="6"/>
      <c r="E117" s="6"/>
      <c r="F117" s="261"/>
      <c r="G117" s="18"/>
      <c r="H117" s="18"/>
      <c r="I117" s="606"/>
      <c r="J117" s="606"/>
      <c r="K117" s="606"/>
      <c r="L117" s="606"/>
      <c r="M117" s="606"/>
      <c r="N117" s="606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74"/>
      <c r="AQ117" s="274"/>
      <c r="AR117" s="274"/>
      <c r="AS117" s="341"/>
      <c r="AT117" s="250"/>
      <c r="AU117" s="250"/>
      <c r="AV117" s="250"/>
      <c r="AW117" s="250"/>
      <c r="AX117" s="250"/>
      <c r="AY117" s="250"/>
      <c r="AZ117" s="250"/>
      <c r="BA117" s="250"/>
      <c r="BB117" s="250"/>
      <c r="BC117" s="250"/>
      <c r="BD117" s="250"/>
      <c r="BE117" s="250"/>
      <c r="BF117" s="250"/>
      <c r="BG117" s="250"/>
      <c r="BH117" s="250"/>
      <c r="BI117" s="250"/>
      <c r="BJ117" s="250"/>
      <c r="BK117" s="250"/>
      <c r="BL117" s="250"/>
      <c r="BM117" s="250"/>
      <c r="BN117" s="250"/>
      <c r="BO117" s="250"/>
      <c r="BP117" s="250"/>
      <c r="BQ117" s="250"/>
      <c r="BR117" s="250"/>
    </row>
    <row r="118" spans="1:70" x14ac:dyDescent="0.25">
      <c r="A118" s="4"/>
      <c r="B118" s="4"/>
      <c r="C118" s="4"/>
      <c r="D118" s="4"/>
      <c r="E118" s="57"/>
      <c r="F118" s="57"/>
      <c r="G118" s="156"/>
      <c r="H118" s="156"/>
      <c r="I118" s="607"/>
      <c r="J118" s="607"/>
      <c r="K118" s="607"/>
      <c r="L118" s="607"/>
      <c r="M118" s="607"/>
      <c r="N118" s="607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49"/>
      <c r="AA118" s="132"/>
      <c r="AB118" s="49"/>
      <c r="AC118" s="56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275"/>
      <c r="AQ118" s="275"/>
      <c r="AR118" s="275"/>
      <c r="AS118" s="342"/>
      <c r="AT118" s="250"/>
      <c r="AU118" s="250"/>
      <c r="AV118" s="250"/>
      <c r="AW118" s="250"/>
      <c r="AX118" s="250"/>
      <c r="AY118" s="250"/>
      <c r="AZ118" s="250"/>
      <c r="BA118" s="250"/>
      <c r="BB118" s="250"/>
      <c r="BC118" s="250"/>
      <c r="BD118" s="250"/>
      <c r="BE118" s="250"/>
      <c r="BF118" s="250"/>
      <c r="BG118" s="250"/>
      <c r="BH118" s="250"/>
      <c r="BI118" s="250"/>
      <c r="BJ118" s="250"/>
      <c r="BK118" s="250"/>
      <c r="BL118" s="250"/>
      <c r="BM118" s="250"/>
      <c r="BN118" s="250"/>
      <c r="BO118" s="250"/>
      <c r="BP118" s="250"/>
      <c r="BQ118" s="250"/>
      <c r="BR118" s="250"/>
    </row>
    <row r="119" spans="1:70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250"/>
      <c r="AU119" s="250"/>
      <c r="AV119" s="250"/>
      <c r="AW119" s="250"/>
      <c r="AX119" s="250"/>
      <c r="AY119" s="250"/>
      <c r="AZ119" s="250"/>
      <c r="BA119" s="250"/>
      <c r="BB119" s="250"/>
      <c r="BC119" s="250"/>
      <c r="BD119" s="250"/>
      <c r="BE119" s="250"/>
      <c r="BF119" s="250"/>
      <c r="BG119" s="250"/>
      <c r="BH119" s="250"/>
      <c r="BI119" s="250"/>
      <c r="BJ119" s="250"/>
      <c r="BK119" s="250"/>
      <c r="BL119" s="250"/>
      <c r="BM119" s="250"/>
      <c r="BN119" s="250"/>
      <c r="BO119" s="250"/>
      <c r="BP119" s="250"/>
      <c r="BQ119" s="250"/>
      <c r="BR119" s="250"/>
    </row>
    <row r="120" spans="1:70" x14ac:dyDescent="0.25">
      <c r="A120" s="285"/>
      <c r="B120" s="284"/>
      <c r="C120" s="284"/>
      <c r="D120" s="9"/>
      <c r="E120" s="285"/>
      <c r="F120" s="9"/>
      <c r="G120" s="9"/>
      <c r="H120" s="9"/>
      <c r="I120" s="9"/>
      <c r="J120" s="9"/>
      <c r="K120" s="9"/>
      <c r="L120" s="9"/>
      <c r="M120" s="9"/>
      <c r="N120" s="9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</row>
    <row r="121" spans="1:70" x14ac:dyDescent="0.25">
      <c r="A121" s="9"/>
      <c r="B121" s="9"/>
      <c r="C121" s="9"/>
      <c r="D121" s="9"/>
      <c r="E121" s="223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</row>
    <row r="122" spans="1:7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</row>
    <row r="123" spans="1:70" x14ac:dyDescent="0.25">
      <c r="A123" s="9"/>
      <c r="B123" s="9"/>
      <c r="C123" s="9"/>
      <c r="D123" s="9"/>
      <c r="E123" s="1977"/>
      <c r="F123" s="1977"/>
      <c r="G123" s="1977"/>
      <c r="H123" s="1977"/>
      <c r="I123" s="1303"/>
      <c r="J123" s="1303"/>
      <c r="K123" s="1303"/>
      <c r="L123" s="1303"/>
      <c r="M123" s="1303"/>
      <c r="N123" s="1303"/>
      <c r="O123" s="223"/>
      <c r="P123" s="223"/>
      <c r="Q123" s="223"/>
      <c r="R123" s="223"/>
      <c r="S123" s="223"/>
      <c r="T123" s="223"/>
      <c r="U123" s="223"/>
      <c r="V123" s="223"/>
      <c r="W123" s="223"/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</row>
    <row r="124" spans="1:7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223"/>
      <c r="P124" s="223"/>
      <c r="Q124" s="223"/>
      <c r="R124" s="223"/>
      <c r="S124" s="223"/>
      <c r="T124" s="223"/>
      <c r="U124" s="223"/>
      <c r="V124" s="223"/>
      <c r="W124" s="223"/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</row>
    <row r="125" spans="1:7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223"/>
      <c r="P125" s="223"/>
      <c r="Q125" s="223"/>
      <c r="R125" s="223"/>
      <c r="S125" s="223"/>
      <c r="T125" s="223"/>
      <c r="U125" s="223"/>
      <c r="V125" s="223"/>
      <c r="W125" s="223"/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</row>
    <row r="126" spans="1:70" x14ac:dyDescent="0.25">
      <c r="A126" s="9"/>
      <c r="B126" s="9"/>
      <c r="C126" s="9"/>
      <c r="D126" s="9"/>
      <c r="E126" s="1977"/>
      <c r="F126" s="1977"/>
      <c r="G126" s="1977"/>
      <c r="H126" s="1977"/>
      <c r="I126" s="1303"/>
      <c r="J126" s="1303"/>
      <c r="K126" s="1303"/>
      <c r="L126" s="1303"/>
      <c r="M126" s="1303"/>
      <c r="N126" s="1303"/>
      <c r="O126" s="223"/>
      <c r="P126" s="223"/>
      <c r="Q126" s="223"/>
      <c r="R126" s="223"/>
      <c r="S126" s="223"/>
      <c r="T126" s="223"/>
      <c r="U126" s="223"/>
      <c r="V126" s="223"/>
      <c r="W126" s="223"/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</row>
    <row r="127" spans="1:70" x14ac:dyDescent="0.25">
      <c r="A127" s="9"/>
      <c r="B127" s="108"/>
      <c r="C127" s="9"/>
      <c r="D127" s="9"/>
      <c r="E127" s="1977"/>
      <c r="F127" s="1977"/>
      <c r="G127" s="1977"/>
      <c r="H127" s="1977"/>
      <c r="I127" s="1303"/>
      <c r="J127" s="1303"/>
      <c r="K127" s="1303"/>
      <c r="L127" s="1303"/>
      <c r="M127" s="1303"/>
      <c r="N127" s="130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</row>
    <row r="128" spans="1:70" x14ac:dyDescent="0.25">
      <c r="A128" s="9"/>
      <c r="B128" s="9"/>
      <c r="C128" s="9"/>
      <c r="D128" s="9"/>
      <c r="E128" s="1977"/>
      <c r="F128" s="1977"/>
      <c r="G128" s="1977"/>
      <c r="H128" s="1977"/>
      <c r="I128" s="1303"/>
      <c r="J128" s="1303"/>
      <c r="K128" s="1303"/>
      <c r="L128" s="1303"/>
      <c r="M128" s="1303"/>
      <c r="N128" s="1303"/>
      <c r="O128" s="223"/>
      <c r="P128" s="223"/>
      <c r="Q128" s="223"/>
      <c r="R128" s="223"/>
      <c r="S128" s="223"/>
      <c r="T128" s="223"/>
      <c r="U128" s="223"/>
      <c r="V128" s="223"/>
      <c r="W128" s="223"/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</row>
    <row r="129" spans="1:41" x14ac:dyDescent="0.25">
      <c r="A129" s="9"/>
      <c r="B129" s="9"/>
      <c r="C129" s="9"/>
      <c r="D129" s="9"/>
      <c r="E129" s="1977"/>
      <c r="F129" s="1977"/>
      <c r="G129" s="1977"/>
      <c r="H129" s="1977"/>
      <c r="I129" s="1303"/>
      <c r="J129" s="1303"/>
      <c r="K129" s="1303"/>
      <c r="L129" s="1303"/>
      <c r="M129" s="1303"/>
      <c r="N129" s="1303"/>
      <c r="O129" s="223"/>
      <c r="P129" s="223"/>
      <c r="Q129" s="223"/>
      <c r="R129" s="223"/>
      <c r="S129" s="223"/>
      <c r="T129" s="223"/>
      <c r="U129" s="223"/>
      <c r="V129" s="223"/>
      <c r="W129" s="223"/>
      <c r="X129" s="223"/>
      <c r="Y129" s="223"/>
      <c r="Z129" s="223"/>
      <c r="AA129" s="223"/>
      <c r="AB129" s="223"/>
      <c r="AC129" s="223"/>
      <c r="AD129" s="223"/>
      <c r="AE129" s="223"/>
      <c r="AF129" s="223"/>
      <c r="AG129" s="223"/>
      <c r="AH129" s="223"/>
      <c r="AI129" s="223"/>
      <c r="AJ129" s="223"/>
      <c r="AK129" s="223"/>
      <c r="AL129" s="223"/>
      <c r="AM129" s="223"/>
      <c r="AN129" s="223"/>
      <c r="AO129" s="223"/>
    </row>
    <row r="130" spans="1:41" x14ac:dyDescent="0.25">
      <c r="A130" s="9"/>
      <c r="B130" s="9"/>
      <c r="C130" s="9"/>
      <c r="D130" s="9"/>
      <c r="E130" s="1977"/>
      <c r="F130" s="1977"/>
      <c r="G130" s="1977"/>
      <c r="H130" s="1977"/>
      <c r="I130" s="1303"/>
      <c r="J130" s="1303"/>
      <c r="K130" s="1303"/>
      <c r="L130" s="1303"/>
      <c r="M130" s="1303"/>
      <c r="N130" s="1303"/>
      <c r="O130" s="223"/>
      <c r="P130" s="223"/>
      <c r="Q130" s="223"/>
      <c r="R130" s="223"/>
      <c r="S130" s="223"/>
      <c r="T130" s="223"/>
      <c r="U130" s="223"/>
      <c r="V130" s="223"/>
      <c r="W130" s="223"/>
      <c r="X130" s="223"/>
      <c r="Y130" s="223"/>
      <c r="Z130" s="223"/>
      <c r="AA130" s="223"/>
      <c r="AB130" s="223"/>
      <c r="AC130" s="223"/>
      <c r="AD130" s="223"/>
      <c r="AE130" s="223"/>
      <c r="AF130" s="223"/>
      <c r="AG130" s="223"/>
      <c r="AH130" s="223"/>
      <c r="AI130" s="223"/>
      <c r="AJ130" s="223"/>
      <c r="AK130" s="223"/>
      <c r="AL130" s="223"/>
      <c r="AM130" s="223"/>
      <c r="AN130" s="223"/>
      <c r="AO130" s="223"/>
    </row>
    <row r="131" spans="1:41" x14ac:dyDescent="0.25">
      <c r="A131" s="9"/>
      <c r="B131" s="9"/>
      <c r="C131" s="9"/>
      <c r="D131" s="9"/>
      <c r="E131" s="1977"/>
      <c r="F131" s="1977"/>
      <c r="G131" s="1977"/>
      <c r="H131" s="1977"/>
      <c r="I131" s="1303"/>
      <c r="J131" s="1303"/>
      <c r="K131" s="1303"/>
      <c r="L131" s="1303"/>
      <c r="M131" s="1303"/>
      <c r="N131" s="1303"/>
      <c r="O131" s="223"/>
      <c r="P131" s="223"/>
      <c r="Q131" s="223"/>
      <c r="R131" s="223"/>
      <c r="S131" s="223"/>
      <c r="T131" s="223"/>
      <c r="U131" s="223"/>
      <c r="V131" s="223"/>
      <c r="W131" s="223"/>
      <c r="X131" s="223"/>
      <c r="Y131" s="223"/>
      <c r="Z131" s="223"/>
      <c r="AA131" s="223"/>
      <c r="AB131" s="223"/>
      <c r="AC131" s="223"/>
      <c r="AD131" s="223"/>
      <c r="AE131" s="223"/>
      <c r="AF131" s="223"/>
      <c r="AG131" s="223"/>
      <c r="AH131" s="223"/>
      <c r="AI131" s="223"/>
      <c r="AJ131" s="223"/>
      <c r="AK131" s="223"/>
      <c r="AL131" s="223"/>
      <c r="AM131" s="223"/>
      <c r="AN131" s="223"/>
      <c r="AO131" s="223"/>
    </row>
    <row r="132" spans="1:41" x14ac:dyDescent="0.25">
      <c r="A132" s="9"/>
      <c r="B132" s="9"/>
      <c r="C132" s="9"/>
      <c r="D132" s="9"/>
      <c r="E132" s="1977"/>
      <c r="F132" s="1977"/>
      <c r="G132" s="1977"/>
      <c r="H132" s="1977"/>
      <c r="I132" s="1303"/>
      <c r="J132" s="1303"/>
      <c r="K132" s="1303"/>
      <c r="L132" s="1303"/>
      <c r="M132" s="1303"/>
      <c r="N132" s="1303"/>
      <c r="O132" s="223"/>
      <c r="P132" s="223"/>
      <c r="Q132" s="223"/>
      <c r="R132" s="223"/>
      <c r="S132" s="223"/>
      <c r="T132" s="223"/>
      <c r="U132" s="223"/>
      <c r="V132" s="223"/>
      <c r="W132" s="223"/>
      <c r="X132" s="223"/>
      <c r="Y132" s="223"/>
      <c r="Z132" s="223"/>
      <c r="AA132" s="223"/>
      <c r="AB132" s="223"/>
      <c r="AC132" s="223"/>
      <c r="AD132" s="223"/>
      <c r="AE132" s="223"/>
      <c r="AF132" s="223"/>
      <c r="AG132" s="223"/>
      <c r="AH132" s="223"/>
      <c r="AI132" s="223"/>
      <c r="AJ132" s="223"/>
      <c r="AK132" s="223"/>
      <c r="AL132" s="223"/>
      <c r="AM132" s="223"/>
      <c r="AN132" s="223"/>
      <c r="AO132" s="223"/>
    </row>
    <row r="133" spans="1:4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223"/>
      <c r="P133" s="223"/>
      <c r="Q133" s="223"/>
      <c r="R133" s="223"/>
      <c r="S133" s="223"/>
      <c r="T133" s="223"/>
      <c r="U133" s="223"/>
      <c r="V133" s="223"/>
      <c r="W133" s="223"/>
      <c r="X133" s="223"/>
      <c r="Y133" s="223"/>
      <c r="Z133" s="223"/>
      <c r="AA133" s="223"/>
      <c r="AB133" s="223"/>
      <c r="AC133" s="223"/>
      <c r="AD133" s="223"/>
      <c r="AE133" s="223"/>
      <c r="AF133" s="223"/>
      <c r="AG133" s="223"/>
      <c r="AH133" s="223"/>
      <c r="AI133" s="223"/>
      <c r="AJ133" s="223"/>
      <c r="AK133" s="223"/>
      <c r="AL133" s="223"/>
      <c r="AM133" s="223"/>
      <c r="AN133" s="223"/>
      <c r="AO133" s="223"/>
    </row>
    <row r="134" spans="1:41" x14ac:dyDescent="0.25">
      <c r="A134" s="9"/>
      <c r="B134" s="9"/>
      <c r="C134" s="9"/>
      <c r="D134" s="9"/>
      <c r="E134" s="1977"/>
      <c r="F134" s="1977"/>
      <c r="G134" s="1977"/>
      <c r="H134" s="1977"/>
      <c r="I134" s="1303"/>
      <c r="J134" s="1303"/>
      <c r="K134" s="1303"/>
      <c r="L134" s="1303"/>
      <c r="M134" s="1303"/>
      <c r="N134" s="130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3"/>
      <c r="AA134" s="223"/>
      <c r="AB134" s="223"/>
      <c r="AC134" s="223"/>
      <c r="AD134" s="223"/>
      <c r="AE134" s="223"/>
      <c r="AF134" s="223"/>
      <c r="AG134" s="223"/>
      <c r="AH134" s="223"/>
      <c r="AI134" s="223"/>
      <c r="AJ134" s="223"/>
      <c r="AK134" s="223"/>
      <c r="AL134" s="223"/>
      <c r="AM134" s="223"/>
      <c r="AN134" s="223"/>
      <c r="AO134" s="223"/>
    </row>
    <row r="135" spans="1:41" x14ac:dyDescent="0.25">
      <c r="A135" s="9"/>
      <c r="B135" s="9"/>
      <c r="C135" s="9"/>
      <c r="D135" s="9"/>
      <c r="E135" s="1977"/>
      <c r="F135" s="1977"/>
      <c r="G135" s="1977"/>
      <c r="H135" s="1977"/>
      <c r="I135" s="1303"/>
      <c r="J135" s="1303"/>
      <c r="K135" s="1303"/>
      <c r="L135" s="1303"/>
      <c r="M135" s="1303"/>
      <c r="N135" s="1303"/>
      <c r="O135" s="223"/>
      <c r="P135" s="223"/>
      <c r="Q135" s="223"/>
      <c r="R135" s="223"/>
      <c r="S135" s="223"/>
      <c r="T135" s="223"/>
      <c r="U135" s="223"/>
      <c r="V135" s="223"/>
      <c r="W135" s="223"/>
      <c r="X135" s="223"/>
      <c r="Y135" s="223"/>
      <c r="Z135" s="223"/>
      <c r="AA135" s="223"/>
      <c r="AB135" s="223"/>
      <c r="AC135" s="223"/>
      <c r="AD135" s="223"/>
      <c r="AE135" s="223"/>
      <c r="AF135" s="223"/>
      <c r="AG135" s="223"/>
      <c r="AH135" s="223"/>
      <c r="AI135" s="223"/>
      <c r="AJ135" s="223"/>
      <c r="AK135" s="223"/>
      <c r="AL135" s="223"/>
      <c r="AM135" s="223"/>
      <c r="AN135" s="223"/>
      <c r="AO135" s="223"/>
    </row>
    <row r="136" spans="1:41" x14ac:dyDescent="0.25">
      <c r="A136" s="9"/>
      <c r="B136" s="9"/>
      <c r="C136" s="9"/>
      <c r="D136" s="9"/>
      <c r="E136" s="1977"/>
      <c r="F136" s="1977"/>
      <c r="G136" s="1977"/>
      <c r="H136" s="1977"/>
      <c r="I136" s="1303"/>
      <c r="J136" s="1303"/>
      <c r="K136" s="1303"/>
      <c r="L136" s="1303"/>
      <c r="M136" s="1303"/>
      <c r="N136" s="1303"/>
      <c r="O136" s="223"/>
      <c r="P136" s="223"/>
      <c r="Q136" s="223"/>
      <c r="R136" s="223"/>
      <c r="S136" s="223"/>
      <c r="T136" s="223"/>
      <c r="U136" s="223"/>
      <c r="V136" s="223"/>
      <c r="W136" s="223"/>
      <c r="X136" s="223"/>
      <c r="Y136" s="223"/>
      <c r="Z136" s="223"/>
      <c r="AA136" s="223"/>
      <c r="AB136" s="223"/>
      <c r="AC136" s="223"/>
      <c r="AD136" s="223"/>
      <c r="AE136" s="223"/>
      <c r="AF136" s="223"/>
      <c r="AG136" s="223"/>
      <c r="AH136" s="223"/>
      <c r="AI136" s="223"/>
      <c r="AJ136" s="223"/>
      <c r="AK136" s="223"/>
      <c r="AL136" s="223"/>
      <c r="AM136" s="223"/>
      <c r="AN136" s="223"/>
      <c r="AO136" s="223"/>
    </row>
    <row r="137" spans="1:41" x14ac:dyDescent="0.25">
      <c r="A137" s="9"/>
      <c r="B137" s="9"/>
      <c r="C137" s="9"/>
      <c r="D137" s="9"/>
      <c r="E137" s="1977"/>
      <c r="F137" s="1977"/>
      <c r="G137" s="1977"/>
      <c r="H137" s="1977"/>
      <c r="I137" s="1303"/>
      <c r="J137" s="1303"/>
      <c r="K137" s="1303"/>
      <c r="L137" s="1303"/>
      <c r="M137" s="1303"/>
      <c r="N137" s="1303"/>
      <c r="O137" s="223"/>
      <c r="P137" s="223"/>
      <c r="Q137" s="223"/>
      <c r="R137" s="223"/>
      <c r="S137" s="223"/>
      <c r="T137" s="223"/>
      <c r="U137" s="223"/>
      <c r="V137" s="223"/>
      <c r="W137" s="223"/>
      <c r="X137" s="223"/>
      <c r="Y137" s="223"/>
      <c r="Z137" s="223"/>
      <c r="AA137" s="223"/>
      <c r="AB137" s="223"/>
      <c r="AC137" s="223"/>
      <c r="AD137" s="223"/>
      <c r="AE137" s="223"/>
      <c r="AF137" s="223"/>
      <c r="AG137" s="223"/>
      <c r="AH137" s="223"/>
      <c r="AI137" s="223"/>
      <c r="AJ137" s="223"/>
      <c r="AK137" s="223"/>
      <c r="AL137" s="223"/>
      <c r="AM137" s="223"/>
      <c r="AN137" s="223"/>
      <c r="AO137" s="223"/>
    </row>
    <row r="138" spans="1:41" x14ac:dyDescent="0.25">
      <c r="A138" s="9"/>
      <c r="B138" s="9"/>
      <c r="C138" s="9"/>
      <c r="D138" s="9"/>
      <c r="E138" s="1977"/>
      <c r="F138" s="1977"/>
      <c r="G138" s="1977"/>
      <c r="H138" s="1977"/>
      <c r="I138" s="1303"/>
      <c r="J138" s="1303"/>
      <c r="K138" s="1303"/>
      <c r="L138" s="1303"/>
      <c r="M138" s="1303"/>
      <c r="N138" s="1303"/>
      <c r="O138" s="223"/>
      <c r="P138" s="223"/>
      <c r="Q138" s="223"/>
      <c r="R138" s="223"/>
      <c r="S138" s="223"/>
      <c r="T138" s="223"/>
      <c r="U138" s="223"/>
      <c r="V138" s="223"/>
      <c r="W138" s="223"/>
      <c r="X138" s="223"/>
      <c r="Y138" s="223"/>
      <c r="Z138" s="223"/>
      <c r="AA138" s="223"/>
      <c r="AB138" s="223"/>
      <c r="AC138" s="223"/>
      <c r="AD138" s="223"/>
      <c r="AE138" s="223"/>
      <c r="AF138" s="223"/>
      <c r="AG138" s="223"/>
      <c r="AH138" s="223"/>
      <c r="AI138" s="223"/>
      <c r="AJ138" s="223"/>
      <c r="AK138" s="223"/>
      <c r="AL138" s="223"/>
      <c r="AM138" s="223"/>
      <c r="AN138" s="223"/>
      <c r="AO138" s="223"/>
    </row>
    <row r="139" spans="1:41" x14ac:dyDescent="0.25">
      <c r="A139" s="9"/>
      <c r="B139" s="9"/>
      <c r="C139" s="9"/>
      <c r="D139" s="9"/>
      <c r="E139" s="1977"/>
      <c r="F139" s="1977"/>
      <c r="G139" s="1977"/>
      <c r="H139" s="1977"/>
      <c r="I139" s="1303"/>
      <c r="J139" s="1303"/>
      <c r="K139" s="1303"/>
      <c r="L139" s="1303"/>
      <c r="M139" s="1303"/>
      <c r="N139" s="1303"/>
      <c r="O139" s="223"/>
      <c r="P139" s="223"/>
      <c r="Q139" s="223"/>
      <c r="R139" s="223"/>
      <c r="S139" s="223"/>
      <c r="T139" s="223"/>
      <c r="U139" s="223"/>
      <c r="V139" s="223"/>
      <c r="W139" s="223"/>
      <c r="X139" s="223"/>
      <c r="Y139" s="223"/>
      <c r="Z139" s="223"/>
      <c r="AA139" s="223"/>
      <c r="AB139" s="223"/>
      <c r="AC139" s="223"/>
      <c r="AD139" s="223"/>
      <c r="AE139" s="223"/>
      <c r="AF139" s="223"/>
      <c r="AG139" s="223"/>
      <c r="AH139" s="223"/>
      <c r="AI139" s="223"/>
      <c r="AJ139" s="223"/>
      <c r="AK139" s="223"/>
      <c r="AL139" s="223"/>
      <c r="AM139" s="223"/>
      <c r="AN139" s="223"/>
      <c r="AO139" s="223"/>
    </row>
    <row r="140" spans="1:41" x14ac:dyDescent="0.25">
      <c r="A140" s="9"/>
      <c r="B140" s="9"/>
      <c r="C140" s="9"/>
      <c r="D140" s="9"/>
      <c r="E140" s="1977"/>
      <c r="F140" s="1977"/>
      <c r="G140" s="1977"/>
      <c r="H140" s="1977"/>
      <c r="I140" s="1303"/>
      <c r="J140" s="1303"/>
      <c r="K140" s="1303"/>
      <c r="L140" s="1303"/>
      <c r="M140" s="1303"/>
      <c r="N140" s="1303"/>
      <c r="O140" s="223"/>
      <c r="P140" s="223"/>
      <c r="Q140" s="223"/>
      <c r="R140" s="223"/>
      <c r="S140" s="223"/>
      <c r="T140" s="223"/>
      <c r="U140" s="223"/>
      <c r="V140" s="223"/>
      <c r="W140" s="223"/>
      <c r="X140" s="223"/>
      <c r="Y140" s="223"/>
      <c r="Z140" s="223"/>
      <c r="AA140" s="223"/>
      <c r="AB140" s="223"/>
      <c r="AC140" s="223"/>
      <c r="AD140" s="223"/>
      <c r="AE140" s="223"/>
      <c r="AF140" s="223"/>
      <c r="AG140" s="223"/>
      <c r="AH140" s="223"/>
      <c r="AI140" s="223"/>
      <c r="AJ140" s="223"/>
      <c r="AK140" s="223"/>
      <c r="AL140" s="223"/>
      <c r="AM140" s="223"/>
      <c r="AN140" s="223"/>
      <c r="AO140" s="223"/>
    </row>
    <row r="141" spans="1:41" x14ac:dyDescent="0.25">
      <c r="A141" s="9"/>
      <c r="B141" s="9"/>
      <c r="C141" s="9"/>
      <c r="D141" s="9"/>
      <c r="E141" s="1977"/>
      <c r="F141" s="1977"/>
      <c r="G141" s="1977"/>
      <c r="H141" s="1977"/>
      <c r="I141" s="1303"/>
      <c r="J141" s="1303"/>
      <c r="K141" s="1303"/>
      <c r="L141" s="1303"/>
      <c r="M141" s="1303"/>
      <c r="N141" s="130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3"/>
      <c r="AA141" s="223"/>
      <c r="AB141" s="223"/>
      <c r="AC141" s="223"/>
      <c r="AD141" s="223"/>
      <c r="AE141" s="223"/>
      <c r="AF141" s="223"/>
      <c r="AG141" s="223"/>
      <c r="AH141" s="223"/>
      <c r="AI141" s="223"/>
      <c r="AJ141" s="223"/>
      <c r="AK141" s="223"/>
      <c r="AL141" s="223"/>
      <c r="AM141" s="223"/>
      <c r="AN141" s="223"/>
      <c r="AO141" s="223"/>
    </row>
    <row r="142" spans="1:41" x14ac:dyDescent="0.25">
      <c r="A142" s="9"/>
      <c r="B142" s="9"/>
      <c r="C142" s="9"/>
      <c r="D142" s="9"/>
      <c r="E142" s="1977"/>
      <c r="F142" s="1977"/>
      <c r="G142" s="1977"/>
      <c r="H142" s="1977"/>
      <c r="I142" s="1303"/>
      <c r="J142" s="1303"/>
      <c r="K142" s="1303"/>
      <c r="L142" s="1303"/>
      <c r="M142" s="1303"/>
      <c r="N142" s="1303"/>
      <c r="O142" s="223"/>
      <c r="P142" s="223"/>
      <c r="Q142" s="223"/>
      <c r="R142" s="223"/>
      <c r="S142" s="223"/>
      <c r="T142" s="223"/>
      <c r="U142" s="223"/>
      <c r="V142" s="223"/>
      <c r="W142" s="223"/>
      <c r="X142" s="223"/>
      <c r="Y142" s="223"/>
      <c r="Z142" s="223"/>
      <c r="AA142" s="223"/>
      <c r="AB142" s="223"/>
      <c r="AC142" s="223"/>
      <c r="AD142" s="223"/>
      <c r="AE142" s="223"/>
      <c r="AF142" s="223"/>
      <c r="AG142" s="223"/>
      <c r="AH142" s="223"/>
      <c r="AI142" s="223"/>
      <c r="AJ142" s="223"/>
      <c r="AK142" s="223"/>
      <c r="AL142" s="223"/>
      <c r="AM142" s="223"/>
      <c r="AN142" s="223"/>
      <c r="AO142" s="223"/>
    </row>
    <row r="143" spans="1:41" x14ac:dyDescent="0.25">
      <c r="A143" s="9"/>
      <c r="B143" s="9"/>
      <c r="C143" s="9"/>
      <c r="D143" s="9"/>
      <c r="E143" s="1977"/>
      <c r="F143" s="1977"/>
      <c r="G143" s="1977"/>
      <c r="H143" s="1977"/>
      <c r="I143" s="1303"/>
      <c r="J143" s="1303"/>
      <c r="K143" s="1303"/>
      <c r="L143" s="1303"/>
      <c r="M143" s="1303"/>
      <c r="N143" s="130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223"/>
      <c r="Z143" s="223"/>
      <c r="AA143" s="223"/>
      <c r="AB143" s="223"/>
      <c r="AC143" s="223"/>
      <c r="AD143" s="223"/>
      <c r="AE143" s="223"/>
      <c r="AF143" s="223"/>
      <c r="AG143" s="223"/>
      <c r="AH143" s="223"/>
      <c r="AI143" s="223"/>
      <c r="AJ143" s="223"/>
      <c r="AK143" s="223"/>
      <c r="AL143" s="223"/>
      <c r="AM143" s="223"/>
      <c r="AN143" s="223"/>
      <c r="AO143" s="223"/>
    </row>
    <row r="144" spans="1:41" x14ac:dyDescent="0.25">
      <c r="A144" s="9"/>
      <c r="B144" s="9"/>
      <c r="C144" s="9"/>
      <c r="D144" s="9"/>
      <c r="E144" s="1977"/>
      <c r="F144" s="1977"/>
      <c r="G144" s="1977"/>
      <c r="H144" s="1977"/>
      <c r="I144" s="1303"/>
      <c r="J144" s="1303"/>
      <c r="K144" s="1303"/>
      <c r="L144" s="1303"/>
      <c r="M144" s="1303"/>
      <c r="N144" s="1303"/>
      <c r="O144" s="223"/>
      <c r="P144" s="223"/>
      <c r="Q144" s="223"/>
      <c r="R144" s="223"/>
      <c r="S144" s="223"/>
      <c r="T144" s="223"/>
      <c r="U144" s="223"/>
      <c r="V144" s="223"/>
      <c r="W144" s="223"/>
      <c r="X144" s="223"/>
      <c r="Y144" s="223"/>
      <c r="Z144" s="223"/>
      <c r="AA144" s="223"/>
      <c r="AB144" s="223"/>
      <c r="AC144" s="223"/>
      <c r="AD144" s="223"/>
      <c r="AE144" s="223"/>
      <c r="AF144" s="223"/>
      <c r="AG144" s="223"/>
      <c r="AH144" s="223"/>
      <c r="AI144" s="223"/>
      <c r="AJ144" s="223"/>
      <c r="AK144" s="223"/>
      <c r="AL144" s="223"/>
      <c r="AM144" s="223"/>
      <c r="AN144" s="223"/>
      <c r="AO144" s="223"/>
    </row>
    <row r="145" spans="1:41" x14ac:dyDescent="0.25">
      <c r="A145" s="223"/>
      <c r="B145" s="223"/>
      <c r="C145" s="223"/>
      <c r="D145" s="223"/>
      <c r="E145" s="223"/>
      <c r="F145" s="223"/>
      <c r="G145" s="223"/>
      <c r="H145" s="223"/>
      <c r="I145" s="223"/>
      <c r="J145" s="223"/>
      <c r="K145" s="223"/>
      <c r="L145" s="223"/>
      <c r="M145" s="223"/>
      <c r="N145" s="223"/>
      <c r="O145" s="223"/>
      <c r="P145" s="223"/>
      <c r="Q145" s="223"/>
      <c r="R145" s="223"/>
      <c r="S145" s="223"/>
      <c r="T145" s="223"/>
      <c r="U145" s="223"/>
      <c r="V145" s="223"/>
      <c r="W145" s="223"/>
      <c r="X145" s="223"/>
      <c r="Y145" s="223"/>
      <c r="Z145" s="223"/>
      <c r="AA145" s="223"/>
      <c r="AB145" s="223"/>
      <c r="AC145" s="223"/>
      <c r="AD145" s="223"/>
      <c r="AE145" s="223"/>
      <c r="AF145" s="223"/>
      <c r="AG145" s="223"/>
      <c r="AH145" s="223"/>
      <c r="AI145" s="223"/>
      <c r="AJ145" s="223"/>
      <c r="AK145" s="223"/>
      <c r="AL145" s="223"/>
      <c r="AM145" s="223"/>
      <c r="AN145" s="223"/>
      <c r="AO145" s="223"/>
    </row>
    <row r="146" spans="1:41" x14ac:dyDescent="0.25">
      <c r="A146" s="223"/>
      <c r="B146" s="223"/>
      <c r="C146" s="223"/>
      <c r="D146" s="223"/>
      <c r="E146" s="223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  <c r="AA146" s="223"/>
      <c r="AB146" s="223"/>
      <c r="AC146" s="223"/>
      <c r="AD146" s="223"/>
      <c r="AE146" s="223"/>
      <c r="AF146" s="223"/>
      <c r="AG146" s="223"/>
      <c r="AH146" s="223"/>
      <c r="AI146" s="223"/>
      <c r="AJ146" s="223"/>
      <c r="AK146" s="223"/>
      <c r="AL146" s="223"/>
      <c r="AM146" s="223"/>
      <c r="AN146" s="223"/>
      <c r="AO146" s="223"/>
    </row>
    <row r="147" spans="1:41" x14ac:dyDescent="0.25">
      <c r="A147" s="223"/>
      <c r="B147" s="223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</row>
    <row r="148" spans="1:41" x14ac:dyDescent="0.25">
      <c r="A148" s="223"/>
      <c r="B148" s="223"/>
      <c r="C148" s="223"/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3"/>
      <c r="AA148" s="223"/>
      <c r="AB148" s="223"/>
      <c r="AC148" s="223"/>
      <c r="AD148" s="223"/>
      <c r="AE148" s="223"/>
      <c r="AF148" s="223"/>
      <c r="AG148" s="223"/>
      <c r="AH148" s="223"/>
      <c r="AI148" s="223"/>
      <c r="AJ148" s="223"/>
      <c r="AK148" s="223"/>
      <c r="AL148" s="223"/>
      <c r="AM148" s="223"/>
      <c r="AN148" s="223"/>
      <c r="AO148" s="223"/>
    </row>
    <row r="149" spans="1:41" x14ac:dyDescent="0.25">
      <c r="A149" s="223"/>
      <c r="B149" s="223"/>
      <c r="C149" s="223"/>
      <c r="D149" s="223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  <c r="AA149" s="223"/>
      <c r="AB149" s="223"/>
      <c r="AC149" s="223"/>
      <c r="AD149" s="223"/>
      <c r="AE149" s="223"/>
      <c r="AF149" s="223"/>
      <c r="AG149" s="223"/>
      <c r="AH149" s="223"/>
      <c r="AI149" s="223"/>
      <c r="AJ149" s="223"/>
      <c r="AK149" s="223"/>
      <c r="AL149" s="223"/>
      <c r="AM149" s="223"/>
      <c r="AN149" s="223"/>
      <c r="AO149" s="223"/>
    </row>
    <row r="150" spans="1:41" x14ac:dyDescent="0.25">
      <c r="A150" s="223"/>
      <c r="B150" s="223"/>
      <c r="C150" s="223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23"/>
      <c r="AE150" s="223"/>
      <c r="AF150" s="223"/>
      <c r="AG150" s="223"/>
      <c r="AH150" s="223"/>
      <c r="AI150" s="223"/>
      <c r="AJ150" s="223"/>
      <c r="AK150" s="223"/>
      <c r="AL150" s="223"/>
      <c r="AM150" s="223"/>
      <c r="AN150" s="223"/>
      <c r="AO150" s="223"/>
    </row>
    <row r="151" spans="1:41" x14ac:dyDescent="0.25">
      <c r="A151" s="134"/>
      <c r="B151" s="223"/>
      <c r="C151" s="223"/>
      <c r="D151" s="223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3"/>
      <c r="U151" s="223"/>
      <c r="V151" s="223"/>
      <c r="W151" s="223"/>
      <c r="X151" s="223"/>
      <c r="Y151" s="223"/>
      <c r="Z151" s="223"/>
      <c r="AA151" s="223"/>
      <c r="AB151" s="223"/>
      <c r="AC151" s="223"/>
      <c r="AD151" s="223"/>
      <c r="AE151" s="223"/>
      <c r="AF151" s="223"/>
      <c r="AG151" s="223"/>
      <c r="AH151" s="223"/>
      <c r="AI151" s="223"/>
      <c r="AJ151" s="223"/>
      <c r="AK151" s="223"/>
      <c r="AL151" s="223"/>
      <c r="AM151" s="223"/>
      <c r="AN151" s="223"/>
      <c r="AO151" s="223"/>
    </row>
    <row r="152" spans="1:41" x14ac:dyDescent="0.25">
      <c r="A152" s="134"/>
      <c r="B152" s="223"/>
      <c r="C152" s="223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  <c r="X152" s="223"/>
      <c r="Y152" s="223"/>
      <c r="Z152" s="223"/>
      <c r="AA152" s="223"/>
      <c r="AB152" s="223"/>
      <c r="AC152" s="223"/>
      <c r="AD152" s="223"/>
      <c r="AE152" s="223"/>
      <c r="AF152" s="223"/>
      <c r="AG152" s="223"/>
      <c r="AH152" s="223"/>
      <c r="AI152" s="223"/>
      <c r="AJ152" s="223"/>
      <c r="AK152" s="223"/>
      <c r="AL152" s="223"/>
      <c r="AM152" s="223"/>
      <c r="AN152" s="223"/>
      <c r="AO152" s="223"/>
    </row>
    <row r="153" spans="1:41" x14ac:dyDescent="0.25">
      <c r="A153" s="134"/>
      <c r="B153" s="223"/>
      <c r="C153" s="223"/>
      <c r="D153" s="223"/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223"/>
      <c r="R153" s="223"/>
      <c r="S153" s="223"/>
      <c r="T153" s="223"/>
      <c r="U153" s="223"/>
      <c r="V153" s="223"/>
      <c r="W153" s="223"/>
      <c r="X153" s="223"/>
      <c r="Y153" s="223"/>
      <c r="Z153" s="223"/>
      <c r="AA153" s="223"/>
      <c r="AB153" s="223"/>
      <c r="AC153" s="223"/>
      <c r="AD153" s="223"/>
      <c r="AE153" s="223"/>
      <c r="AF153" s="223"/>
      <c r="AG153" s="223"/>
      <c r="AH153" s="223"/>
      <c r="AI153" s="223"/>
      <c r="AJ153" s="223"/>
      <c r="AK153" s="223"/>
      <c r="AL153" s="223"/>
      <c r="AM153" s="223"/>
      <c r="AN153" s="223"/>
      <c r="AO153" s="223"/>
    </row>
    <row r="154" spans="1:41" x14ac:dyDescent="0.25">
      <c r="A154" s="134"/>
      <c r="B154" s="223"/>
      <c r="C154" s="223"/>
      <c r="D154" s="223"/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3"/>
      <c r="P154" s="223"/>
      <c r="Q154" s="223"/>
      <c r="R154" s="223"/>
      <c r="S154" s="223"/>
      <c r="T154" s="223"/>
      <c r="U154" s="223"/>
      <c r="V154" s="223"/>
      <c r="W154" s="223"/>
      <c r="X154" s="223"/>
      <c r="Y154" s="223"/>
      <c r="Z154" s="223"/>
      <c r="AA154" s="223"/>
      <c r="AB154" s="223"/>
      <c r="AC154" s="223"/>
      <c r="AD154" s="223"/>
      <c r="AE154" s="223"/>
      <c r="AF154" s="223"/>
      <c r="AG154" s="223"/>
      <c r="AH154" s="223"/>
      <c r="AI154" s="223"/>
      <c r="AJ154" s="223"/>
      <c r="AK154" s="223"/>
      <c r="AL154" s="223"/>
      <c r="AM154" s="223"/>
      <c r="AN154" s="223"/>
      <c r="AO154" s="223"/>
    </row>
    <row r="155" spans="1:41" x14ac:dyDescent="0.25">
      <c r="A155" s="134"/>
      <c r="B155" s="223"/>
      <c r="C155" s="223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3"/>
      <c r="AA155" s="223"/>
      <c r="AB155" s="223"/>
      <c r="AC155" s="223"/>
      <c r="AD155" s="223"/>
      <c r="AE155" s="223"/>
      <c r="AF155" s="223"/>
      <c r="AG155" s="223"/>
      <c r="AH155" s="223"/>
      <c r="AI155" s="223"/>
      <c r="AJ155" s="223"/>
      <c r="AK155" s="223"/>
      <c r="AL155" s="223"/>
      <c r="AM155" s="223"/>
      <c r="AN155" s="223"/>
      <c r="AO155" s="223"/>
    </row>
    <row r="156" spans="1:41" x14ac:dyDescent="0.25">
      <c r="A156" s="134"/>
      <c r="B156" s="223"/>
      <c r="C156" s="223"/>
      <c r="D156" s="223"/>
      <c r="E156" s="223"/>
      <c r="F156" s="223"/>
      <c r="G156" s="223"/>
      <c r="H156" s="223"/>
      <c r="I156" s="223"/>
      <c r="J156" s="223"/>
      <c r="K156" s="223"/>
      <c r="L156" s="223"/>
      <c r="M156" s="223"/>
      <c r="N156" s="223"/>
      <c r="O156" s="223"/>
      <c r="P156" s="223"/>
      <c r="Q156" s="223"/>
      <c r="R156" s="223"/>
      <c r="S156" s="223"/>
      <c r="T156" s="223"/>
      <c r="U156" s="223"/>
      <c r="V156" s="223"/>
      <c r="W156" s="223"/>
      <c r="X156" s="223"/>
      <c r="Y156" s="223"/>
      <c r="Z156" s="223"/>
      <c r="AA156" s="223"/>
      <c r="AB156" s="223"/>
      <c r="AC156" s="223"/>
      <c r="AD156" s="223"/>
      <c r="AE156" s="223"/>
      <c r="AF156" s="223"/>
      <c r="AG156" s="223"/>
      <c r="AH156" s="223"/>
      <c r="AI156" s="223"/>
      <c r="AJ156" s="223"/>
      <c r="AK156" s="223"/>
      <c r="AL156" s="223"/>
      <c r="AM156" s="223"/>
      <c r="AN156" s="223"/>
      <c r="AO156" s="223"/>
    </row>
    <row r="157" spans="1:41" x14ac:dyDescent="0.25">
      <c r="A157" s="134"/>
      <c r="B157" s="223"/>
      <c r="C157" s="223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  <c r="X157" s="223"/>
      <c r="Y157" s="223"/>
      <c r="Z157" s="223"/>
      <c r="AA157" s="223"/>
      <c r="AB157" s="223"/>
      <c r="AC157" s="223"/>
      <c r="AD157" s="223"/>
      <c r="AE157" s="223"/>
      <c r="AF157" s="223"/>
      <c r="AG157" s="223"/>
      <c r="AH157" s="223"/>
      <c r="AI157" s="223"/>
      <c r="AJ157" s="223"/>
      <c r="AK157" s="223"/>
      <c r="AL157" s="223"/>
      <c r="AM157" s="223"/>
      <c r="AN157" s="223"/>
      <c r="AO157" s="223"/>
    </row>
    <row r="158" spans="1:41" x14ac:dyDescent="0.25">
      <c r="A158" s="134"/>
      <c r="B158" s="223"/>
      <c r="C158" s="223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223"/>
      <c r="AA158" s="223"/>
      <c r="AB158" s="223"/>
      <c r="AC158" s="223"/>
      <c r="AD158" s="223"/>
      <c r="AE158" s="223"/>
      <c r="AF158" s="223"/>
      <c r="AG158" s="223"/>
      <c r="AH158" s="223"/>
      <c r="AI158" s="223"/>
      <c r="AJ158" s="223"/>
      <c r="AK158" s="223"/>
      <c r="AL158" s="223"/>
      <c r="AM158" s="223"/>
      <c r="AN158" s="223"/>
      <c r="AO158" s="223"/>
    </row>
    <row r="159" spans="1:41" x14ac:dyDescent="0.25">
      <c r="A159" s="134"/>
      <c r="B159" s="223"/>
      <c r="C159" s="223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  <c r="X159" s="223"/>
      <c r="Y159" s="223"/>
      <c r="Z159" s="223"/>
      <c r="AA159" s="223"/>
      <c r="AB159" s="223"/>
      <c r="AC159" s="223"/>
      <c r="AD159" s="223"/>
      <c r="AE159" s="223"/>
      <c r="AF159" s="223"/>
      <c r="AG159" s="223"/>
      <c r="AH159" s="223"/>
      <c r="AI159" s="223"/>
      <c r="AJ159" s="223"/>
      <c r="AK159" s="223"/>
      <c r="AL159" s="223"/>
      <c r="AM159" s="223"/>
      <c r="AN159" s="223"/>
      <c r="AO159" s="223"/>
    </row>
    <row r="160" spans="1:41" x14ac:dyDescent="0.25">
      <c r="A160" s="134"/>
      <c r="B160" s="223"/>
      <c r="C160" s="223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  <c r="X160" s="223"/>
      <c r="Y160" s="223"/>
      <c r="Z160" s="223"/>
      <c r="AA160" s="223"/>
      <c r="AB160" s="223"/>
      <c r="AC160" s="223"/>
      <c r="AD160" s="223"/>
      <c r="AE160" s="223"/>
      <c r="AF160" s="223"/>
      <c r="AG160" s="223"/>
      <c r="AH160" s="223"/>
      <c r="AI160" s="223"/>
      <c r="AJ160" s="223"/>
      <c r="AK160" s="223"/>
      <c r="AL160" s="223"/>
      <c r="AM160" s="223"/>
      <c r="AN160" s="223"/>
      <c r="AO160" s="223"/>
    </row>
    <row r="161" spans="1:41" x14ac:dyDescent="0.25">
      <c r="A161" s="134"/>
      <c r="B161" s="223"/>
      <c r="C161" s="223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  <c r="X161" s="223"/>
      <c r="Y161" s="223"/>
      <c r="Z161" s="223"/>
      <c r="AA161" s="223"/>
      <c r="AB161" s="223"/>
      <c r="AC161" s="223"/>
      <c r="AD161" s="223"/>
      <c r="AE161" s="223"/>
      <c r="AF161" s="223"/>
      <c r="AG161" s="223"/>
      <c r="AH161" s="223"/>
      <c r="AI161" s="223"/>
      <c r="AJ161" s="223"/>
      <c r="AK161" s="223"/>
      <c r="AL161" s="223"/>
      <c r="AM161" s="223"/>
      <c r="AN161" s="223"/>
      <c r="AO161" s="223"/>
    </row>
    <row r="162" spans="1:41" x14ac:dyDescent="0.25">
      <c r="A162" s="134"/>
      <c r="B162" s="223"/>
      <c r="C162" s="223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3"/>
      <c r="AA162" s="223"/>
      <c r="AB162" s="223"/>
      <c r="AC162" s="223"/>
      <c r="AD162" s="223"/>
      <c r="AE162" s="223"/>
      <c r="AF162" s="223"/>
      <c r="AG162" s="223"/>
      <c r="AH162" s="223"/>
      <c r="AI162" s="223"/>
      <c r="AJ162" s="223"/>
      <c r="AK162" s="223"/>
      <c r="AL162" s="223"/>
      <c r="AM162" s="223"/>
      <c r="AN162" s="223"/>
      <c r="AO162" s="223"/>
    </row>
    <row r="163" spans="1:41" x14ac:dyDescent="0.25">
      <c r="A163" s="134"/>
      <c r="B163" s="223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223"/>
      <c r="Y163" s="223"/>
      <c r="Z163" s="223"/>
      <c r="AA163" s="223"/>
      <c r="AB163" s="223"/>
      <c r="AC163" s="223"/>
      <c r="AD163" s="223"/>
      <c r="AE163" s="223"/>
      <c r="AF163" s="223"/>
      <c r="AG163" s="223"/>
      <c r="AH163" s="223"/>
      <c r="AI163" s="223"/>
      <c r="AJ163" s="223"/>
      <c r="AK163" s="223"/>
      <c r="AL163" s="223"/>
      <c r="AM163" s="223"/>
      <c r="AN163" s="223"/>
      <c r="AO163" s="223"/>
    </row>
    <row r="164" spans="1:41" x14ac:dyDescent="0.25">
      <c r="A164" s="134"/>
      <c r="B164" s="223"/>
      <c r="C164" s="223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  <c r="X164" s="223"/>
      <c r="Y164" s="223"/>
      <c r="Z164" s="223"/>
      <c r="AA164" s="223"/>
      <c r="AB164" s="223"/>
      <c r="AC164" s="223"/>
      <c r="AD164" s="223"/>
      <c r="AE164" s="223"/>
      <c r="AF164" s="223"/>
      <c r="AG164" s="223"/>
      <c r="AH164" s="223"/>
      <c r="AI164" s="223"/>
      <c r="AJ164" s="223"/>
      <c r="AK164" s="223"/>
      <c r="AL164" s="223"/>
      <c r="AM164" s="223"/>
      <c r="AN164" s="223"/>
      <c r="AO164" s="223"/>
    </row>
    <row r="165" spans="1:41" x14ac:dyDescent="0.25">
      <c r="A165" s="134"/>
      <c r="B165" s="223"/>
      <c r="C165" s="223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  <c r="X165" s="223"/>
      <c r="Y165" s="223"/>
      <c r="Z165" s="223"/>
      <c r="AA165" s="223"/>
      <c r="AB165" s="223"/>
      <c r="AC165" s="223"/>
      <c r="AD165" s="223"/>
      <c r="AE165" s="223"/>
      <c r="AF165" s="223"/>
      <c r="AG165" s="223"/>
      <c r="AH165" s="223"/>
      <c r="AI165" s="223"/>
      <c r="AJ165" s="223"/>
      <c r="AK165" s="223"/>
      <c r="AL165" s="223"/>
      <c r="AM165" s="223"/>
      <c r="AN165" s="223"/>
      <c r="AO165" s="223"/>
    </row>
    <row r="166" spans="1:41" x14ac:dyDescent="0.25">
      <c r="A166" s="134"/>
      <c r="B166" s="223"/>
      <c r="C166" s="223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  <c r="S166" s="223"/>
      <c r="T166" s="223"/>
      <c r="U166" s="223"/>
      <c r="V166" s="223"/>
      <c r="W166" s="223"/>
      <c r="X166" s="223"/>
      <c r="Y166" s="223"/>
      <c r="Z166" s="223"/>
      <c r="AA166" s="223"/>
      <c r="AB166" s="223"/>
      <c r="AC166" s="223"/>
      <c r="AD166" s="223"/>
      <c r="AE166" s="223"/>
      <c r="AF166" s="223"/>
      <c r="AG166" s="223"/>
      <c r="AH166" s="223"/>
      <c r="AI166" s="223"/>
      <c r="AJ166" s="223"/>
      <c r="AK166" s="223"/>
      <c r="AL166" s="223"/>
      <c r="AM166" s="223"/>
      <c r="AN166" s="223"/>
      <c r="AO166" s="223"/>
    </row>
    <row r="167" spans="1:41" x14ac:dyDescent="0.25">
      <c r="A167" s="134"/>
      <c r="B167" s="223"/>
      <c r="C167" s="223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223"/>
      <c r="Y167" s="223"/>
      <c r="Z167" s="223"/>
      <c r="AA167" s="223"/>
      <c r="AB167" s="223"/>
      <c r="AC167" s="223"/>
      <c r="AD167" s="223"/>
      <c r="AE167" s="223"/>
      <c r="AF167" s="223"/>
      <c r="AG167" s="223"/>
      <c r="AH167" s="223"/>
      <c r="AI167" s="223"/>
      <c r="AJ167" s="223"/>
      <c r="AK167" s="223"/>
      <c r="AL167" s="223"/>
      <c r="AM167" s="223"/>
      <c r="AN167" s="223"/>
      <c r="AO167" s="223"/>
    </row>
    <row r="168" spans="1:41" x14ac:dyDescent="0.25">
      <c r="A168" s="134"/>
      <c r="B168" s="223"/>
      <c r="C168" s="223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223"/>
      <c r="Y168" s="223"/>
      <c r="Z168" s="223"/>
      <c r="AA168" s="223"/>
      <c r="AB168" s="223"/>
      <c r="AC168" s="223"/>
      <c r="AD168" s="223"/>
      <c r="AE168" s="223"/>
      <c r="AF168" s="223"/>
      <c r="AG168" s="223"/>
      <c r="AH168" s="223"/>
      <c r="AI168" s="223"/>
      <c r="AJ168" s="223"/>
      <c r="AK168" s="223"/>
      <c r="AL168" s="223"/>
      <c r="AM168" s="223"/>
      <c r="AN168" s="223"/>
      <c r="AO168" s="223"/>
    </row>
    <row r="169" spans="1:41" x14ac:dyDescent="0.25">
      <c r="A169" s="134"/>
      <c r="B169" s="223"/>
      <c r="C169" s="223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  <c r="AA169" s="223"/>
      <c r="AB169" s="223"/>
      <c r="AC169" s="223"/>
      <c r="AD169" s="223"/>
      <c r="AE169" s="223"/>
      <c r="AF169" s="223"/>
      <c r="AG169" s="223"/>
      <c r="AH169" s="223"/>
      <c r="AI169" s="223"/>
      <c r="AJ169" s="223"/>
      <c r="AK169" s="223"/>
      <c r="AL169" s="223"/>
      <c r="AM169" s="223"/>
      <c r="AN169" s="223"/>
      <c r="AO169" s="223"/>
    </row>
    <row r="170" spans="1:41" x14ac:dyDescent="0.25">
      <c r="A170" s="134"/>
      <c r="B170" s="223"/>
      <c r="C170" s="223"/>
      <c r="D170" s="223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23"/>
      <c r="V170" s="223"/>
      <c r="W170" s="223"/>
      <c r="X170" s="223"/>
      <c r="Y170" s="223"/>
      <c r="Z170" s="223"/>
      <c r="AA170" s="223"/>
      <c r="AB170" s="223"/>
      <c r="AC170" s="223"/>
      <c r="AD170" s="165"/>
    </row>
    <row r="171" spans="1:41" x14ac:dyDescent="0.25">
      <c r="A171" s="134"/>
      <c r="B171" s="223"/>
      <c r="C171" s="223"/>
      <c r="D171" s="223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23"/>
      <c r="V171" s="223"/>
      <c r="W171" s="223"/>
      <c r="X171" s="223"/>
      <c r="Y171" s="223"/>
      <c r="Z171" s="223"/>
      <c r="AA171" s="223"/>
      <c r="AB171" s="223"/>
      <c r="AC171" s="223"/>
      <c r="AD171" s="165"/>
    </row>
    <row r="172" spans="1:41" x14ac:dyDescent="0.25">
      <c r="A172" s="134"/>
      <c r="B172" s="223"/>
      <c r="C172" s="223"/>
      <c r="D172" s="223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223"/>
      <c r="R172" s="223"/>
      <c r="S172" s="223"/>
      <c r="T172" s="223"/>
      <c r="U172" s="223"/>
      <c r="V172" s="223"/>
      <c r="W172" s="223"/>
      <c r="X172" s="223"/>
      <c r="Y172" s="223"/>
      <c r="Z172" s="223"/>
      <c r="AA172" s="223"/>
      <c r="AB172" s="223"/>
      <c r="AC172" s="165"/>
    </row>
    <row r="173" spans="1:41" x14ac:dyDescent="0.25">
      <c r="A173" s="166"/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8"/>
    </row>
  </sheetData>
  <mergeCells count="169">
    <mergeCell ref="BQ5:BQ6"/>
    <mergeCell ref="BR5:BR6"/>
    <mergeCell ref="BO5:BO6"/>
    <mergeCell ref="BH5:BH6"/>
    <mergeCell ref="BF5:BF6"/>
    <mergeCell ref="BG5:BG6"/>
    <mergeCell ref="AJ5:AJ6"/>
    <mergeCell ref="AK5:AK6"/>
    <mergeCell ref="AM5:AM6"/>
    <mergeCell ref="AN5:AN6"/>
    <mergeCell ref="AL5:AL6"/>
    <mergeCell ref="AO5:AO6"/>
    <mergeCell ref="BI5:BI6"/>
    <mergeCell ref="BN5:BN6"/>
    <mergeCell ref="BP5:BP6"/>
    <mergeCell ref="BM5:BM6"/>
    <mergeCell ref="BJ5:BJ6"/>
    <mergeCell ref="BK5:BK6"/>
    <mergeCell ref="BL5:BL6"/>
    <mergeCell ref="AZ5:AZ6"/>
    <mergeCell ref="BA5:BA6"/>
    <mergeCell ref="BB5:BB6"/>
    <mergeCell ref="BC5:BC6"/>
    <mergeCell ref="AQ5:AQ6"/>
    <mergeCell ref="BD5:BD6"/>
    <mergeCell ref="BE5:BE6"/>
    <mergeCell ref="E144:H144"/>
    <mergeCell ref="I5:J5"/>
    <mergeCell ref="K5:L5"/>
    <mergeCell ref="Q5:R5"/>
    <mergeCell ref="E138:H138"/>
    <mergeCell ref="E139:H139"/>
    <mergeCell ref="E140:H140"/>
    <mergeCell ref="E141:H141"/>
    <mergeCell ref="E142:H142"/>
    <mergeCell ref="E143:H143"/>
    <mergeCell ref="E131:H131"/>
    <mergeCell ref="E132:H132"/>
    <mergeCell ref="E134:H134"/>
    <mergeCell ref="E135:H135"/>
    <mergeCell ref="E136:H136"/>
    <mergeCell ref="E137:H137"/>
    <mergeCell ref="E123:H123"/>
    <mergeCell ref="E126:H126"/>
    <mergeCell ref="E127:H127"/>
    <mergeCell ref="E128:H128"/>
    <mergeCell ref="E129:H129"/>
    <mergeCell ref="E130:H130"/>
    <mergeCell ref="B107:F107"/>
    <mergeCell ref="B40:F40"/>
    <mergeCell ref="AE109:AE110"/>
    <mergeCell ref="AB64:AB65"/>
    <mergeCell ref="AC64:AC65"/>
    <mergeCell ref="AD64:AD65"/>
    <mergeCell ref="B62:F62"/>
    <mergeCell ref="AF109:AF110"/>
    <mergeCell ref="AG109:AG110"/>
    <mergeCell ref="G109:G110"/>
    <mergeCell ref="H109:H110"/>
    <mergeCell ref="O109:P109"/>
    <mergeCell ref="Y109:Y110"/>
    <mergeCell ref="Z109:Z110"/>
    <mergeCell ref="AA109:AA110"/>
    <mergeCell ref="AF64:AF65"/>
    <mergeCell ref="AG64:AG65"/>
    <mergeCell ref="A109:A110"/>
    <mergeCell ref="B109:B110"/>
    <mergeCell ref="C109:C110"/>
    <mergeCell ref="D109:D110"/>
    <mergeCell ref="E109:E110"/>
    <mergeCell ref="F109:F110"/>
    <mergeCell ref="AB109:AB110"/>
    <mergeCell ref="AC109:AC110"/>
    <mergeCell ref="AD109:AD110"/>
    <mergeCell ref="A64:A65"/>
    <mergeCell ref="B64:B65"/>
    <mergeCell ref="C64:C65"/>
    <mergeCell ref="D64:D65"/>
    <mergeCell ref="E64:E65"/>
    <mergeCell ref="F64:F65"/>
    <mergeCell ref="G64:G65"/>
    <mergeCell ref="H64:H65"/>
    <mergeCell ref="AE64:AE65"/>
    <mergeCell ref="M64:N64"/>
    <mergeCell ref="O64:P64"/>
    <mergeCell ref="W64:X64"/>
    <mergeCell ref="Y64:Y65"/>
    <mergeCell ref="Z64:Z65"/>
    <mergeCell ref="AA64:AA65"/>
    <mergeCell ref="AP42:AP43"/>
    <mergeCell ref="AB42:AB43"/>
    <mergeCell ref="AC42:AC43"/>
    <mergeCell ref="AD42:AD43"/>
    <mergeCell ref="AE42:AE43"/>
    <mergeCell ref="AF42:AF43"/>
    <mergeCell ref="AG42:AG43"/>
    <mergeCell ref="T42:T43"/>
    <mergeCell ref="A42:A43"/>
    <mergeCell ref="B42:B43"/>
    <mergeCell ref="C42:C43"/>
    <mergeCell ref="D42:D43"/>
    <mergeCell ref="E42:E43"/>
    <mergeCell ref="F42:F43"/>
    <mergeCell ref="Q42:Q43"/>
    <mergeCell ref="R42:R43"/>
    <mergeCell ref="S42:S43"/>
    <mergeCell ref="AH5:AH6"/>
    <mergeCell ref="AI5:AI6"/>
    <mergeCell ref="G42:G43"/>
    <mergeCell ref="H42:H43"/>
    <mergeCell ref="O42:P42"/>
    <mergeCell ref="Y42:Y43"/>
    <mergeCell ref="Z42:Z43"/>
    <mergeCell ref="AA42:AA43"/>
    <mergeCell ref="Y23:Y24"/>
    <mergeCell ref="Q23:Q24"/>
    <mergeCell ref="R23:R24"/>
    <mergeCell ref="S23:S24"/>
    <mergeCell ref="T23:T24"/>
    <mergeCell ref="U23:U24"/>
    <mergeCell ref="V23:V24"/>
    <mergeCell ref="W23:W24"/>
    <mergeCell ref="X23:X24"/>
    <mergeCell ref="U5:V5"/>
    <mergeCell ref="A23:A24"/>
    <mergeCell ref="B23:B24"/>
    <mergeCell ref="E23:E24"/>
    <mergeCell ref="AU5:AU6"/>
    <mergeCell ref="AV5:AV6"/>
    <mergeCell ref="AX5:AX6"/>
    <mergeCell ref="AY5:AY6"/>
    <mergeCell ref="AF5:AF6"/>
    <mergeCell ref="AG5:AG6"/>
    <mergeCell ref="AP5:AP6"/>
    <mergeCell ref="AR5:AR6"/>
    <mergeCell ref="AS5:AS6"/>
    <mergeCell ref="AT5:AT6"/>
    <mergeCell ref="Z5:Z6"/>
    <mergeCell ref="AA5:AA6"/>
    <mergeCell ref="AE5:AE6"/>
    <mergeCell ref="G5:G6"/>
    <mergeCell ref="H5:H6"/>
    <mergeCell ref="M5:N5"/>
    <mergeCell ref="O5:P5"/>
    <mergeCell ref="F23:F24"/>
    <mergeCell ref="G23:G24"/>
    <mergeCell ref="H23:H24"/>
    <mergeCell ref="B21:F21"/>
    <mergeCell ref="A5:A6"/>
    <mergeCell ref="B5:B6"/>
    <mergeCell ref="C5:C6"/>
    <mergeCell ref="D5:D6"/>
    <mergeCell ref="E5:E6"/>
    <mergeCell ref="F5:F6"/>
    <mergeCell ref="AB5:AB6"/>
    <mergeCell ref="AC5:AC6"/>
    <mergeCell ref="AD5:AD6"/>
    <mergeCell ref="S5:T5"/>
    <mergeCell ref="W5:X5"/>
    <mergeCell ref="Y5:Y6"/>
    <mergeCell ref="C23:D23"/>
    <mergeCell ref="I23:I24"/>
    <mergeCell ref="J23:J24"/>
    <mergeCell ref="K23:K24"/>
    <mergeCell ref="L23:L24"/>
    <mergeCell ref="M23:M24"/>
    <mergeCell ref="N23:N24"/>
    <mergeCell ref="O23:O24"/>
    <mergeCell ref="P23:P24"/>
  </mergeCells>
  <pageMargins left="0.17" right="0" top="0.74803149606299213" bottom="0.74803149606299213" header="0.31496062992125984" footer="0.31496062992125984"/>
  <pageSetup paperSize="9" scale="91" orientation="landscape" horizontalDpi="180" verticalDpi="18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20"/>
  <sheetViews>
    <sheetView topLeftCell="N4" zoomScaleNormal="100" workbookViewId="0">
      <selection activeCell="L3" sqref="L3"/>
    </sheetView>
  </sheetViews>
  <sheetFormatPr defaultRowHeight="15" x14ac:dyDescent="0.25"/>
  <cols>
    <col min="1" max="1" width="5.140625" customWidth="1"/>
    <col min="2" max="2" width="9.7109375" customWidth="1"/>
    <col min="3" max="3" width="25.28515625" customWidth="1"/>
    <col min="4" max="4" width="8" customWidth="1"/>
    <col min="5" max="5" width="6.85546875" customWidth="1"/>
    <col min="6" max="6" width="7.7109375" customWidth="1"/>
    <col min="7" max="7" width="7" customWidth="1"/>
    <col min="8" max="8" width="8.85546875" customWidth="1"/>
    <col min="9" max="9" width="9.140625" customWidth="1"/>
    <col min="10" max="10" width="11.42578125" customWidth="1"/>
    <col min="11" max="11" width="11.140625" customWidth="1"/>
    <col min="12" max="12" width="12" customWidth="1"/>
    <col min="13" max="13" width="13.28515625" customWidth="1"/>
    <col min="14" max="14" width="11.42578125" customWidth="1"/>
    <col min="15" max="15" width="12" customWidth="1"/>
    <col min="16" max="16" width="10.28515625" customWidth="1"/>
    <col min="17" max="17" width="10.5703125" customWidth="1"/>
    <col min="18" max="18" width="10.42578125" customWidth="1"/>
    <col min="19" max="19" width="11" customWidth="1"/>
    <col min="20" max="20" width="10.42578125" customWidth="1"/>
    <col min="21" max="24" width="9.140625" customWidth="1"/>
    <col min="25" max="25" width="10" customWidth="1"/>
    <col min="26" max="26" width="9.140625" customWidth="1"/>
    <col min="27" max="27" width="9.7109375" customWidth="1"/>
    <col min="28" max="29" width="9.140625" customWidth="1"/>
    <col min="30" max="30" width="10.5703125" customWidth="1"/>
    <col min="31" max="33" width="9.140625" customWidth="1"/>
    <col min="34" max="34" width="10" customWidth="1"/>
    <col min="35" max="35" width="10.42578125" customWidth="1"/>
  </cols>
  <sheetData>
    <row r="2" spans="1:35" ht="15.75" x14ac:dyDescent="0.25">
      <c r="A2" s="10"/>
      <c r="B2" s="10"/>
      <c r="C2" s="11" t="s">
        <v>644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Z2" s="250"/>
      <c r="AA2" s="250"/>
      <c r="AB2" s="250"/>
    </row>
    <row r="3" spans="1:35" ht="15.75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Z3" s="250"/>
      <c r="AA3" s="250"/>
      <c r="AB3" s="250"/>
    </row>
    <row r="4" spans="1:35" ht="15.75" x14ac:dyDescent="0.2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Z4" s="250"/>
      <c r="AA4" s="250"/>
      <c r="AB4" s="250"/>
    </row>
    <row r="5" spans="1:35" ht="15.75" x14ac:dyDescent="0.2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Z5" s="250"/>
      <c r="AA5" s="250"/>
      <c r="AB5" s="250"/>
    </row>
    <row r="6" spans="1:35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Z6" s="167"/>
      <c r="AA6" s="167"/>
      <c r="AB6" s="167"/>
    </row>
    <row r="7" spans="1:35" ht="42.75" customHeight="1" x14ac:dyDescent="0.25">
      <c r="A7" s="2017" t="s">
        <v>0</v>
      </c>
      <c r="B7" s="2020"/>
      <c r="C7" s="2017" t="s">
        <v>184</v>
      </c>
      <c r="D7" s="2017" t="s">
        <v>54</v>
      </c>
      <c r="E7" s="2017" t="s">
        <v>55</v>
      </c>
      <c r="F7" s="2017" t="s">
        <v>56</v>
      </c>
      <c r="G7" s="2017" t="s">
        <v>57</v>
      </c>
      <c r="H7" s="2017" t="s">
        <v>6</v>
      </c>
      <c r="I7" s="2020" t="s">
        <v>282</v>
      </c>
      <c r="J7" s="2097" t="s">
        <v>593</v>
      </c>
      <c r="K7" s="2060"/>
      <c r="L7" s="2249" t="s">
        <v>310</v>
      </c>
      <c r="M7" s="2250"/>
      <c r="N7" s="2017" t="s">
        <v>598</v>
      </c>
      <c r="O7" s="2017"/>
      <c r="P7" s="1987" t="s">
        <v>457</v>
      </c>
      <c r="Q7" s="2009" t="s">
        <v>370</v>
      </c>
      <c r="R7" s="1987" t="s">
        <v>333</v>
      </c>
      <c r="S7" s="2102" t="s">
        <v>542</v>
      </c>
      <c r="T7" s="2003" t="s">
        <v>578</v>
      </c>
      <c r="U7" s="2003" t="s">
        <v>10</v>
      </c>
      <c r="V7" s="2003" t="s">
        <v>476</v>
      </c>
      <c r="W7" s="2003" t="s">
        <v>309</v>
      </c>
      <c r="X7" s="2003" t="s">
        <v>319</v>
      </c>
      <c r="Y7" s="2194" t="s">
        <v>461</v>
      </c>
      <c r="Z7" s="2107" t="s">
        <v>338</v>
      </c>
      <c r="AA7" s="2009" t="s">
        <v>321</v>
      </c>
      <c r="AB7" s="2005" t="s">
        <v>569</v>
      </c>
      <c r="AC7" s="1987" t="s">
        <v>369</v>
      </c>
      <c r="AD7" s="1987" t="s">
        <v>175</v>
      </c>
      <c r="AE7" s="2005" t="s">
        <v>610</v>
      </c>
      <c r="AF7" s="2005" t="s">
        <v>611</v>
      </c>
      <c r="AG7" s="2251" t="s">
        <v>182</v>
      </c>
      <c r="AH7" s="2302" t="s">
        <v>544</v>
      </c>
      <c r="AI7" s="2257" t="s">
        <v>566</v>
      </c>
    </row>
    <row r="8" spans="1:35" ht="56.25" customHeight="1" x14ac:dyDescent="0.25">
      <c r="A8" s="2017"/>
      <c r="B8" s="2021"/>
      <c r="C8" s="2017"/>
      <c r="D8" s="2017"/>
      <c r="E8" s="2017"/>
      <c r="F8" s="2017"/>
      <c r="G8" s="2017"/>
      <c r="H8" s="2017"/>
      <c r="I8" s="2021"/>
      <c r="J8" s="150" t="s">
        <v>15</v>
      </c>
      <c r="K8" s="1273" t="s">
        <v>16</v>
      </c>
      <c r="L8" s="51" t="s">
        <v>15</v>
      </c>
      <c r="M8" s="1261" t="s">
        <v>16</v>
      </c>
      <c r="N8" s="150" t="s">
        <v>15</v>
      </c>
      <c r="O8" s="1273" t="s">
        <v>16</v>
      </c>
      <c r="P8" s="1988"/>
      <c r="Q8" s="2009"/>
      <c r="R8" s="1988"/>
      <c r="S8" s="2102"/>
      <c r="T8" s="2004"/>
      <c r="U8" s="2002"/>
      <c r="V8" s="2004"/>
      <c r="W8" s="2004"/>
      <c r="X8" s="2004"/>
      <c r="Y8" s="2004"/>
      <c r="Z8" s="2107"/>
      <c r="AA8" s="2009"/>
      <c r="AB8" s="2099"/>
      <c r="AC8" s="2002"/>
      <c r="AD8" s="1988"/>
      <c r="AE8" s="2006"/>
      <c r="AF8" s="2006"/>
      <c r="AG8" s="2252"/>
      <c r="AH8" s="2303"/>
      <c r="AI8" s="2258"/>
    </row>
    <row r="9" spans="1:35" x14ac:dyDescent="0.25">
      <c r="A9" s="13">
        <v>1</v>
      </c>
      <c r="B9" s="1294">
        <v>42401</v>
      </c>
      <c r="C9" s="42" t="s">
        <v>228</v>
      </c>
      <c r="D9" s="705">
        <v>1967</v>
      </c>
      <c r="E9" s="705">
        <v>2</v>
      </c>
      <c r="F9" s="705">
        <v>12</v>
      </c>
      <c r="G9" s="705">
        <v>32</v>
      </c>
      <c r="H9" s="707">
        <v>506.67</v>
      </c>
      <c r="I9" s="707">
        <v>24.4</v>
      </c>
      <c r="J9" s="707">
        <v>606.61</v>
      </c>
      <c r="K9" s="707">
        <v>512.67999999999995</v>
      </c>
      <c r="L9" s="1092">
        <v>27232.46</v>
      </c>
      <c r="M9" s="1092">
        <v>22007.68</v>
      </c>
      <c r="N9" s="1092">
        <f>J9+L9</f>
        <v>27839.07</v>
      </c>
      <c r="O9" s="1092">
        <f>K9+M9</f>
        <v>22520.36</v>
      </c>
      <c r="P9" s="655">
        <f>Q9+R9+S9+T9+U9+V9+W9+X9+Y9+Z9+AA9+AB9+AC9</f>
        <v>30106.526267832669</v>
      </c>
      <c r="Q9" s="656">
        <v>339.88</v>
      </c>
      <c r="R9" s="660"/>
      <c r="S9" s="660">
        <v>916.86</v>
      </c>
      <c r="T9" s="660">
        <f>2377.16/4685.84*H9</f>
        <v>257.03729901148995</v>
      </c>
      <c r="U9" s="660"/>
      <c r="V9" s="660"/>
      <c r="W9" s="660"/>
      <c r="X9" s="659"/>
      <c r="Y9" s="1093">
        <f>84464.01/256032.92*L9</f>
        <v>8983.8555673411047</v>
      </c>
      <c r="Z9" s="1122">
        <f>10043.04/4685.84*H9</f>
        <v>1085.9327413654757</v>
      </c>
      <c r="AA9" s="1122">
        <f>96847.71/4685.84*H9</f>
        <v>10471.938697373364</v>
      </c>
      <c r="AB9" s="1122">
        <f>AA9*0.202</f>
        <v>2115.3316168694196</v>
      </c>
      <c r="AC9" s="1122">
        <f>54895.09/4685.84*H9</f>
        <v>5935.690345871818</v>
      </c>
      <c r="AD9" s="1095">
        <f>N9-P9</f>
        <v>-2267.4562678326693</v>
      </c>
      <c r="AE9" s="524">
        <f>M9/L9*100</f>
        <v>80.814146059518677</v>
      </c>
      <c r="AF9" s="524">
        <f>K9/J9*100</f>
        <v>84.5155866207283</v>
      </c>
      <c r="AG9" s="1095">
        <f>P9/H9/6</f>
        <v>9.9033974341723638</v>
      </c>
      <c r="AH9" s="1129">
        <v>8.94</v>
      </c>
      <c r="AI9" s="47">
        <f>N9-O9</f>
        <v>5318.7099999999991</v>
      </c>
    </row>
    <row r="10" spans="1:35" x14ac:dyDescent="0.25">
      <c r="A10" s="13">
        <v>2</v>
      </c>
      <c r="B10" s="1294">
        <v>42767</v>
      </c>
      <c r="C10" s="42" t="s">
        <v>229</v>
      </c>
      <c r="D10" s="705">
        <v>1967</v>
      </c>
      <c r="E10" s="705">
        <v>2</v>
      </c>
      <c r="F10" s="705">
        <v>12</v>
      </c>
      <c r="G10" s="705">
        <v>38</v>
      </c>
      <c r="H10" s="707">
        <v>538.85</v>
      </c>
      <c r="I10" s="707">
        <v>24.4</v>
      </c>
      <c r="J10" s="707">
        <v>572.28</v>
      </c>
      <c r="K10" s="707">
        <v>454.05</v>
      </c>
      <c r="L10" s="1092">
        <v>27242.16</v>
      </c>
      <c r="M10" s="1092">
        <v>22931.49</v>
      </c>
      <c r="N10" s="1092">
        <f t="shared" ref="N10:O16" si="0">J10+L10</f>
        <v>27814.44</v>
      </c>
      <c r="O10" s="1092">
        <f t="shared" si="0"/>
        <v>23385.54</v>
      </c>
      <c r="P10" s="655">
        <f t="shared" ref="P10:P16" si="1">Q10+R10+S10+T10+U10+V10+W10+X10+Y10+Z10+AA10+AB10+AC10</f>
        <v>24023.433055795107</v>
      </c>
      <c r="Q10" s="656">
        <v>69.86</v>
      </c>
      <c r="R10" s="660"/>
      <c r="S10" s="660">
        <v>916.86</v>
      </c>
      <c r="T10" s="660">
        <f t="shared" ref="T10:T16" si="2">2377.16/4685.84*H10</f>
        <v>273.36244216618582</v>
      </c>
      <c r="U10" s="660"/>
      <c r="V10" s="660"/>
      <c r="W10" s="660"/>
      <c r="X10" s="659"/>
      <c r="Y10" s="1093">
        <f t="shared" ref="Y10:Y16" si="3">84464.01/256032.92*L10</f>
        <v>8987.055549972245</v>
      </c>
      <c r="Z10" s="1122">
        <f t="shared" ref="Z10:Z16" si="4">10043.04/4685.84*H10</f>
        <v>1154.9033052771756</v>
      </c>
      <c r="AA10" s="1122">
        <f t="shared" ref="AA10:AA16" si="5">45641.05/4685.84*H10</f>
        <v>5248.5103615360322</v>
      </c>
      <c r="AB10" s="1122">
        <f t="shared" ref="AB10:AB16" si="6">AA10*0.202</f>
        <v>1060.1990930302786</v>
      </c>
      <c r="AC10" s="1122">
        <f t="shared" ref="AC10:AC16" si="7">54895.09/4685.84*H10</f>
        <v>6312.6823038131906</v>
      </c>
      <c r="AD10" s="1095">
        <f t="shared" ref="AD10:AD16" si="8">N10-P10</f>
        <v>3791.0069442048916</v>
      </c>
      <c r="AE10" s="524">
        <f t="shared" ref="AE10:AE17" si="9">M10/L10*100</f>
        <v>84.176474993172363</v>
      </c>
      <c r="AF10" s="524">
        <f t="shared" ref="AF10:AF17" si="10">K10/J10*100</f>
        <v>79.340532606416446</v>
      </c>
      <c r="AG10" s="1095">
        <f t="shared" ref="AG10:AG17" si="11">P10/H10/6</f>
        <v>7.4304639682642373</v>
      </c>
      <c r="AH10" s="1129">
        <v>8.94</v>
      </c>
      <c r="AI10" s="47">
        <f t="shared" ref="AI10:AI17" si="12">N10-O10</f>
        <v>4428.8999999999978</v>
      </c>
    </row>
    <row r="11" spans="1:35" x14ac:dyDescent="0.25">
      <c r="A11" s="13">
        <v>3</v>
      </c>
      <c r="B11" s="1295" t="s">
        <v>647</v>
      </c>
      <c r="C11" s="45" t="s">
        <v>231</v>
      </c>
      <c r="D11" s="690">
        <v>1990</v>
      </c>
      <c r="E11" s="690">
        <v>1</v>
      </c>
      <c r="F11" s="690">
        <v>1</v>
      </c>
      <c r="G11" s="690">
        <v>6</v>
      </c>
      <c r="H11" s="707">
        <v>63.7</v>
      </c>
      <c r="I11" s="707"/>
      <c r="J11" s="707">
        <v>0</v>
      </c>
      <c r="K11" s="707">
        <v>0</v>
      </c>
      <c r="L11" s="1092">
        <v>1903.38</v>
      </c>
      <c r="M11" s="1092">
        <v>1586.17</v>
      </c>
      <c r="N11" s="1092">
        <f t="shared" si="0"/>
        <v>1903.38</v>
      </c>
      <c r="O11" s="1092">
        <f t="shared" si="0"/>
        <v>1586.17</v>
      </c>
      <c r="P11" s="655">
        <f t="shared" si="1"/>
        <v>2288.792046394934</v>
      </c>
      <c r="Q11" s="662"/>
      <c r="R11" s="660"/>
      <c r="S11" s="1096"/>
      <c r="T11" s="660">
        <f t="shared" si="2"/>
        <v>32.315463609512918</v>
      </c>
      <c r="U11" s="1096"/>
      <c r="V11" s="1096"/>
      <c r="W11" s="1096"/>
      <c r="X11" s="1097"/>
      <c r="Y11" s="1093">
        <f t="shared" si="3"/>
        <v>627.91576705761122</v>
      </c>
      <c r="Z11" s="1122">
        <f t="shared" si="4"/>
        <v>136.52656684820653</v>
      </c>
      <c r="AA11" s="1122">
        <f t="shared" si="5"/>
        <v>620.45116457241397</v>
      </c>
      <c r="AB11" s="1122">
        <f t="shared" si="6"/>
        <v>125.33113524362763</v>
      </c>
      <c r="AC11" s="1122">
        <f t="shared" si="7"/>
        <v>746.25194906356171</v>
      </c>
      <c r="AD11" s="1095">
        <f t="shared" si="8"/>
        <v>-385.4120463949339</v>
      </c>
      <c r="AE11" s="524">
        <f t="shared" si="9"/>
        <v>83.334384095661406</v>
      </c>
      <c r="AF11" s="524">
        <v>0</v>
      </c>
      <c r="AG11" s="1095">
        <f t="shared" si="11"/>
        <v>5.988466892713066</v>
      </c>
      <c r="AH11" s="1129">
        <v>4.9800000000000004</v>
      </c>
      <c r="AI11" s="47">
        <f t="shared" si="12"/>
        <v>317.21000000000004</v>
      </c>
    </row>
    <row r="12" spans="1:35" x14ac:dyDescent="0.25">
      <c r="A12" s="13">
        <v>4</v>
      </c>
      <c r="B12" s="1295" t="s">
        <v>648</v>
      </c>
      <c r="C12" s="45" t="s">
        <v>230</v>
      </c>
      <c r="D12" s="690">
        <v>1967</v>
      </c>
      <c r="E12" s="690">
        <v>2</v>
      </c>
      <c r="F12" s="690">
        <v>2</v>
      </c>
      <c r="G12" s="690">
        <v>12</v>
      </c>
      <c r="H12" s="707">
        <v>530.91999999999996</v>
      </c>
      <c r="I12" s="707"/>
      <c r="J12" s="707">
        <v>598.76</v>
      </c>
      <c r="K12" s="707">
        <v>341.5</v>
      </c>
      <c r="L12" s="1092">
        <v>40315.440000000002</v>
      </c>
      <c r="M12" s="1092">
        <v>20954.400000000001</v>
      </c>
      <c r="N12" s="1092">
        <f t="shared" si="0"/>
        <v>40914.200000000004</v>
      </c>
      <c r="O12" s="1092">
        <f t="shared" si="0"/>
        <v>21295.9</v>
      </c>
      <c r="P12" s="655">
        <f t="shared" si="1"/>
        <v>28482.562136840628</v>
      </c>
      <c r="Q12" s="662">
        <v>49.98</v>
      </c>
      <c r="R12" s="660"/>
      <c r="S12" s="1096">
        <v>1289.82</v>
      </c>
      <c r="T12" s="660">
        <f t="shared" si="2"/>
        <v>269.33949669643005</v>
      </c>
      <c r="U12" s="1096"/>
      <c r="V12" s="1096"/>
      <c r="W12" s="1096"/>
      <c r="X12" s="1097"/>
      <c r="Y12" s="1093">
        <f t="shared" si="3"/>
        <v>13299.866780078124</v>
      </c>
      <c r="Z12" s="1122">
        <f t="shared" si="4"/>
        <v>1137.907140832807</v>
      </c>
      <c r="AA12" s="1122">
        <f t="shared" si="5"/>
        <v>5171.2705226810986</v>
      </c>
      <c r="AB12" s="1122">
        <f t="shared" si="6"/>
        <v>1044.5966455815819</v>
      </c>
      <c r="AC12" s="1122">
        <f t="shared" si="7"/>
        <v>6219.7815509705824</v>
      </c>
      <c r="AD12" s="1095">
        <f t="shared" si="8"/>
        <v>12431.637863159376</v>
      </c>
      <c r="AE12" s="524">
        <f t="shared" si="9"/>
        <v>51.976116346491565</v>
      </c>
      <c r="AF12" s="524">
        <f t="shared" si="10"/>
        <v>57.034538045293601</v>
      </c>
      <c r="AG12" s="1095">
        <f t="shared" si="11"/>
        <v>8.9412598686684213</v>
      </c>
      <c r="AH12" s="1129">
        <v>8.94</v>
      </c>
      <c r="AI12" s="47">
        <f t="shared" si="12"/>
        <v>19618.300000000003</v>
      </c>
    </row>
    <row r="13" spans="1:35" x14ac:dyDescent="0.25">
      <c r="A13" s="571">
        <v>5</v>
      </c>
      <c r="B13" s="1295" t="s">
        <v>647</v>
      </c>
      <c r="C13" s="45" t="s">
        <v>232</v>
      </c>
      <c r="D13" s="690">
        <v>1990</v>
      </c>
      <c r="E13" s="690">
        <v>1</v>
      </c>
      <c r="F13" s="690">
        <v>1</v>
      </c>
      <c r="G13" s="690">
        <v>9</v>
      </c>
      <c r="H13" s="707">
        <v>72.5</v>
      </c>
      <c r="I13" s="707">
        <v>24.08</v>
      </c>
      <c r="J13" s="707">
        <v>0</v>
      </c>
      <c r="K13" s="707">
        <v>0</v>
      </c>
      <c r="L13" s="1092">
        <v>2166.3000000000002</v>
      </c>
      <c r="M13" s="1092">
        <v>1840.31</v>
      </c>
      <c r="N13" s="1092">
        <f t="shared" si="0"/>
        <v>2166.3000000000002</v>
      </c>
      <c r="O13" s="1092">
        <f t="shared" si="0"/>
        <v>1840.31</v>
      </c>
      <c r="P13" s="655">
        <f t="shared" si="1"/>
        <v>2604.9740870664018</v>
      </c>
      <c r="Q13" s="662"/>
      <c r="R13" s="660"/>
      <c r="S13" s="1096"/>
      <c r="T13" s="660">
        <f t="shared" si="2"/>
        <v>36.779766274563364</v>
      </c>
      <c r="U13" s="1096"/>
      <c r="V13" s="1096"/>
      <c r="W13" s="1096"/>
      <c r="X13" s="1097"/>
      <c r="Y13" s="1093">
        <f t="shared" si="3"/>
        <v>714.65179111732971</v>
      </c>
      <c r="Z13" s="1122">
        <f t="shared" si="4"/>
        <v>155.3873798507845</v>
      </c>
      <c r="AA13" s="1122">
        <f t="shared" si="5"/>
        <v>706.1649832260598</v>
      </c>
      <c r="AB13" s="1122">
        <f t="shared" si="6"/>
        <v>142.6453266116641</v>
      </c>
      <c r="AC13" s="1122">
        <f t="shared" si="7"/>
        <v>849.34483998600035</v>
      </c>
      <c r="AD13" s="1095">
        <f t="shared" si="8"/>
        <v>-438.67408706640163</v>
      </c>
      <c r="AE13" s="524">
        <f t="shared" si="9"/>
        <v>84.951761067257522</v>
      </c>
      <c r="AF13" s="524">
        <v>0</v>
      </c>
      <c r="AG13" s="1095">
        <f t="shared" si="11"/>
        <v>5.9884461771641426</v>
      </c>
      <c r="AH13" s="1129">
        <v>4.9800000000000004</v>
      </c>
      <c r="AI13" s="47">
        <f t="shared" si="12"/>
        <v>325.99000000000024</v>
      </c>
    </row>
    <row r="14" spans="1:35" x14ac:dyDescent="0.25">
      <c r="A14" s="13">
        <v>6</v>
      </c>
      <c r="B14" s="1294">
        <v>42401</v>
      </c>
      <c r="C14" s="42" t="s">
        <v>233</v>
      </c>
      <c r="D14" s="705">
        <v>1994</v>
      </c>
      <c r="E14" s="705">
        <v>3</v>
      </c>
      <c r="F14" s="705">
        <v>24</v>
      </c>
      <c r="G14" s="705">
        <v>65</v>
      </c>
      <c r="H14" s="707">
        <v>1442.3</v>
      </c>
      <c r="I14" s="707">
        <v>129.6</v>
      </c>
      <c r="J14" s="707">
        <v>3697.09</v>
      </c>
      <c r="K14" s="707">
        <v>3198.24</v>
      </c>
      <c r="L14" s="1092">
        <v>77105.34</v>
      </c>
      <c r="M14" s="1092">
        <v>73269.58</v>
      </c>
      <c r="N14" s="1092">
        <f t="shared" si="0"/>
        <v>80802.429999999993</v>
      </c>
      <c r="O14" s="1092">
        <f t="shared" si="0"/>
        <v>76467.820000000007</v>
      </c>
      <c r="P14" s="655">
        <f t="shared" si="1"/>
        <v>65910.325785180903</v>
      </c>
      <c r="Q14" s="656">
        <v>285.74</v>
      </c>
      <c r="R14" s="660"/>
      <c r="S14" s="660">
        <v>2582.23</v>
      </c>
      <c r="T14" s="660">
        <f t="shared" si="2"/>
        <v>731.68906065934812</v>
      </c>
      <c r="U14" s="660"/>
      <c r="V14" s="660"/>
      <c r="W14" s="660"/>
      <c r="X14" s="659"/>
      <c r="Y14" s="1093">
        <f t="shared" si="3"/>
        <v>25436.675130734748</v>
      </c>
      <c r="Z14" s="1122">
        <f t="shared" si="4"/>
        <v>3091.2443856384343</v>
      </c>
      <c r="AA14" s="1122">
        <f t="shared" si="5"/>
        <v>14048.300073199254</v>
      </c>
      <c r="AB14" s="1122">
        <f t="shared" si="6"/>
        <v>2837.7566147862494</v>
      </c>
      <c r="AC14" s="1122">
        <f t="shared" si="7"/>
        <v>16896.690520162872</v>
      </c>
      <c r="AD14" s="1095">
        <f t="shared" si="8"/>
        <v>14892.10421481909</v>
      </c>
      <c r="AE14" s="524">
        <f t="shared" si="9"/>
        <v>95.025299155674574</v>
      </c>
      <c r="AF14" s="524">
        <f t="shared" si="10"/>
        <v>86.506955470383446</v>
      </c>
      <c r="AG14" s="1095">
        <f t="shared" si="11"/>
        <v>7.6163449334605495</v>
      </c>
      <c r="AH14" s="1129">
        <v>8.91</v>
      </c>
      <c r="AI14" s="47">
        <f t="shared" si="12"/>
        <v>4334.609999999986</v>
      </c>
    </row>
    <row r="15" spans="1:35" x14ac:dyDescent="0.25">
      <c r="A15" s="13">
        <v>7</v>
      </c>
      <c r="B15" s="1294">
        <v>42401</v>
      </c>
      <c r="C15" s="42" t="s">
        <v>234</v>
      </c>
      <c r="D15" s="705">
        <v>1989</v>
      </c>
      <c r="E15" s="705">
        <v>3</v>
      </c>
      <c r="F15" s="705">
        <v>24</v>
      </c>
      <c r="G15" s="705">
        <v>61</v>
      </c>
      <c r="H15" s="707">
        <v>1454.5</v>
      </c>
      <c r="I15" s="707">
        <v>129.6</v>
      </c>
      <c r="J15" s="707">
        <v>4730.6000000000004</v>
      </c>
      <c r="K15" s="707">
        <v>3893.08</v>
      </c>
      <c r="L15" s="1092">
        <v>77757.48</v>
      </c>
      <c r="M15" s="1092">
        <v>69668.14</v>
      </c>
      <c r="N15" s="1092">
        <f t="shared" si="0"/>
        <v>82488.08</v>
      </c>
      <c r="O15" s="1092">
        <f t="shared" si="0"/>
        <v>73561.22</v>
      </c>
      <c r="P15" s="655">
        <f t="shared" si="1"/>
        <v>70085.379200467505</v>
      </c>
      <c r="Q15" s="656">
        <v>249.76</v>
      </c>
      <c r="R15" s="660"/>
      <c r="S15" s="660">
        <v>6260.03</v>
      </c>
      <c r="T15" s="660">
        <f t="shared" si="2"/>
        <v>737.8782075358954</v>
      </c>
      <c r="U15" s="660"/>
      <c r="V15" s="660"/>
      <c r="W15" s="660"/>
      <c r="X15" s="659"/>
      <c r="Y15" s="1093">
        <f t="shared" si="3"/>
        <v>25651.812932082325</v>
      </c>
      <c r="Z15" s="1122">
        <f t="shared" si="4"/>
        <v>3117.3923309374632</v>
      </c>
      <c r="AA15" s="1122">
        <f t="shared" si="5"/>
        <v>14167.130594514538</v>
      </c>
      <c r="AB15" s="1122">
        <f t="shared" si="6"/>
        <v>2861.7603800919369</v>
      </c>
      <c r="AC15" s="1122">
        <f t="shared" si="7"/>
        <v>17039.614755305345</v>
      </c>
      <c r="AD15" s="1095">
        <f t="shared" si="8"/>
        <v>12402.700799532497</v>
      </c>
      <c r="AE15" s="524">
        <f t="shared" si="9"/>
        <v>89.596705037251724</v>
      </c>
      <c r="AF15" s="524">
        <f t="shared" si="10"/>
        <v>82.295691878408647</v>
      </c>
      <c r="AG15" s="1095">
        <f t="shared" si="11"/>
        <v>8.0308673313243393</v>
      </c>
      <c r="AH15" s="1129">
        <v>8.91</v>
      </c>
      <c r="AI15" s="47">
        <f t="shared" si="12"/>
        <v>8926.86</v>
      </c>
    </row>
    <row r="16" spans="1:35" ht="15.75" thickBot="1" x14ac:dyDescent="0.3">
      <c r="A16" s="187">
        <v>8</v>
      </c>
      <c r="B16" s="1294">
        <v>42401</v>
      </c>
      <c r="C16" s="188" t="s">
        <v>235</v>
      </c>
      <c r="D16" s="709">
        <v>1961</v>
      </c>
      <c r="E16" s="709">
        <v>1</v>
      </c>
      <c r="F16" s="709">
        <v>2</v>
      </c>
      <c r="G16" s="709">
        <v>0</v>
      </c>
      <c r="H16" s="1099">
        <v>76.400000000000006</v>
      </c>
      <c r="I16" s="1098"/>
      <c r="J16" s="1099">
        <v>0</v>
      </c>
      <c r="K16" s="1099">
        <v>0</v>
      </c>
      <c r="L16" s="1092">
        <v>2310.36</v>
      </c>
      <c r="M16" s="1092">
        <v>2501.12</v>
      </c>
      <c r="N16" s="1092">
        <f t="shared" si="0"/>
        <v>2310.36</v>
      </c>
      <c r="O16" s="1092">
        <f t="shared" si="0"/>
        <v>2501.12</v>
      </c>
      <c r="P16" s="655">
        <f t="shared" si="1"/>
        <v>2754.185080382148</v>
      </c>
      <c r="Q16" s="1100"/>
      <c r="R16" s="1101"/>
      <c r="S16" s="1102"/>
      <c r="T16" s="660">
        <f t="shared" si="2"/>
        <v>38.758264046574361</v>
      </c>
      <c r="U16" s="1102"/>
      <c r="V16" s="1102"/>
      <c r="W16" s="1102"/>
      <c r="X16" s="1103"/>
      <c r="Y16" s="1093">
        <f t="shared" si="3"/>
        <v>762.17648161650459</v>
      </c>
      <c r="Z16" s="1122">
        <f t="shared" si="4"/>
        <v>163.74614924965431</v>
      </c>
      <c r="AA16" s="1122">
        <f t="shared" si="5"/>
        <v>744.15178922028929</v>
      </c>
      <c r="AB16" s="1122">
        <f t="shared" si="6"/>
        <v>150.31866142249845</v>
      </c>
      <c r="AC16" s="1122">
        <f t="shared" si="7"/>
        <v>895.03373482662664</v>
      </c>
      <c r="AD16" s="1095">
        <f t="shared" si="8"/>
        <v>-443.82508038214792</v>
      </c>
      <c r="AE16" s="528">
        <f t="shared" si="9"/>
        <v>108.2567218961547</v>
      </c>
      <c r="AF16" s="528">
        <v>0</v>
      </c>
      <c r="AG16" s="1125">
        <f t="shared" si="11"/>
        <v>6.0082571561565175</v>
      </c>
      <c r="AH16" s="1130">
        <v>5.04</v>
      </c>
      <c r="AI16" s="1133">
        <f t="shared" si="12"/>
        <v>-190.75999999999976</v>
      </c>
    </row>
    <row r="17" spans="1:36" ht="15.75" thickBot="1" x14ac:dyDescent="0.3">
      <c r="A17" s="195"/>
      <c r="B17" s="579"/>
      <c r="C17" s="196" t="s">
        <v>297</v>
      </c>
      <c r="D17" s="711"/>
      <c r="E17" s="711"/>
      <c r="F17" s="712">
        <f t="shared" ref="F17:AD17" si="13">SUM(F9:F16)</f>
        <v>78</v>
      </c>
      <c r="G17" s="712">
        <f t="shared" si="13"/>
        <v>223</v>
      </c>
      <c r="H17" s="1104">
        <f t="shared" si="13"/>
        <v>4685.8399999999992</v>
      </c>
      <c r="I17" s="1104">
        <f t="shared" si="13"/>
        <v>332.08</v>
      </c>
      <c r="J17" s="1104">
        <f t="shared" ref="J17:O17" si="14">SUM(J9:J16)</f>
        <v>10205.34</v>
      </c>
      <c r="K17" s="1104">
        <f t="shared" si="14"/>
        <v>8399.5499999999993</v>
      </c>
      <c r="L17" s="1105">
        <f t="shared" si="14"/>
        <v>256032.91999999998</v>
      </c>
      <c r="M17" s="1105">
        <f t="shared" si="14"/>
        <v>214758.89</v>
      </c>
      <c r="N17" s="1105">
        <f t="shared" si="14"/>
        <v>266238.26</v>
      </c>
      <c r="O17" s="1105">
        <f t="shared" si="14"/>
        <v>223158.44</v>
      </c>
      <c r="P17" s="1106">
        <f t="shared" si="13"/>
        <v>226256.17765996029</v>
      </c>
      <c r="Q17" s="1107">
        <f t="shared" si="13"/>
        <v>995.22</v>
      </c>
      <c r="R17" s="1108">
        <f t="shared" si="13"/>
        <v>0</v>
      </c>
      <c r="S17" s="1108">
        <f t="shared" si="13"/>
        <v>11965.8</v>
      </c>
      <c r="T17" s="1108">
        <f t="shared" si="13"/>
        <v>2377.16</v>
      </c>
      <c r="U17" s="1108">
        <f t="shared" si="13"/>
        <v>0</v>
      </c>
      <c r="V17" s="1108">
        <f t="shared" si="13"/>
        <v>0</v>
      </c>
      <c r="W17" s="1108">
        <f t="shared" si="13"/>
        <v>0</v>
      </c>
      <c r="X17" s="1108">
        <f t="shared" si="13"/>
        <v>0</v>
      </c>
      <c r="Y17" s="1108">
        <f t="shared" si="13"/>
        <v>84464.01</v>
      </c>
      <c r="Z17" s="1108">
        <f t="shared" si="13"/>
        <v>10043.040000000001</v>
      </c>
      <c r="AA17" s="1108">
        <f t="shared" si="13"/>
        <v>51177.918186323048</v>
      </c>
      <c r="AB17" s="1108">
        <f t="shared" si="13"/>
        <v>10337.939473637256</v>
      </c>
      <c r="AC17" s="1108">
        <f t="shared" si="13"/>
        <v>54895.09</v>
      </c>
      <c r="AD17" s="1124">
        <f t="shared" si="13"/>
        <v>39982.082340039698</v>
      </c>
      <c r="AE17" s="1126">
        <f t="shared" si="9"/>
        <v>83.879405039008276</v>
      </c>
      <c r="AF17" s="1296">
        <f t="shared" si="10"/>
        <v>82.3054400931277</v>
      </c>
      <c r="AG17" s="1297">
        <f t="shared" si="11"/>
        <v>8.0475139875298183</v>
      </c>
      <c r="AH17" s="1131"/>
      <c r="AI17" s="1134">
        <f t="shared" si="12"/>
        <v>43079.820000000007</v>
      </c>
      <c r="AJ17" t="s">
        <v>180</v>
      </c>
    </row>
    <row r="18" spans="1:36" x14ac:dyDescent="0.25">
      <c r="A18" s="547"/>
      <c r="B18" s="547"/>
      <c r="C18" s="547"/>
      <c r="D18" s="547"/>
      <c r="E18" s="547"/>
      <c r="F18" s="547"/>
      <c r="G18" s="547"/>
      <c r="H18" s="547"/>
      <c r="I18" s="547"/>
      <c r="J18" s="547"/>
      <c r="K18" s="547"/>
      <c r="L18" s="547"/>
      <c r="M18" s="547"/>
      <c r="N18" s="547"/>
      <c r="O18" s="547"/>
      <c r="P18" s="547"/>
      <c r="Q18" s="547"/>
      <c r="R18" s="547"/>
      <c r="S18" s="547" t="s">
        <v>180</v>
      </c>
      <c r="T18" s="547" t="s">
        <v>180</v>
      </c>
      <c r="U18" s="547"/>
      <c r="V18" s="547"/>
      <c r="W18" s="547"/>
      <c r="X18" s="547"/>
      <c r="Y18" s="547" t="s">
        <v>180</v>
      </c>
      <c r="Z18" s="547" t="s">
        <v>180</v>
      </c>
      <c r="AA18" s="1123">
        <f>AA17+AB17</f>
        <v>61515.857659960304</v>
      </c>
      <c r="AB18" s="547"/>
      <c r="AC18" s="547"/>
      <c r="AD18" s="547"/>
      <c r="AE18" s="547"/>
      <c r="AF18" s="547"/>
      <c r="AG18" s="547"/>
      <c r="AH18" s="547"/>
      <c r="AJ18" s="93"/>
    </row>
    <row r="19" spans="1:36" x14ac:dyDescent="0.25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</row>
    <row r="20" spans="1:36" x14ac:dyDescent="0.25">
      <c r="A20" s="247"/>
      <c r="B20" s="247"/>
      <c r="C20" s="548" t="s">
        <v>645</v>
      </c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</row>
    <row r="21" spans="1:36" x14ac:dyDescent="0.25">
      <c r="A21" s="247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</row>
    <row r="22" spans="1:36" x14ac:dyDescent="0.25">
      <c r="A22" s="247"/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</row>
    <row r="23" spans="1:36" ht="15" customHeight="1" x14ac:dyDescent="0.25">
      <c r="A23" s="2017" t="s">
        <v>0</v>
      </c>
      <c r="B23" s="2020"/>
      <c r="C23" s="2017" t="s">
        <v>184</v>
      </c>
      <c r="D23" s="2017" t="s">
        <v>54</v>
      </c>
      <c r="E23" s="2017" t="s">
        <v>55</v>
      </c>
      <c r="F23" s="2017" t="s">
        <v>56</v>
      </c>
      <c r="G23" s="2017" t="s">
        <v>57</v>
      </c>
      <c r="H23" s="2017" t="s">
        <v>6</v>
      </c>
      <c r="I23" s="2020" t="s">
        <v>282</v>
      </c>
      <c r="J23" s="1089"/>
      <c r="K23" s="1089"/>
      <c r="L23" s="2249" t="s">
        <v>284</v>
      </c>
      <c r="M23" s="2250"/>
      <c r="N23" s="615"/>
      <c r="O23" s="615"/>
      <c r="P23" s="1987" t="s">
        <v>457</v>
      </c>
      <c r="Q23" s="2009" t="s">
        <v>370</v>
      </c>
      <c r="R23" s="1987" t="s">
        <v>333</v>
      </c>
      <c r="S23" s="2102" t="s">
        <v>477</v>
      </c>
      <c r="T23" s="2003" t="s">
        <v>475</v>
      </c>
      <c r="U23" s="2003" t="s">
        <v>10</v>
      </c>
      <c r="V23" s="2003" t="s">
        <v>476</v>
      </c>
      <c r="W23" s="2003" t="s">
        <v>309</v>
      </c>
      <c r="X23" s="2003" t="s">
        <v>319</v>
      </c>
      <c r="Y23" s="2194" t="s">
        <v>461</v>
      </c>
      <c r="Z23" s="2107" t="s">
        <v>338</v>
      </c>
      <c r="AA23" s="2009" t="s">
        <v>321</v>
      </c>
      <c r="AB23" s="2005" t="s">
        <v>569</v>
      </c>
      <c r="AC23" s="1987" t="s">
        <v>369</v>
      </c>
      <c r="AD23" s="1987" t="s">
        <v>175</v>
      </c>
      <c r="AE23" s="1987" t="s">
        <v>183</v>
      </c>
      <c r="AF23" s="1987"/>
      <c r="AG23" s="2251" t="s">
        <v>182</v>
      </c>
      <c r="AH23" s="2302" t="s">
        <v>544</v>
      </c>
      <c r="AI23" s="2257" t="s">
        <v>566</v>
      </c>
    </row>
    <row r="24" spans="1:36" ht="50.25" customHeight="1" x14ac:dyDescent="0.25">
      <c r="A24" s="2017"/>
      <c r="B24" s="2021"/>
      <c r="C24" s="2017"/>
      <c r="D24" s="2017"/>
      <c r="E24" s="2017"/>
      <c r="F24" s="2017"/>
      <c r="G24" s="2017"/>
      <c r="H24" s="2017"/>
      <c r="I24" s="2021"/>
      <c r="J24" s="1090"/>
      <c r="K24" s="1090"/>
      <c r="L24" s="51" t="s">
        <v>15</v>
      </c>
      <c r="M24" s="1261" t="s">
        <v>16</v>
      </c>
      <c r="N24" s="616"/>
      <c r="O24" s="616"/>
      <c r="P24" s="1988"/>
      <c r="Q24" s="2009"/>
      <c r="R24" s="1988"/>
      <c r="S24" s="2102"/>
      <c r="T24" s="2004"/>
      <c r="U24" s="2002"/>
      <c r="V24" s="2004"/>
      <c r="W24" s="2004"/>
      <c r="X24" s="2004"/>
      <c r="Y24" s="2004"/>
      <c r="Z24" s="2107"/>
      <c r="AA24" s="2009"/>
      <c r="AB24" s="2099"/>
      <c r="AC24" s="2002"/>
      <c r="AD24" s="1988"/>
      <c r="AE24" s="1988"/>
      <c r="AF24" s="1988"/>
      <c r="AG24" s="2252"/>
      <c r="AH24" s="2303"/>
      <c r="AI24" s="2258"/>
    </row>
    <row r="25" spans="1:36" x14ac:dyDescent="0.25">
      <c r="A25" s="13">
        <v>1</v>
      </c>
      <c r="B25" s="13"/>
      <c r="C25" s="42" t="s">
        <v>228</v>
      </c>
      <c r="D25" s="705">
        <v>1967</v>
      </c>
      <c r="E25" s="705">
        <v>2</v>
      </c>
      <c r="F25" s="705">
        <v>12</v>
      </c>
      <c r="G25" s="705">
        <v>32</v>
      </c>
      <c r="H25" s="707">
        <v>506.67</v>
      </c>
      <c r="I25" s="707">
        <v>24.4</v>
      </c>
      <c r="J25" s="715"/>
      <c r="K25" s="715"/>
      <c r="L25" s="1092">
        <v>5635.44</v>
      </c>
      <c r="M25" s="1092">
        <v>4554.22</v>
      </c>
      <c r="N25" s="1111"/>
      <c r="O25" s="1111"/>
      <c r="P25" s="655">
        <f>Q25+R25+S25+T25+U25+V25+W25+X25+Y25+Z25+AA25+AB25+AC25</f>
        <v>0</v>
      </c>
      <c r="Q25" s="656"/>
      <c r="R25" s="660"/>
      <c r="S25" s="660"/>
      <c r="T25" s="660"/>
      <c r="U25" s="660"/>
      <c r="V25" s="660"/>
      <c r="W25" s="660"/>
      <c r="X25" s="659"/>
      <c r="Y25" s="1093"/>
      <c r="Z25" s="1094"/>
      <c r="AA25" s="1094"/>
      <c r="AB25" s="1094"/>
      <c r="AC25" s="1094"/>
      <c r="AD25" s="1095">
        <f>L25-P25</f>
        <v>5635.44</v>
      </c>
      <c r="AE25" s="524">
        <f>M25/L25*100</f>
        <v>80.813920474710059</v>
      </c>
      <c r="AF25" s="524"/>
      <c r="AG25" s="1095">
        <f>P25/H25/6</f>
        <v>0</v>
      </c>
      <c r="AH25" s="1129">
        <v>1.85</v>
      </c>
      <c r="AI25" s="47">
        <f>L25-M25</f>
        <v>1081.2199999999993</v>
      </c>
    </row>
    <row r="26" spans="1:36" x14ac:dyDescent="0.25">
      <c r="A26" s="13">
        <v>2</v>
      </c>
      <c r="B26" s="13"/>
      <c r="C26" s="42" t="s">
        <v>229</v>
      </c>
      <c r="D26" s="705">
        <v>1967</v>
      </c>
      <c r="E26" s="705">
        <v>2</v>
      </c>
      <c r="F26" s="705">
        <v>12</v>
      </c>
      <c r="G26" s="705">
        <v>38</v>
      </c>
      <c r="H26" s="707">
        <v>538.85</v>
      </c>
      <c r="I26" s="707">
        <v>24.4</v>
      </c>
      <c r="J26" s="715"/>
      <c r="K26" s="715"/>
      <c r="L26" s="1092">
        <v>5667.72</v>
      </c>
      <c r="M26" s="1092">
        <v>4770.91</v>
      </c>
      <c r="N26" s="1111"/>
      <c r="O26" s="1111"/>
      <c r="P26" s="655">
        <f>Q26+R26+S26+T26+U26+V26+W26+X26+Y26+Z26+AA26+AB26+AC26</f>
        <v>0</v>
      </c>
      <c r="Q26" s="656"/>
      <c r="R26" s="660"/>
      <c r="S26" s="660"/>
      <c r="T26" s="660"/>
      <c r="U26" s="660"/>
      <c r="V26" s="660"/>
      <c r="W26" s="660"/>
      <c r="X26" s="659"/>
      <c r="Y26" s="1093"/>
      <c r="Z26" s="1094"/>
      <c r="AA26" s="1094"/>
      <c r="AB26" s="1094"/>
      <c r="AC26" s="1094"/>
      <c r="AD26" s="1095">
        <f t="shared" ref="AD26:AD29" si="15">L26-P26</f>
        <v>5667.72</v>
      </c>
      <c r="AE26" s="524">
        <f t="shared" ref="AE26:AE30" si="16">M26/L26*100</f>
        <v>84.176882414798186</v>
      </c>
      <c r="AF26" s="524"/>
      <c r="AG26" s="1095">
        <f t="shared" ref="AG26:AG30" si="17">P26/H26/6</f>
        <v>0</v>
      </c>
      <c r="AH26" s="1129">
        <v>1.86</v>
      </c>
      <c r="AI26" s="47">
        <f t="shared" ref="AI26:AI30" si="18">L26-M26</f>
        <v>896.8100000000004</v>
      </c>
    </row>
    <row r="27" spans="1:36" x14ac:dyDescent="0.25">
      <c r="A27" s="13">
        <v>4</v>
      </c>
      <c r="B27" s="13"/>
      <c r="C27" s="42" t="s">
        <v>230</v>
      </c>
      <c r="D27" s="705">
        <v>1967</v>
      </c>
      <c r="E27" s="705">
        <v>2</v>
      </c>
      <c r="F27" s="705">
        <v>12</v>
      </c>
      <c r="G27" s="705">
        <v>38</v>
      </c>
      <c r="H27" s="707">
        <v>508.35</v>
      </c>
      <c r="I27" s="707">
        <v>24.4</v>
      </c>
      <c r="J27" s="715"/>
      <c r="K27" s="715"/>
      <c r="L27" s="1092">
        <v>9150.2999999999993</v>
      </c>
      <c r="M27" s="1092">
        <v>5983.9</v>
      </c>
      <c r="N27" s="1111"/>
      <c r="O27" s="1111"/>
      <c r="P27" s="655">
        <f>Q27+R27+S27+T27+U27+V27+W27+X27+Y27+Z27+AA27+AB27+AC27</f>
        <v>0</v>
      </c>
      <c r="Q27" s="656"/>
      <c r="R27" s="660"/>
      <c r="S27" s="660"/>
      <c r="T27" s="660"/>
      <c r="U27" s="660"/>
      <c r="V27" s="660"/>
      <c r="W27" s="660"/>
      <c r="X27" s="659"/>
      <c r="Y27" s="1093"/>
      <c r="Z27" s="1094"/>
      <c r="AA27" s="1094"/>
      <c r="AB27" s="1094"/>
      <c r="AC27" s="1094"/>
      <c r="AD27" s="1095">
        <f t="shared" si="15"/>
        <v>9150.2999999999993</v>
      </c>
      <c r="AE27" s="524">
        <f t="shared" si="16"/>
        <v>65.395670087319544</v>
      </c>
      <c r="AF27" s="524"/>
      <c r="AG27" s="1095">
        <f t="shared" si="17"/>
        <v>0</v>
      </c>
      <c r="AH27" s="1129">
        <v>3</v>
      </c>
      <c r="AI27" s="47">
        <f t="shared" si="18"/>
        <v>3166.3999999999996</v>
      </c>
    </row>
    <row r="28" spans="1:36" x14ac:dyDescent="0.25">
      <c r="A28" s="13">
        <v>6</v>
      </c>
      <c r="B28" s="13"/>
      <c r="C28" s="42" t="s">
        <v>233</v>
      </c>
      <c r="D28" s="705">
        <v>1994</v>
      </c>
      <c r="E28" s="705">
        <v>3</v>
      </c>
      <c r="F28" s="705">
        <v>24</v>
      </c>
      <c r="G28" s="705">
        <v>65</v>
      </c>
      <c r="H28" s="707">
        <v>1442.3</v>
      </c>
      <c r="I28" s="707">
        <v>129.6</v>
      </c>
      <c r="J28" s="715"/>
      <c r="K28" s="715"/>
      <c r="L28" s="1092">
        <v>16442.22</v>
      </c>
      <c r="M28" s="1092">
        <v>15624.26</v>
      </c>
      <c r="N28" s="1111"/>
      <c r="O28" s="1111"/>
      <c r="P28" s="655">
        <f>Q28+R28+S28+T28+U28+V28+W28+X28+Y28+Z28+AA28+AB28+AC28</f>
        <v>2264.5700000000002</v>
      </c>
      <c r="Q28" s="656">
        <v>2264.5700000000002</v>
      </c>
      <c r="R28" s="660"/>
      <c r="S28" s="660"/>
      <c r="T28" s="660"/>
      <c r="U28" s="660"/>
      <c r="V28" s="660"/>
      <c r="W28" s="660"/>
      <c r="X28" s="659"/>
      <c r="Y28" s="1093"/>
      <c r="Z28" s="1094"/>
      <c r="AA28" s="1094"/>
      <c r="AB28" s="1094"/>
      <c r="AC28" s="1094"/>
      <c r="AD28" s="1095">
        <f t="shared" si="15"/>
        <v>14177.650000000001</v>
      </c>
      <c r="AE28" s="524">
        <f t="shared" si="16"/>
        <v>95.025245982598449</v>
      </c>
      <c r="AF28" s="524"/>
      <c r="AG28" s="1095">
        <f t="shared" si="17"/>
        <v>0.26168504009799165</v>
      </c>
      <c r="AH28" s="1129">
        <v>1.9</v>
      </c>
      <c r="AI28" s="47">
        <f t="shared" si="18"/>
        <v>817.96000000000095</v>
      </c>
    </row>
    <row r="29" spans="1:36" ht="15.75" thickBot="1" x14ac:dyDescent="0.3">
      <c r="A29" s="13">
        <v>7</v>
      </c>
      <c r="B29" s="13"/>
      <c r="C29" s="42" t="s">
        <v>234</v>
      </c>
      <c r="D29" s="705">
        <v>1989</v>
      </c>
      <c r="E29" s="705">
        <v>3</v>
      </c>
      <c r="F29" s="705">
        <v>24</v>
      </c>
      <c r="G29" s="705">
        <v>61</v>
      </c>
      <c r="H29" s="707">
        <v>1454.5</v>
      </c>
      <c r="I29" s="707">
        <v>129.6</v>
      </c>
      <c r="J29" s="715"/>
      <c r="K29" s="715"/>
      <c r="L29" s="1092">
        <v>16581.3</v>
      </c>
      <c r="M29" s="1092">
        <v>14853.47</v>
      </c>
      <c r="N29" s="1111"/>
      <c r="O29" s="1111"/>
      <c r="P29" s="655">
        <f>Q29+R29+S29+T29+U29+V29+W29+X29+Y29+Z29+AA29+AB29+AC29</f>
        <v>2373.6</v>
      </c>
      <c r="Q29" s="656">
        <v>2373.6</v>
      </c>
      <c r="R29" s="660"/>
      <c r="S29" s="660"/>
      <c r="T29" s="660"/>
      <c r="U29" s="660"/>
      <c r="V29" s="660"/>
      <c r="W29" s="660"/>
      <c r="X29" s="659"/>
      <c r="Y29" s="1093"/>
      <c r="Z29" s="1094"/>
      <c r="AA29" s="1094"/>
      <c r="AB29" s="1094"/>
      <c r="AC29" s="1094"/>
      <c r="AD29" s="1095">
        <f t="shared" si="15"/>
        <v>14207.699999999999</v>
      </c>
      <c r="AE29" s="524">
        <f t="shared" si="16"/>
        <v>89.579646951686541</v>
      </c>
      <c r="AF29" s="524"/>
      <c r="AG29" s="1125">
        <f t="shared" si="17"/>
        <v>0.2719834994843589</v>
      </c>
      <c r="AH29" s="1130">
        <v>1.9</v>
      </c>
      <c r="AI29" s="1133">
        <f t="shared" si="18"/>
        <v>1727.83</v>
      </c>
    </row>
    <row r="30" spans="1:36" ht="15.75" thickBot="1" x14ac:dyDescent="0.3">
      <c r="A30" s="195"/>
      <c r="B30" s="579"/>
      <c r="C30" s="196" t="s">
        <v>297</v>
      </c>
      <c r="D30" s="711"/>
      <c r="E30" s="711"/>
      <c r="F30" s="712">
        <f t="shared" ref="F30:R30" si="19">SUM(F25:F29)</f>
        <v>84</v>
      </c>
      <c r="G30" s="712">
        <f t="shared" si="19"/>
        <v>234</v>
      </c>
      <c r="H30" s="1104">
        <f t="shared" si="19"/>
        <v>4450.67</v>
      </c>
      <c r="I30" s="1104">
        <f t="shared" si="19"/>
        <v>332.4</v>
      </c>
      <c r="J30" s="1112"/>
      <c r="K30" s="1112"/>
      <c r="L30" s="1105">
        <f t="shared" si="19"/>
        <v>53476.979999999996</v>
      </c>
      <c r="M30" s="1105">
        <f t="shared" si="19"/>
        <v>45786.76</v>
      </c>
      <c r="N30" s="1113"/>
      <c r="O30" s="1113"/>
      <c r="P30" s="1106">
        <f t="shared" si="19"/>
        <v>4638.17</v>
      </c>
      <c r="Q30" s="1107">
        <f t="shared" si="19"/>
        <v>4638.17</v>
      </c>
      <c r="R30" s="1108">
        <f t="shared" si="19"/>
        <v>0</v>
      </c>
      <c r="S30" s="1114"/>
      <c r="T30" s="1114"/>
      <c r="U30" s="1114"/>
      <c r="V30" s="1114"/>
      <c r="W30" s="1114"/>
      <c r="X30" s="1114">
        <f>SUM(X25:X29)</f>
        <v>0</v>
      </c>
      <c r="Y30" s="1115">
        <f t="shared" ref="Y30:AD30" si="20">SUM(Y25:Y29)</f>
        <v>0</v>
      </c>
      <c r="Z30" s="1116">
        <f t="shared" si="20"/>
        <v>0</v>
      </c>
      <c r="AA30" s="1110">
        <f t="shared" si="20"/>
        <v>0</v>
      </c>
      <c r="AB30" s="1110">
        <f t="shared" si="20"/>
        <v>0</v>
      </c>
      <c r="AC30" s="1110">
        <f t="shared" si="20"/>
        <v>0</v>
      </c>
      <c r="AD30" s="1110">
        <f t="shared" si="20"/>
        <v>48838.81</v>
      </c>
      <c r="AE30" s="665">
        <f t="shared" si="16"/>
        <v>85.619569392288057</v>
      </c>
      <c r="AF30" s="1136"/>
      <c r="AG30" s="1297">
        <f t="shared" si="17"/>
        <v>0.17368808141995098</v>
      </c>
      <c r="AH30" s="1131"/>
      <c r="AI30" s="1138">
        <f t="shared" si="18"/>
        <v>7690.2199999999939</v>
      </c>
      <c r="AJ30" t="s">
        <v>180</v>
      </c>
    </row>
    <row r="31" spans="1:36" ht="15.75" customHeight="1" x14ac:dyDescent="0.25">
      <c r="A31" s="296"/>
      <c r="B31" s="296"/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  <c r="T31" s="296"/>
      <c r="U31" s="296"/>
      <c r="V31" s="296"/>
      <c r="W31" s="296"/>
      <c r="X31" s="296"/>
      <c r="Y31" s="250"/>
      <c r="Z31" s="250"/>
      <c r="AA31" s="250"/>
      <c r="AB31" s="250"/>
      <c r="AC31" s="250"/>
      <c r="AD31" s="250"/>
      <c r="AE31" s="250"/>
      <c r="AF31" s="250"/>
      <c r="AG31" s="250"/>
      <c r="AH31" s="250"/>
    </row>
    <row r="32" spans="1:36" ht="15" customHeight="1" x14ac:dyDescent="0.25">
      <c r="A32" s="296"/>
      <c r="B32" s="296"/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6"/>
      <c r="W32" s="296"/>
      <c r="X32" s="296"/>
      <c r="Y32" s="250"/>
      <c r="Z32" s="250"/>
      <c r="AA32" s="250"/>
      <c r="AB32" s="250"/>
      <c r="AC32" s="250"/>
      <c r="AD32" s="250"/>
      <c r="AE32" s="250"/>
      <c r="AF32" s="250"/>
      <c r="AG32" s="250"/>
      <c r="AH32" s="250"/>
    </row>
    <row r="33" spans="1:36" ht="15" customHeight="1" x14ac:dyDescent="0.25">
      <c r="A33" s="296"/>
      <c r="B33" s="296"/>
      <c r="C33" s="549" t="s">
        <v>646</v>
      </c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296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</row>
    <row r="34" spans="1:36" ht="15" customHeight="1" x14ac:dyDescent="0.25">
      <c r="A34" s="296"/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6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</row>
    <row r="35" spans="1:36" ht="26.25" customHeight="1" x14ac:dyDescent="0.25">
      <c r="A35" s="2017" t="s">
        <v>0</v>
      </c>
      <c r="B35" s="2020"/>
      <c r="C35" s="2017" t="s">
        <v>184</v>
      </c>
      <c r="D35" s="2017" t="s">
        <v>54</v>
      </c>
      <c r="E35" s="2017" t="s">
        <v>55</v>
      </c>
      <c r="F35" s="2017" t="s">
        <v>56</v>
      </c>
      <c r="G35" s="2017" t="s">
        <v>57</v>
      </c>
      <c r="H35" s="2017" t="s">
        <v>6</v>
      </c>
      <c r="I35" s="2020" t="s">
        <v>282</v>
      </c>
      <c r="J35" s="1089"/>
      <c r="K35" s="1089"/>
      <c r="L35" s="2249" t="s">
        <v>559</v>
      </c>
      <c r="M35" s="2250"/>
      <c r="N35" s="615"/>
      <c r="O35" s="615"/>
      <c r="P35" s="1987" t="s">
        <v>457</v>
      </c>
      <c r="Q35" s="2009" t="s">
        <v>370</v>
      </c>
      <c r="R35" s="1987" t="s">
        <v>333</v>
      </c>
      <c r="S35" s="2102" t="s">
        <v>477</v>
      </c>
      <c r="T35" s="2003" t="s">
        <v>475</v>
      </c>
      <c r="U35" s="2003" t="s">
        <v>10</v>
      </c>
      <c r="V35" s="2003" t="s">
        <v>476</v>
      </c>
      <c r="W35" s="2003" t="s">
        <v>309</v>
      </c>
      <c r="X35" s="2003" t="s">
        <v>319</v>
      </c>
      <c r="Y35" s="2194" t="s">
        <v>461</v>
      </c>
      <c r="Z35" s="2107" t="s">
        <v>338</v>
      </c>
      <c r="AA35" s="2009" t="s">
        <v>313</v>
      </c>
      <c r="AB35" s="2005" t="s">
        <v>569</v>
      </c>
      <c r="AC35" s="1987" t="s">
        <v>369</v>
      </c>
      <c r="AD35" s="1987" t="s">
        <v>175</v>
      </c>
      <c r="AE35" s="1987" t="s">
        <v>183</v>
      </c>
      <c r="AF35" s="1987"/>
      <c r="AG35" s="2251" t="s">
        <v>182</v>
      </c>
      <c r="AH35" s="2302" t="s">
        <v>544</v>
      </c>
      <c r="AI35" s="2257" t="s">
        <v>566</v>
      </c>
    </row>
    <row r="36" spans="1:36" ht="30" customHeight="1" x14ac:dyDescent="0.25">
      <c r="A36" s="2017"/>
      <c r="B36" s="2021"/>
      <c r="C36" s="2017"/>
      <c r="D36" s="2017"/>
      <c r="E36" s="2017"/>
      <c r="F36" s="2017"/>
      <c r="G36" s="2017"/>
      <c r="H36" s="2017"/>
      <c r="I36" s="2021"/>
      <c r="J36" s="1090"/>
      <c r="K36" s="1090"/>
      <c r="L36" s="51" t="s">
        <v>15</v>
      </c>
      <c r="M36" s="1261" t="s">
        <v>16</v>
      </c>
      <c r="N36" s="616"/>
      <c r="O36" s="616"/>
      <c r="P36" s="1988"/>
      <c r="Q36" s="2009"/>
      <c r="R36" s="1988"/>
      <c r="S36" s="2102"/>
      <c r="T36" s="2004"/>
      <c r="U36" s="2002"/>
      <c r="V36" s="2004"/>
      <c r="W36" s="2004"/>
      <c r="X36" s="2004"/>
      <c r="Y36" s="2004"/>
      <c r="Z36" s="2107"/>
      <c r="AA36" s="2009"/>
      <c r="AB36" s="2099"/>
      <c r="AC36" s="2002"/>
      <c r="AD36" s="1988"/>
      <c r="AE36" s="1988"/>
      <c r="AF36" s="1988"/>
      <c r="AG36" s="2252"/>
      <c r="AH36" s="2303"/>
      <c r="AI36" s="2258"/>
    </row>
    <row r="37" spans="1:36" ht="15" customHeight="1" x14ac:dyDescent="0.25">
      <c r="A37" s="13">
        <v>1</v>
      </c>
      <c r="B37" s="13"/>
      <c r="C37" s="42" t="s">
        <v>228</v>
      </c>
      <c r="D37" s="705">
        <v>1967</v>
      </c>
      <c r="E37" s="705">
        <v>2</v>
      </c>
      <c r="F37" s="705">
        <v>12</v>
      </c>
      <c r="G37" s="705">
        <v>32</v>
      </c>
      <c r="H37" s="707">
        <v>506.67</v>
      </c>
      <c r="I37" s="707">
        <v>24.4</v>
      </c>
      <c r="J37" s="715"/>
      <c r="K37" s="715"/>
      <c r="L37" s="1092">
        <v>6244.66</v>
      </c>
      <c r="M37" s="1092">
        <v>5046.59</v>
      </c>
      <c r="N37" s="1111"/>
      <c r="O37" s="1111"/>
      <c r="P37" s="655">
        <f>Q37+R37+S37+T37+U37+V37+W37+X37+Y37+Z37+AA37+AB37+AC37</f>
        <v>1900.4785860878844</v>
      </c>
      <c r="Q37" s="656"/>
      <c r="R37" s="660"/>
      <c r="S37" s="660"/>
      <c r="T37" s="660"/>
      <c r="U37" s="660"/>
      <c r="V37" s="660"/>
      <c r="W37" s="660"/>
      <c r="X37" s="659"/>
      <c r="Y37" s="1093"/>
      <c r="Z37" s="1094"/>
      <c r="AA37" s="1122">
        <f>29138.84/449.68*I37</f>
        <v>1581.0969934175412</v>
      </c>
      <c r="AB37" s="1122">
        <f>AA37*0.202</f>
        <v>319.38159267034331</v>
      </c>
      <c r="AC37" s="1094"/>
      <c r="AD37" s="1095">
        <f>L37-P37</f>
        <v>4344.1814139121152</v>
      </c>
      <c r="AE37" s="524">
        <f>M37/L37*100</f>
        <v>80.814487898460456</v>
      </c>
      <c r="AF37" s="524"/>
      <c r="AG37" s="1095">
        <f>P37/H37/12</f>
        <v>0.31257665839170207</v>
      </c>
      <c r="AH37" s="1129">
        <v>2.0499999999999998</v>
      </c>
      <c r="AI37" s="47">
        <f>L37-M37</f>
        <v>1198.0699999999997</v>
      </c>
    </row>
    <row r="38" spans="1:36" ht="15" customHeight="1" x14ac:dyDescent="0.25">
      <c r="A38" s="13">
        <v>2</v>
      </c>
      <c r="B38" s="13"/>
      <c r="C38" s="42" t="s">
        <v>229</v>
      </c>
      <c r="D38" s="705">
        <v>1967</v>
      </c>
      <c r="E38" s="705">
        <v>2</v>
      </c>
      <c r="F38" s="705">
        <v>12</v>
      </c>
      <c r="G38" s="705">
        <v>38</v>
      </c>
      <c r="H38" s="707">
        <v>538.85</v>
      </c>
      <c r="I38" s="707">
        <v>24.4</v>
      </c>
      <c r="J38" s="715"/>
      <c r="K38" s="715"/>
      <c r="L38" s="1092">
        <v>6216.18</v>
      </c>
      <c r="M38" s="1092">
        <v>5232.54</v>
      </c>
      <c r="N38" s="1111"/>
      <c r="O38" s="1111"/>
      <c r="P38" s="655">
        <f t="shared" ref="P38:P41" si="21">Q38+R38+S38+T38+U38+V38+W38+X38+Y38+Z38+AA38+AB38+AC38</f>
        <v>1900.4785860878844</v>
      </c>
      <c r="Q38" s="656"/>
      <c r="R38" s="660"/>
      <c r="S38" s="660"/>
      <c r="T38" s="660"/>
      <c r="U38" s="660"/>
      <c r="V38" s="660"/>
      <c r="W38" s="660"/>
      <c r="X38" s="659"/>
      <c r="Y38" s="1093"/>
      <c r="Z38" s="1094"/>
      <c r="AA38" s="1122">
        <f t="shared" ref="AA38:AA41" si="22">29138.84/449.68*I38</f>
        <v>1581.0969934175412</v>
      </c>
      <c r="AB38" s="1122">
        <f t="shared" ref="AB38:AB41" si="23">AA38*0.202</f>
        <v>319.38159267034331</v>
      </c>
      <c r="AC38" s="1094"/>
      <c r="AD38" s="1095">
        <f t="shared" ref="AD38:AD41" si="24">L38-P38</f>
        <v>4315.7014139121156</v>
      </c>
      <c r="AE38" s="524">
        <f t="shared" ref="AE38:AE42" si="25">M38/L38*100</f>
        <v>84.176133895736598</v>
      </c>
      <c r="AF38" s="524"/>
      <c r="AG38" s="1095">
        <f t="shared" ref="AG38:AG42" si="26">P38/H38/12</f>
        <v>0.29390965112243422</v>
      </c>
      <c r="AH38" s="1129">
        <v>2.04</v>
      </c>
      <c r="AI38" s="47">
        <f t="shared" ref="AI38:AI42" si="27">L38-M38</f>
        <v>983.64000000000033</v>
      </c>
    </row>
    <row r="39" spans="1:36" ht="15" customHeight="1" x14ac:dyDescent="0.25">
      <c r="A39" s="13">
        <v>3</v>
      </c>
      <c r="B39" s="13"/>
      <c r="C39" s="42" t="s">
        <v>230</v>
      </c>
      <c r="D39" s="705">
        <v>1967</v>
      </c>
      <c r="E39" s="705">
        <v>2</v>
      </c>
      <c r="F39" s="705">
        <v>12</v>
      </c>
      <c r="G39" s="705">
        <v>38</v>
      </c>
      <c r="H39" s="707">
        <v>508.35</v>
      </c>
      <c r="I39" s="707">
        <v>24.08</v>
      </c>
      <c r="J39" s="715"/>
      <c r="K39" s="715"/>
      <c r="L39" s="1092">
        <v>9244.7000000000007</v>
      </c>
      <c r="M39" s="1092">
        <v>4928.47</v>
      </c>
      <c r="N39" s="1111"/>
      <c r="O39" s="1111"/>
      <c r="P39" s="655">
        <f t="shared" si="21"/>
        <v>1875.5542767621419</v>
      </c>
      <c r="Q39" s="656"/>
      <c r="R39" s="660"/>
      <c r="S39" s="660"/>
      <c r="T39" s="660"/>
      <c r="U39" s="660"/>
      <c r="V39" s="660"/>
      <c r="W39" s="660"/>
      <c r="X39" s="659"/>
      <c r="Y39" s="1093"/>
      <c r="Z39" s="1094"/>
      <c r="AA39" s="1122">
        <f t="shared" si="22"/>
        <v>1560.3612951432128</v>
      </c>
      <c r="AB39" s="1122">
        <f t="shared" si="23"/>
        <v>315.19298161892902</v>
      </c>
      <c r="AC39" s="1094"/>
      <c r="AD39" s="1095">
        <f t="shared" si="24"/>
        <v>7369.1457232378589</v>
      </c>
      <c r="AE39" s="524">
        <f t="shared" si="25"/>
        <v>53.311302692353458</v>
      </c>
      <c r="AF39" s="524"/>
      <c r="AG39" s="1095">
        <f t="shared" si="26"/>
        <v>0.30745783363859247</v>
      </c>
      <c r="AH39" s="1129">
        <v>2.0499999999999998</v>
      </c>
      <c r="AI39" s="47">
        <f t="shared" si="27"/>
        <v>4316.2300000000005</v>
      </c>
    </row>
    <row r="40" spans="1:36" ht="15" customHeight="1" x14ac:dyDescent="0.25">
      <c r="A40" s="13">
        <v>4</v>
      </c>
      <c r="B40" s="13"/>
      <c r="C40" s="42" t="s">
        <v>233</v>
      </c>
      <c r="D40" s="705">
        <v>1994</v>
      </c>
      <c r="E40" s="705">
        <v>3</v>
      </c>
      <c r="F40" s="705">
        <v>24</v>
      </c>
      <c r="G40" s="705">
        <v>65</v>
      </c>
      <c r="H40" s="707">
        <v>1442.3</v>
      </c>
      <c r="I40" s="707">
        <v>188.4</v>
      </c>
      <c r="J40" s="715"/>
      <c r="K40" s="715"/>
      <c r="L40" s="1092">
        <v>17480.580000000002</v>
      </c>
      <c r="M40" s="1092">
        <v>16610.98</v>
      </c>
      <c r="N40" s="1111"/>
      <c r="O40" s="1111"/>
      <c r="P40" s="655">
        <f t="shared" si="21"/>
        <v>14674.187115531044</v>
      </c>
      <c r="Q40" s="656"/>
      <c r="R40" s="660"/>
      <c r="S40" s="660"/>
      <c r="T40" s="660"/>
      <c r="U40" s="660"/>
      <c r="V40" s="660"/>
      <c r="W40" s="660"/>
      <c r="X40" s="659"/>
      <c r="Y40" s="1093"/>
      <c r="Z40" s="1094"/>
      <c r="AA40" s="1122">
        <f t="shared" si="22"/>
        <v>12208.142359010852</v>
      </c>
      <c r="AB40" s="1122">
        <f t="shared" si="23"/>
        <v>2466.0447565201921</v>
      </c>
      <c r="AC40" s="1094"/>
      <c r="AD40" s="1095">
        <f t="shared" si="24"/>
        <v>2806.3928844689581</v>
      </c>
      <c r="AE40" s="524">
        <f t="shared" si="25"/>
        <v>95.025336687913082</v>
      </c>
      <c r="AF40" s="524"/>
      <c r="AG40" s="1095">
        <f t="shared" si="26"/>
        <v>0.84784644407838428</v>
      </c>
      <c r="AH40" s="1129">
        <v>2.02</v>
      </c>
      <c r="AI40" s="47">
        <f t="shared" si="27"/>
        <v>869.60000000000218</v>
      </c>
    </row>
    <row r="41" spans="1:36" ht="15" customHeight="1" thickBot="1" x14ac:dyDescent="0.3">
      <c r="A41" s="13">
        <v>5</v>
      </c>
      <c r="B41" s="13"/>
      <c r="C41" s="42" t="s">
        <v>234</v>
      </c>
      <c r="D41" s="705">
        <v>1989</v>
      </c>
      <c r="E41" s="705">
        <v>3</v>
      </c>
      <c r="F41" s="705">
        <v>24</v>
      </c>
      <c r="G41" s="705">
        <v>61</v>
      </c>
      <c r="H41" s="707">
        <v>1454.5</v>
      </c>
      <c r="I41" s="707">
        <v>188.4</v>
      </c>
      <c r="J41" s="715"/>
      <c r="K41" s="715"/>
      <c r="L41" s="1092">
        <v>17628.599999999999</v>
      </c>
      <c r="M41" s="1092">
        <v>15792.7</v>
      </c>
      <c r="N41" s="1111"/>
      <c r="O41" s="1111"/>
      <c r="P41" s="655">
        <f t="shared" si="21"/>
        <v>14674.187115531044</v>
      </c>
      <c r="Q41" s="656"/>
      <c r="R41" s="660"/>
      <c r="S41" s="660"/>
      <c r="T41" s="660"/>
      <c r="U41" s="660"/>
      <c r="V41" s="660"/>
      <c r="W41" s="660"/>
      <c r="X41" s="659"/>
      <c r="Y41" s="1093"/>
      <c r="Z41" s="1094"/>
      <c r="AA41" s="1122">
        <f t="shared" si="22"/>
        <v>12208.142359010852</v>
      </c>
      <c r="AB41" s="1122">
        <f t="shared" si="23"/>
        <v>2466.0447565201921</v>
      </c>
      <c r="AC41" s="1094"/>
      <c r="AD41" s="1095">
        <f t="shared" si="24"/>
        <v>2954.4128844689549</v>
      </c>
      <c r="AE41" s="528">
        <f t="shared" si="25"/>
        <v>89.585673280918527</v>
      </c>
      <c r="AF41" s="528"/>
      <c r="AG41" s="1125">
        <f t="shared" si="26"/>
        <v>0.8407349097932304</v>
      </c>
      <c r="AH41" s="1130">
        <v>2.02</v>
      </c>
      <c r="AI41" s="47">
        <f t="shared" si="27"/>
        <v>1835.8999999999978</v>
      </c>
    </row>
    <row r="42" spans="1:36" ht="15" customHeight="1" thickBot="1" x14ac:dyDescent="0.3">
      <c r="A42" s="195"/>
      <c r="B42" s="579"/>
      <c r="C42" s="196" t="s">
        <v>297</v>
      </c>
      <c r="D42" s="711"/>
      <c r="E42" s="711"/>
      <c r="F42" s="712">
        <f t="shared" ref="F42:R42" si="28">SUM(F37:F41)</f>
        <v>84</v>
      </c>
      <c r="G42" s="712">
        <f t="shared" si="28"/>
        <v>234</v>
      </c>
      <c r="H42" s="1104">
        <f t="shared" si="28"/>
        <v>4450.67</v>
      </c>
      <c r="I42" s="1104">
        <f t="shared" si="28"/>
        <v>449.67999999999995</v>
      </c>
      <c r="J42" s="1112"/>
      <c r="K42" s="1112"/>
      <c r="L42" s="1105">
        <f t="shared" si="28"/>
        <v>56814.720000000001</v>
      </c>
      <c r="M42" s="1105">
        <f t="shared" si="28"/>
        <v>47611.28</v>
      </c>
      <c r="N42" s="1113"/>
      <c r="O42" s="1113"/>
      <c r="P42" s="1106">
        <f t="shared" si="28"/>
        <v>35024.885679999999</v>
      </c>
      <c r="Q42" s="1107">
        <f t="shared" si="28"/>
        <v>0</v>
      </c>
      <c r="R42" s="1108">
        <f t="shared" si="28"/>
        <v>0</v>
      </c>
      <c r="S42" s="1114"/>
      <c r="T42" s="1114"/>
      <c r="U42" s="1114"/>
      <c r="V42" s="1114"/>
      <c r="W42" s="1114"/>
      <c r="X42" s="1114">
        <f>SUM(X37:X41)</f>
        <v>0</v>
      </c>
      <c r="Y42" s="1115">
        <f t="shared" ref="Y42:AD42" si="29">SUM(Y37:Y41)</f>
        <v>0</v>
      </c>
      <c r="Z42" s="1116">
        <f t="shared" si="29"/>
        <v>0</v>
      </c>
      <c r="AA42" s="1110">
        <f t="shared" si="29"/>
        <v>29138.839999999997</v>
      </c>
      <c r="AB42" s="1110">
        <f t="shared" si="29"/>
        <v>5886.0456799999993</v>
      </c>
      <c r="AC42" s="1110">
        <f t="shared" si="29"/>
        <v>0</v>
      </c>
      <c r="AD42" s="1140">
        <f t="shared" si="29"/>
        <v>21789.834320000002</v>
      </c>
      <c r="AE42" s="1141">
        <f t="shared" si="25"/>
        <v>83.80095862480708</v>
      </c>
      <c r="AF42" s="1109"/>
      <c r="AG42" s="1142">
        <f t="shared" si="26"/>
        <v>0.65579799745506484</v>
      </c>
      <c r="AH42" s="1135"/>
      <c r="AI42" s="1132">
        <f t="shared" si="27"/>
        <v>9203.4400000000023</v>
      </c>
      <c r="AJ42" t="s">
        <v>180</v>
      </c>
    </row>
    <row r="43" spans="1:36" ht="15" customHeight="1" x14ac:dyDescent="0.25">
      <c r="A43" s="296"/>
      <c r="B43" s="296"/>
      <c r="C43" s="296"/>
      <c r="D43" s="296"/>
      <c r="E43" s="296"/>
      <c r="F43" s="296"/>
      <c r="G43" s="296"/>
      <c r="H43" s="296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50"/>
      <c r="Z43" s="250"/>
      <c r="AA43" s="1139">
        <f>AA42+AB42</f>
        <v>35024.885679999992</v>
      </c>
      <c r="AB43" s="250"/>
      <c r="AC43" s="250"/>
      <c r="AD43" s="250"/>
      <c r="AE43" s="250"/>
      <c r="AF43" s="250"/>
      <c r="AG43" s="250"/>
      <c r="AH43" s="250"/>
    </row>
    <row r="44" spans="1:36" ht="15" customHeight="1" x14ac:dyDescent="0.25">
      <c r="A44" s="296"/>
      <c r="B44" s="296"/>
      <c r="C44" s="296"/>
      <c r="D44" s="296"/>
      <c r="E44" s="563" t="s">
        <v>607</v>
      </c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</row>
    <row r="45" spans="1:36" ht="15" customHeight="1" x14ac:dyDescent="0.25">
      <c r="A45" s="296"/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550"/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50"/>
      <c r="Z45" s="250"/>
      <c r="AA45" s="250"/>
      <c r="AB45" s="250"/>
      <c r="AC45" s="250"/>
      <c r="AD45" s="250"/>
      <c r="AE45" s="250"/>
      <c r="AF45" s="250"/>
      <c r="AG45" s="250"/>
      <c r="AH45" s="250"/>
    </row>
    <row r="46" spans="1:36" ht="15" customHeight="1" x14ac:dyDescent="0.25">
      <c r="A46" s="296"/>
      <c r="B46" s="296"/>
      <c r="C46" s="296"/>
      <c r="D46" s="296"/>
      <c r="E46" s="296"/>
      <c r="F46" s="296"/>
      <c r="G46" s="296"/>
      <c r="H46" s="296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50"/>
      <c r="Z46" s="250"/>
      <c r="AA46" s="250"/>
      <c r="AB46" s="250"/>
      <c r="AC46" s="250"/>
      <c r="AD46" s="250"/>
      <c r="AE46" s="250"/>
      <c r="AF46" s="250"/>
      <c r="AG46" s="250"/>
      <c r="AH46" s="250"/>
    </row>
    <row r="47" spans="1:36" ht="15" customHeight="1" x14ac:dyDescent="0.25">
      <c r="A47" s="296"/>
      <c r="B47" s="296"/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50"/>
      <c r="Z47" s="250"/>
      <c r="AA47" s="250"/>
      <c r="AB47" s="250"/>
      <c r="AC47" s="250"/>
      <c r="AD47" s="250"/>
      <c r="AE47" s="250"/>
      <c r="AF47" s="250"/>
      <c r="AG47" s="250"/>
      <c r="AH47" s="250"/>
    </row>
    <row r="48" spans="1:36" ht="15" customHeight="1" x14ac:dyDescent="0.25">
      <c r="A48" s="296"/>
      <c r="B48" s="296"/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</row>
    <row r="49" spans="1:34" ht="15" customHeight="1" x14ac:dyDescent="0.25">
      <c r="A49" s="296"/>
      <c r="B49" s="296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</row>
    <row r="50" spans="1:34" ht="15" customHeight="1" x14ac:dyDescent="0.25">
      <c r="A50" s="296"/>
      <c r="B50" s="296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</row>
    <row r="51" spans="1:34" ht="15" customHeight="1" x14ac:dyDescent="0.25">
      <c r="A51" s="296"/>
      <c r="B51" s="296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/>
      <c r="V51" s="296"/>
      <c r="W51" s="296"/>
      <c r="X51" s="296"/>
      <c r="Y51" s="250"/>
      <c r="Z51" s="250"/>
      <c r="AA51" s="250"/>
      <c r="AB51" s="250"/>
      <c r="AC51" s="250"/>
      <c r="AD51" s="250"/>
      <c r="AE51" s="250"/>
      <c r="AF51" s="250"/>
      <c r="AG51" s="250"/>
      <c r="AH51" s="250"/>
    </row>
    <row r="52" spans="1:34" ht="15" customHeight="1" x14ac:dyDescent="0.25">
      <c r="A52" s="296"/>
      <c r="B52" s="296"/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</row>
    <row r="53" spans="1:34" ht="15" customHeight="1" x14ac:dyDescent="0.25">
      <c r="A53" s="296"/>
      <c r="B53" s="296"/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50"/>
      <c r="Z53" s="250"/>
      <c r="AA53" s="250"/>
      <c r="AB53" s="250"/>
      <c r="AC53" s="250"/>
      <c r="AD53" s="250"/>
      <c r="AE53" s="250"/>
      <c r="AF53" s="250"/>
      <c r="AG53" s="250"/>
      <c r="AH53" s="250"/>
    </row>
    <row r="54" spans="1:34" ht="15" customHeight="1" x14ac:dyDescent="0.25">
      <c r="A54" s="296"/>
      <c r="B54" s="296"/>
      <c r="C54" s="296"/>
      <c r="D54" s="296"/>
      <c r="E54" s="296"/>
      <c r="F54" s="296"/>
      <c r="G54" s="296"/>
      <c r="H54" s="296"/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50"/>
      <c r="Z54" s="250"/>
      <c r="AA54" s="250"/>
      <c r="AB54" s="250"/>
      <c r="AC54" s="250"/>
      <c r="AD54" s="250"/>
      <c r="AE54" s="250"/>
      <c r="AF54" s="250"/>
      <c r="AG54" s="250"/>
      <c r="AH54" s="250"/>
    </row>
    <row r="55" spans="1:34" ht="15" customHeight="1" x14ac:dyDescent="0.25">
      <c r="A55" s="296"/>
      <c r="B55" s="296"/>
      <c r="C55" s="296"/>
      <c r="D55" s="296"/>
      <c r="E55" s="296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</row>
    <row r="56" spans="1:34" ht="15" customHeight="1" x14ac:dyDescent="0.25">
      <c r="A56" s="296"/>
      <c r="B56" s="296"/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</row>
    <row r="57" spans="1:34" ht="15" customHeight="1" x14ac:dyDescent="0.25">
      <c r="A57" s="296"/>
      <c r="B57" s="296"/>
      <c r="C57" s="296"/>
      <c r="D57" s="296"/>
      <c r="E57" s="296"/>
      <c r="F57" s="296"/>
      <c r="G57" s="296"/>
      <c r="H57" s="296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50"/>
      <c r="Z57" s="250"/>
      <c r="AA57" s="250"/>
      <c r="AB57" s="250"/>
      <c r="AC57" s="250"/>
      <c r="AD57" s="250"/>
      <c r="AE57" s="250"/>
      <c r="AF57" s="250"/>
      <c r="AG57" s="250"/>
      <c r="AH57" s="250"/>
    </row>
    <row r="58" spans="1:34" ht="15" customHeight="1" x14ac:dyDescent="0.25">
      <c r="A58" s="296"/>
      <c r="B58" s="296"/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50"/>
      <c r="Z58" s="250"/>
      <c r="AA58" s="250"/>
      <c r="AB58" s="250"/>
      <c r="AC58" s="250"/>
      <c r="AD58" s="250"/>
      <c r="AE58" s="250"/>
      <c r="AF58" s="250"/>
      <c r="AG58" s="250"/>
      <c r="AH58" s="250"/>
    </row>
    <row r="59" spans="1:34" ht="15" customHeight="1" x14ac:dyDescent="0.25">
      <c r="A59" s="296"/>
      <c r="B59" s="296"/>
      <c r="C59" s="296"/>
      <c r="D59" s="296"/>
      <c r="E59" s="296"/>
      <c r="F59" s="296"/>
      <c r="G59" s="296"/>
      <c r="H59" s="296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50"/>
      <c r="Z59" s="250"/>
      <c r="AA59" s="250"/>
      <c r="AB59" s="250"/>
      <c r="AC59" s="250"/>
      <c r="AD59" s="250"/>
      <c r="AE59" s="250"/>
      <c r="AF59" s="250"/>
      <c r="AG59" s="250"/>
      <c r="AH59" s="250"/>
    </row>
    <row r="60" spans="1:34" ht="15" customHeight="1" x14ac:dyDescent="0.25">
      <c r="A60" s="296"/>
      <c r="B60" s="296"/>
      <c r="C60" s="296"/>
      <c r="D60" s="296"/>
      <c r="E60" s="296"/>
      <c r="F60" s="296"/>
      <c r="G60" s="296"/>
      <c r="H60" s="296"/>
      <c r="I60" s="296"/>
      <c r="J60" s="296"/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</row>
    <row r="61" spans="1:34" ht="15" customHeight="1" x14ac:dyDescent="0.25">
      <c r="A61" s="296"/>
      <c r="B61" s="296"/>
      <c r="C61" s="296"/>
      <c r="D61" s="296"/>
      <c r="E61" s="296"/>
      <c r="F61" s="296"/>
      <c r="G61" s="296"/>
      <c r="H61" s="296"/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50"/>
      <c r="Z61" s="250"/>
      <c r="AA61" s="250"/>
      <c r="AB61" s="250"/>
      <c r="AC61" s="250"/>
      <c r="AD61" s="250"/>
      <c r="AE61" s="250"/>
      <c r="AF61" s="250"/>
      <c r="AG61" s="250"/>
      <c r="AH61" s="250"/>
    </row>
    <row r="62" spans="1:34" ht="15" customHeight="1" x14ac:dyDescent="0.25">
      <c r="A62" s="296"/>
      <c r="B62" s="296"/>
      <c r="C62" s="296"/>
      <c r="D62" s="296"/>
      <c r="E62" s="296"/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</row>
    <row r="63" spans="1:34" ht="15" customHeight="1" x14ac:dyDescent="0.25">
      <c r="A63" s="296"/>
      <c r="B63" s="296"/>
      <c r="C63" s="296"/>
      <c r="D63" s="296"/>
      <c r="E63" s="296"/>
      <c r="F63" s="296"/>
      <c r="G63" s="296"/>
      <c r="H63" s="296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50"/>
      <c r="Z63" s="250"/>
      <c r="AA63" s="250"/>
      <c r="AB63" s="250"/>
      <c r="AC63" s="250"/>
      <c r="AD63" s="250"/>
      <c r="AE63" s="250"/>
      <c r="AF63" s="250"/>
      <c r="AG63" s="250"/>
      <c r="AH63" s="250"/>
    </row>
    <row r="64" spans="1:34" ht="15" customHeight="1" x14ac:dyDescent="0.25">
      <c r="A64" s="296"/>
      <c r="B64" s="296"/>
      <c r="C64" s="296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</row>
    <row r="65" spans="1:34" x14ac:dyDescent="0.25">
      <c r="A65" s="189"/>
      <c r="B65" s="189"/>
      <c r="C65" s="190" t="s">
        <v>298</v>
      </c>
      <c r="D65" s="191"/>
      <c r="E65" s="191"/>
      <c r="F65" s="191"/>
      <c r="G65" s="191"/>
      <c r="H65" s="192"/>
      <c r="I65" s="192"/>
      <c r="J65" s="192"/>
      <c r="K65" s="192"/>
      <c r="L65" s="193"/>
      <c r="M65" s="193"/>
      <c r="N65" s="193"/>
      <c r="O65" s="193"/>
      <c r="P65" s="145"/>
      <c r="Q65" s="145"/>
      <c r="R65" s="145"/>
      <c r="S65" s="145"/>
      <c r="T65" s="145"/>
      <c r="U65" s="145"/>
      <c r="V65" s="145"/>
      <c r="W65" s="145"/>
      <c r="X65" s="146"/>
      <c r="Y65" s="250"/>
      <c r="Z65" s="250"/>
      <c r="AA65" s="250"/>
      <c r="AB65" s="250"/>
      <c r="AC65" s="250"/>
      <c r="AD65" s="250"/>
      <c r="AE65" s="250"/>
      <c r="AF65" s="250"/>
      <c r="AG65" s="250"/>
      <c r="AH65" s="250"/>
    </row>
    <row r="66" spans="1:34" x14ac:dyDescent="0.25">
      <c r="A66" s="13">
        <v>1</v>
      </c>
      <c r="B66" s="13"/>
      <c r="C66" s="42" t="s">
        <v>228</v>
      </c>
      <c r="D66" s="13">
        <v>1967</v>
      </c>
      <c r="E66" s="13">
        <v>2</v>
      </c>
      <c r="F66" s="13">
        <v>12</v>
      </c>
      <c r="G66" s="13">
        <v>31</v>
      </c>
      <c r="H66" s="121">
        <v>506.36</v>
      </c>
      <c r="I66" s="121">
        <v>24.4</v>
      </c>
      <c r="J66" s="121"/>
      <c r="K66" s="121"/>
      <c r="L66" s="432">
        <v>11248.2</v>
      </c>
      <c r="M66" s="432">
        <v>9310.0300000000007</v>
      </c>
      <c r="N66" s="432"/>
      <c r="O66" s="432"/>
      <c r="P66" s="26">
        <f>Q66+R66+S66+T66</f>
        <v>6264.5</v>
      </c>
      <c r="Q66" s="27">
        <v>6264.5</v>
      </c>
      <c r="R66" s="27"/>
      <c r="S66" s="27"/>
      <c r="T66" s="27"/>
      <c r="U66" s="27">
        <f>L66-P66</f>
        <v>4983.7000000000007</v>
      </c>
      <c r="V66" s="27">
        <f>M66/L66*100</f>
        <v>82.769065272665856</v>
      </c>
      <c r="W66" s="27">
        <f>P66/H66/12</f>
        <v>1.0309694025331122</v>
      </c>
      <c r="X66" s="483">
        <v>1.85</v>
      </c>
      <c r="Y66" s="250"/>
      <c r="Z66" s="250"/>
      <c r="AA66" s="250"/>
      <c r="AB66" s="250"/>
      <c r="AC66" s="250"/>
      <c r="AD66" s="250"/>
      <c r="AE66" s="250"/>
      <c r="AF66" s="250"/>
      <c r="AG66" s="250"/>
      <c r="AH66" s="250"/>
    </row>
    <row r="67" spans="1:34" x14ac:dyDescent="0.25">
      <c r="A67" s="13">
        <v>2</v>
      </c>
      <c r="B67" s="13"/>
      <c r="C67" s="42" t="s">
        <v>229</v>
      </c>
      <c r="D67" s="13">
        <v>1967</v>
      </c>
      <c r="E67" s="13">
        <v>2</v>
      </c>
      <c r="F67" s="13">
        <v>12</v>
      </c>
      <c r="G67" s="13">
        <v>36</v>
      </c>
      <c r="H67" s="121">
        <v>538.85</v>
      </c>
      <c r="I67" s="121">
        <v>24.4</v>
      </c>
      <c r="J67" s="121"/>
      <c r="K67" s="121"/>
      <c r="L67" s="432">
        <v>11345.04</v>
      </c>
      <c r="M67" s="432">
        <v>9375.0400000000009</v>
      </c>
      <c r="N67" s="432"/>
      <c r="O67" s="432"/>
      <c r="P67" s="26">
        <f t="shared" ref="P67:P73" si="30">Q67+R67+S67+T67</f>
        <v>0</v>
      </c>
      <c r="Q67" s="27"/>
      <c r="R67" s="27"/>
      <c r="S67" s="27"/>
      <c r="T67" s="27"/>
      <c r="U67" s="27">
        <f t="shared" ref="U67:U74" si="31">L67-P67</f>
        <v>11345.04</v>
      </c>
      <c r="V67" s="27">
        <f t="shared" ref="V67:V74" si="32">M67/L67*100</f>
        <v>82.63558347965278</v>
      </c>
      <c r="W67" s="27">
        <f t="shared" ref="W67:W74" si="33">P67/H67/12</f>
        <v>0</v>
      </c>
      <c r="X67" s="483">
        <v>1.86</v>
      </c>
      <c r="Y67" s="250"/>
      <c r="Z67" s="250"/>
      <c r="AA67" s="250"/>
      <c r="AB67" s="250"/>
      <c r="AC67" s="250"/>
      <c r="AD67" s="250"/>
      <c r="AE67" s="250"/>
      <c r="AF67" s="250"/>
      <c r="AG67" s="250"/>
      <c r="AH67" s="250"/>
    </row>
    <row r="68" spans="1:34" x14ac:dyDescent="0.25">
      <c r="A68" s="13">
        <v>3</v>
      </c>
      <c r="B68" s="13"/>
      <c r="C68" s="45" t="s">
        <v>231</v>
      </c>
      <c r="D68" s="36">
        <v>1990</v>
      </c>
      <c r="E68" s="36">
        <v>1</v>
      </c>
      <c r="F68" s="36">
        <v>1</v>
      </c>
      <c r="G68" s="36">
        <v>6</v>
      </c>
      <c r="H68" s="121">
        <v>63.7</v>
      </c>
      <c r="I68" s="121"/>
      <c r="J68" s="121"/>
      <c r="K68" s="121"/>
      <c r="L68" s="432">
        <v>221.7</v>
      </c>
      <c r="M68" s="432">
        <v>41.43</v>
      </c>
      <c r="N68" s="432"/>
      <c r="O68" s="432"/>
      <c r="P68" s="26">
        <f t="shared" si="30"/>
        <v>0</v>
      </c>
      <c r="Q68" s="144"/>
      <c r="R68" s="27"/>
      <c r="S68" s="144"/>
      <c r="T68" s="144"/>
      <c r="U68" s="27">
        <f t="shared" si="31"/>
        <v>221.7</v>
      </c>
      <c r="V68" s="27">
        <f t="shared" si="32"/>
        <v>18.68741542625169</v>
      </c>
      <c r="W68" s="27">
        <f t="shared" si="33"/>
        <v>0</v>
      </c>
      <c r="X68" s="402"/>
      <c r="Y68" s="250"/>
      <c r="Z68" s="250"/>
      <c r="AA68" s="250"/>
      <c r="AB68" s="250"/>
      <c r="AC68" s="250"/>
      <c r="AD68" s="250"/>
      <c r="AE68" s="250"/>
      <c r="AF68" s="250"/>
      <c r="AG68" s="250"/>
      <c r="AH68" s="250"/>
    </row>
    <row r="69" spans="1:34" x14ac:dyDescent="0.25">
      <c r="A69" s="13">
        <v>4</v>
      </c>
      <c r="B69" s="13"/>
      <c r="C69" s="42" t="s">
        <v>230</v>
      </c>
      <c r="D69" s="13">
        <v>1967</v>
      </c>
      <c r="E69" s="13">
        <v>2</v>
      </c>
      <c r="F69" s="13">
        <v>12</v>
      </c>
      <c r="G69" s="13">
        <v>36</v>
      </c>
      <c r="H69" s="121">
        <v>508.35</v>
      </c>
      <c r="I69" s="121">
        <v>24.4</v>
      </c>
      <c r="J69" s="121"/>
      <c r="K69" s="121"/>
      <c r="L69" s="432">
        <v>11285.64</v>
      </c>
      <c r="M69" s="432">
        <v>10802.96</v>
      </c>
      <c r="N69" s="432"/>
      <c r="O69" s="432"/>
      <c r="P69" s="26">
        <f t="shared" si="30"/>
        <v>3022.08</v>
      </c>
      <c r="Q69" s="27">
        <v>3022.08</v>
      </c>
      <c r="R69" s="27"/>
      <c r="S69" s="27"/>
      <c r="T69" s="27"/>
      <c r="U69" s="27">
        <f t="shared" si="31"/>
        <v>8263.56</v>
      </c>
      <c r="V69" s="27">
        <f t="shared" si="32"/>
        <v>95.723060455587799</v>
      </c>
      <c r="W69" s="27">
        <f t="shared" si="33"/>
        <v>0.4954067079767876</v>
      </c>
      <c r="X69" s="483"/>
      <c r="Y69" s="250"/>
      <c r="Z69" s="250"/>
      <c r="AA69" s="250"/>
      <c r="AB69" s="250"/>
      <c r="AC69" s="250"/>
      <c r="AD69" s="250"/>
      <c r="AE69" s="250"/>
      <c r="AF69" s="250"/>
      <c r="AG69" s="250"/>
      <c r="AH69" s="250"/>
    </row>
    <row r="70" spans="1:34" x14ac:dyDescent="0.25">
      <c r="A70" s="13">
        <v>5</v>
      </c>
      <c r="B70" s="13"/>
      <c r="C70" s="45" t="s">
        <v>232</v>
      </c>
      <c r="D70" s="36">
        <v>1990</v>
      </c>
      <c r="E70" s="36">
        <v>1</v>
      </c>
      <c r="F70" s="36">
        <v>1</v>
      </c>
      <c r="G70" s="36">
        <v>9</v>
      </c>
      <c r="H70" s="121">
        <v>72.5</v>
      </c>
      <c r="I70" s="121"/>
      <c r="J70" s="121"/>
      <c r="K70" s="121"/>
      <c r="L70" s="432">
        <v>252.3</v>
      </c>
      <c r="M70" s="432">
        <v>147.41</v>
      </c>
      <c r="N70" s="432"/>
      <c r="O70" s="432"/>
      <c r="P70" s="26">
        <f t="shared" si="30"/>
        <v>0</v>
      </c>
      <c r="Q70" s="144"/>
      <c r="R70" s="27"/>
      <c r="S70" s="144"/>
      <c r="T70" s="144"/>
      <c r="U70" s="27">
        <f t="shared" si="31"/>
        <v>252.3</v>
      </c>
      <c r="V70" s="27">
        <f t="shared" si="32"/>
        <v>58.426476416963922</v>
      </c>
      <c r="W70" s="27">
        <f t="shared" si="33"/>
        <v>0</v>
      </c>
      <c r="X70" s="402"/>
      <c r="Y70" s="250"/>
      <c r="Z70" s="250"/>
      <c r="AA70" s="250"/>
      <c r="AB70" s="250"/>
      <c r="AC70" s="250"/>
      <c r="AD70" s="250"/>
      <c r="AE70" s="250"/>
      <c r="AF70" s="250"/>
      <c r="AG70" s="250"/>
      <c r="AH70" s="250"/>
    </row>
    <row r="71" spans="1:34" x14ac:dyDescent="0.25">
      <c r="A71" s="13">
        <v>6</v>
      </c>
      <c r="B71" s="13"/>
      <c r="C71" s="42" t="s">
        <v>233</v>
      </c>
      <c r="D71" s="13">
        <v>1994</v>
      </c>
      <c r="E71" s="13">
        <v>3</v>
      </c>
      <c r="F71" s="13">
        <v>24</v>
      </c>
      <c r="G71" s="13">
        <v>67</v>
      </c>
      <c r="H71" s="121">
        <v>1443</v>
      </c>
      <c r="I71" s="121">
        <v>129.6</v>
      </c>
      <c r="J71" s="121"/>
      <c r="K71" s="121"/>
      <c r="L71" s="432">
        <v>32637.7</v>
      </c>
      <c r="M71" s="432">
        <v>31002.48</v>
      </c>
      <c r="N71" s="432"/>
      <c r="O71" s="432"/>
      <c r="P71" s="26">
        <f t="shared" si="30"/>
        <v>24856.66</v>
      </c>
      <c r="Q71" s="27">
        <v>7354.66</v>
      </c>
      <c r="R71" s="27"/>
      <c r="S71" s="27"/>
      <c r="T71" s="27">
        <v>17502</v>
      </c>
      <c r="U71" s="27">
        <f t="shared" si="31"/>
        <v>7781.0400000000009</v>
      </c>
      <c r="V71" s="27">
        <f t="shared" si="32"/>
        <v>94.989781755454587</v>
      </c>
      <c r="W71" s="27">
        <f t="shared" si="33"/>
        <v>1.4354735504735505</v>
      </c>
      <c r="X71" s="483">
        <v>1.9</v>
      </c>
      <c r="Y71" s="250"/>
      <c r="Z71" s="250"/>
      <c r="AA71" s="250"/>
      <c r="AB71" s="250"/>
      <c r="AC71" s="250"/>
      <c r="AD71" s="250"/>
      <c r="AE71" s="250"/>
      <c r="AF71" s="250"/>
      <c r="AG71" s="250"/>
      <c r="AH71" s="250"/>
    </row>
    <row r="72" spans="1:34" x14ac:dyDescent="0.25">
      <c r="A72" s="13">
        <v>7</v>
      </c>
      <c r="B72" s="13"/>
      <c r="C72" s="42" t="s">
        <v>234</v>
      </c>
      <c r="D72" s="13">
        <v>1989</v>
      </c>
      <c r="E72" s="13">
        <v>3</v>
      </c>
      <c r="F72" s="13">
        <v>24</v>
      </c>
      <c r="G72" s="13">
        <v>55</v>
      </c>
      <c r="H72" s="121">
        <v>1454.5</v>
      </c>
      <c r="I72" s="121">
        <v>129.6</v>
      </c>
      <c r="J72" s="121"/>
      <c r="K72" s="121"/>
      <c r="L72" s="432">
        <v>33162.6</v>
      </c>
      <c r="M72" s="432">
        <v>31126.39</v>
      </c>
      <c r="N72" s="432"/>
      <c r="O72" s="432"/>
      <c r="P72" s="26">
        <f t="shared" si="30"/>
        <v>26006.9</v>
      </c>
      <c r="Q72" s="27">
        <v>8504.9</v>
      </c>
      <c r="R72" s="27"/>
      <c r="S72" s="27"/>
      <c r="T72" s="27">
        <v>17502</v>
      </c>
      <c r="U72" s="27">
        <f t="shared" si="31"/>
        <v>7155.6999999999971</v>
      </c>
      <c r="V72" s="27">
        <f t="shared" si="32"/>
        <v>93.859920512866907</v>
      </c>
      <c r="W72" s="27">
        <f t="shared" si="33"/>
        <v>1.4900252091211186</v>
      </c>
      <c r="X72" s="483">
        <v>1.9</v>
      </c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</row>
    <row r="73" spans="1:34" ht="15.75" thickBot="1" x14ac:dyDescent="0.3">
      <c r="A73" s="187">
        <v>8</v>
      </c>
      <c r="B73" s="187"/>
      <c r="C73" s="188" t="s">
        <v>235</v>
      </c>
      <c r="D73" s="182">
        <v>1964</v>
      </c>
      <c r="E73" s="182">
        <v>1</v>
      </c>
      <c r="F73" s="182">
        <v>2</v>
      </c>
      <c r="G73" s="182">
        <v>0</v>
      </c>
      <c r="H73" s="183">
        <v>76.400000000000006</v>
      </c>
      <c r="I73" s="183"/>
      <c r="J73" s="183"/>
      <c r="K73" s="183"/>
      <c r="L73" s="432">
        <v>242.94</v>
      </c>
      <c r="M73" s="432">
        <v>364.06</v>
      </c>
      <c r="N73" s="184"/>
      <c r="O73" s="184"/>
      <c r="P73" s="203">
        <f t="shared" si="30"/>
        <v>0</v>
      </c>
      <c r="Q73" s="185"/>
      <c r="R73" s="401"/>
      <c r="S73" s="185"/>
      <c r="T73" s="185"/>
      <c r="U73" s="401">
        <f t="shared" si="31"/>
        <v>242.94</v>
      </c>
      <c r="V73" s="401">
        <f t="shared" si="32"/>
        <v>149.85593150572157</v>
      </c>
      <c r="W73" s="401">
        <f t="shared" si="33"/>
        <v>0</v>
      </c>
      <c r="X73" s="404"/>
      <c r="Y73" s="250"/>
      <c r="Z73" s="250"/>
      <c r="AA73" s="250"/>
      <c r="AB73" s="250"/>
      <c r="AC73" s="250"/>
      <c r="AD73" s="250"/>
      <c r="AE73" s="250"/>
      <c r="AF73" s="250"/>
      <c r="AG73" s="250"/>
      <c r="AH73" s="250"/>
    </row>
    <row r="74" spans="1:34" ht="15.75" thickBot="1" x14ac:dyDescent="0.3">
      <c r="A74" s="195"/>
      <c r="B74" s="579"/>
      <c r="C74" s="196" t="s">
        <v>297</v>
      </c>
      <c r="D74" s="197"/>
      <c r="E74" s="197"/>
      <c r="F74" s="217">
        <f t="shared" ref="F74:M74" si="34">SUM(F66:F73)</f>
        <v>88</v>
      </c>
      <c r="G74" s="217">
        <f t="shared" si="34"/>
        <v>240</v>
      </c>
      <c r="H74" s="218">
        <f t="shared" si="34"/>
        <v>4663.66</v>
      </c>
      <c r="I74" s="218">
        <f t="shared" si="34"/>
        <v>332.4</v>
      </c>
      <c r="J74" s="218"/>
      <c r="K74" s="218"/>
      <c r="L74" s="315">
        <f t="shared" si="34"/>
        <v>100396.12</v>
      </c>
      <c r="M74" s="315">
        <f t="shared" si="34"/>
        <v>92169.799999999988</v>
      </c>
      <c r="N74" s="1086"/>
      <c r="O74" s="1086"/>
      <c r="P74" s="484">
        <f>SUM(P66:P73)</f>
        <v>60150.14</v>
      </c>
      <c r="Q74" s="485">
        <f>SUM(Q66:Q73)</f>
        <v>25146.14</v>
      </c>
      <c r="R74" s="200"/>
      <c r="S74" s="199"/>
      <c r="T74" s="429">
        <f>SUM(T66:T73)</f>
        <v>35004</v>
      </c>
      <c r="U74" s="435">
        <f t="shared" si="31"/>
        <v>40245.979999999996</v>
      </c>
      <c r="V74" s="435">
        <f t="shared" si="32"/>
        <v>91.806137528023982</v>
      </c>
      <c r="W74" s="435">
        <f t="shared" si="33"/>
        <v>1.0748021225103603</v>
      </c>
      <c r="X74" s="201"/>
      <c r="Y74" s="250"/>
      <c r="Z74" s="250"/>
      <c r="AA74" s="250"/>
      <c r="AB74" s="250"/>
      <c r="AC74" s="250"/>
      <c r="AD74" s="250"/>
      <c r="AE74" s="250"/>
      <c r="AF74" s="250"/>
      <c r="AG74" s="250"/>
      <c r="AH74" s="250"/>
    </row>
    <row r="75" spans="1:34" x14ac:dyDescent="0.25">
      <c r="A75" s="189"/>
      <c r="B75" s="189"/>
      <c r="C75" s="190" t="s">
        <v>300</v>
      </c>
      <c r="D75" s="191"/>
      <c r="E75" s="191"/>
      <c r="F75" s="191"/>
      <c r="G75" s="191"/>
      <c r="H75" s="192"/>
      <c r="I75" s="192"/>
      <c r="J75" s="192"/>
      <c r="K75" s="192"/>
      <c r="L75" s="193"/>
      <c r="M75" s="193"/>
      <c r="N75" s="193"/>
      <c r="O75" s="193"/>
      <c r="P75" s="145"/>
      <c r="Q75" s="145"/>
      <c r="R75" s="28"/>
      <c r="S75" s="145"/>
      <c r="T75" s="145"/>
      <c r="U75" s="145"/>
      <c r="V75" s="145"/>
      <c r="W75" s="145"/>
      <c r="X75" s="146"/>
      <c r="Y75" s="250"/>
      <c r="Z75" s="250"/>
      <c r="AA75" s="250"/>
      <c r="AB75" s="250"/>
      <c r="AC75" s="250"/>
      <c r="AD75" s="250"/>
      <c r="AE75" s="250"/>
      <c r="AF75" s="250"/>
      <c r="AG75" s="250"/>
      <c r="AH75" s="250"/>
    </row>
    <row r="76" spans="1:34" x14ac:dyDescent="0.25">
      <c r="A76" s="13">
        <v>1</v>
      </c>
      <c r="B76" s="13"/>
      <c r="C76" s="42" t="s">
        <v>236</v>
      </c>
      <c r="D76" s="13">
        <v>1970</v>
      </c>
      <c r="E76" s="57">
        <v>2</v>
      </c>
      <c r="F76" s="57">
        <v>12</v>
      </c>
      <c r="G76" s="57">
        <v>35</v>
      </c>
      <c r="H76" s="219">
        <v>489.9</v>
      </c>
      <c r="I76" s="121"/>
      <c r="J76" s="121"/>
      <c r="K76" s="121"/>
      <c r="L76" s="432">
        <v>275.04000000000002</v>
      </c>
      <c r="M76" s="432">
        <v>156.87</v>
      </c>
      <c r="N76" s="432"/>
      <c r="O76" s="432"/>
      <c r="P76" s="26">
        <v>842</v>
      </c>
      <c r="Q76" s="27">
        <v>842</v>
      </c>
      <c r="R76" s="27"/>
      <c r="S76" s="27"/>
      <c r="T76" s="27"/>
      <c r="U76" s="27">
        <f>L76-P76</f>
        <v>-566.96</v>
      </c>
      <c r="V76" s="27">
        <f>M76/L76*100</f>
        <v>57.035340314136121</v>
      </c>
      <c r="W76" s="27">
        <f>P76/H76/12</f>
        <v>0.14322650881132204</v>
      </c>
      <c r="X76" s="483"/>
      <c r="Y76" s="250"/>
      <c r="Z76" s="250"/>
      <c r="AA76" s="250"/>
      <c r="AB76" s="250"/>
      <c r="AC76" s="250"/>
      <c r="AD76" s="250"/>
      <c r="AE76" s="250"/>
      <c r="AF76" s="250"/>
      <c r="AG76" s="250"/>
      <c r="AH76" s="250"/>
    </row>
    <row r="77" spans="1:34" x14ac:dyDescent="0.25">
      <c r="A77" s="13"/>
      <c r="B77" s="13"/>
      <c r="C77" s="42"/>
      <c r="D77" s="13"/>
      <c r="E77" s="13"/>
      <c r="F77" s="13"/>
      <c r="G77" s="13"/>
      <c r="H77" s="121"/>
      <c r="I77" s="121"/>
      <c r="J77" s="121"/>
      <c r="K77" s="121"/>
      <c r="L77" s="432"/>
      <c r="M77" s="432"/>
      <c r="N77" s="432"/>
      <c r="O77" s="432"/>
      <c r="P77" s="26"/>
      <c r="Q77" s="27"/>
      <c r="R77" s="27"/>
      <c r="S77" s="27"/>
      <c r="T77" s="27"/>
      <c r="U77" s="27"/>
      <c r="V77" s="27"/>
      <c r="W77" s="27"/>
      <c r="X77" s="483"/>
      <c r="Y77" s="250"/>
      <c r="Z77" s="250"/>
      <c r="AA77" s="250"/>
      <c r="AB77" s="250"/>
      <c r="AC77" s="250"/>
      <c r="AD77" s="250"/>
      <c r="AE77" s="250"/>
      <c r="AF77" s="250"/>
      <c r="AG77" s="250"/>
      <c r="AH77" s="250"/>
    </row>
    <row r="78" spans="1:34" x14ac:dyDescent="0.25">
      <c r="A78" s="13"/>
      <c r="B78" s="13"/>
      <c r="C78" s="181" t="s">
        <v>301</v>
      </c>
      <c r="D78" s="13"/>
      <c r="E78" s="13"/>
      <c r="F78" s="13"/>
      <c r="G78" s="13"/>
      <c r="H78" s="121"/>
      <c r="I78" s="121"/>
      <c r="J78" s="121"/>
      <c r="K78" s="121"/>
      <c r="L78" s="432"/>
      <c r="M78" s="432"/>
      <c r="N78" s="432"/>
      <c r="O78" s="432"/>
      <c r="P78" s="26"/>
      <c r="Q78" s="27"/>
      <c r="R78" s="27"/>
      <c r="S78" s="27"/>
      <c r="T78" s="27"/>
      <c r="U78" s="27"/>
      <c r="V78" s="27"/>
      <c r="W78" s="27"/>
      <c r="X78" s="483"/>
      <c r="Y78" s="250"/>
      <c r="Z78" s="250"/>
      <c r="AA78" s="250"/>
      <c r="AB78" s="250"/>
      <c r="AC78" s="250"/>
      <c r="AD78" s="250"/>
      <c r="AE78" s="250"/>
      <c r="AF78" s="250"/>
      <c r="AG78" s="250"/>
      <c r="AH78" s="250"/>
    </row>
    <row r="79" spans="1:34" x14ac:dyDescent="0.25">
      <c r="A79" s="13">
        <v>1</v>
      </c>
      <c r="B79" s="13"/>
      <c r="C79" s="42" t="s">
        <v>237</v>
      </c>
      <c r="D79" s="13">
        <v>1964</v>
      </c>
      <c r="E79" s="13">
        <v>2</v>
      </c>
      <c r="F79" s="13">
        <v>12</v>
      </c>
      <c r="G79" s="13">
        <v>35</v>
      </c>
      <c r="H79" s="121">
        <v>503.3</v>
      </c>
      <c r="I79" s="121"/>
      <c r="J79" s="121"/>
      <c r="K79" s="121"/>
      <c r="L79" s="432">
        <v>9783.9599999999991</v>
      </c>
      <c r="M79" s="432">
        <v>9441.82</v>
      </c>
      <c r="N79" s="432"/>
      <c r="O79" s="432"/>
      <c r="P79" s="26">
        <f>Q79</f>
        <v>138</v>
      </c>
      <c r="Q79" s="27">
        <v>138</v>
      </c>
      <c r="R79" s="27"/>
      <c r="S79" s="27"/>
      <c r="T79" s="27"/>
      <c r="U79" s="27">
        <f t="shared" ref="U79:U84" si="35">L79-P79</f>
        <v>9645.9599999999991</v>
      </c>
      <c r="V79" s="27">
        <f t="shared" ref="V79:V84" si="36">M79/L79*100</f>
        <v>96.503051933981737</v>
      </c>
      <c r="W79" s="27">
        <f t="shared" ref="W79:W84" si="37">P79/H79/12</f>
        <v>2.2849195310947742E-2</v>
      </c>
      <c r="X79" s="483"/>
      <c r="Y79" s="250"/>
      <c r="Z79" s="250"/>
      <c r="AA79" s="250"/>
      <c r="AB79" s="250"/>
      <c r="AC79" s="250"/>
      <c r="AD79" s="250"/>
      <c r="AE79" s="250"/>
      <c r="AF79" s="250"/>
      <c r="AG79" s="250"/>
      <c r="AH79" s="250"/>
    </row>
    <row r="80" spans="1:34" ht="15.75" thickBot="1" x14ac:dyDescent="0.3">
      <c r="A80" s="187">
        <v>2</v>
      </c>
      <c r="B80" s="187"/>
      <c r="C80" s="202" t="s">
        <v>238</v>
      </c>
      <c r="D80" s="187">
        <v>1967</v>
      </c>
      <c r="E80" s="187">
        <v>2</v>
      </c>
      <c r="F80" s="187">
        <v>12</v>
      </c>
      <c r="G80" s="187">
        <v>29</v>
      </c>
      <c r="H80" s="183">
        <v>501.4</v>
      </c>
      <c r="I80" s="183"/>
      <c r="J80" s="183"/>
      <c r="K80" s="183"/>
      <c r="L80" s="184">
        <v>9747.24</v>
      </c>
      <c r="M80" s="184">
        <v>9295.5300000000007</v>
      </c>
      <c r="N80" s="184"/>
      <c r="O80" s="184"/>
      <c r="P80" s="203">
        <f>Q80</f>
        <v>4087.9</v>
      </c>
      <c r="Q80" s="401">
        <v>4087.9</v>
      </c>
      <c r="R80" s="401"/>
      <c r="S80" s="401"/>
      <c r="T80" s="401"/>
      <c r="U80" s="401">
        <f t="shared" si="35"/>
        <v>5659.34</v>
      </c>
      <c r="V80" s="401">
        <f t="shared" si="36"/>
        <v>95.365765078114435</v>
      </c>
      <c r="W80" s="401">
        <f t="shared" si="37"/>
        <v>0.67941430660816382</v>
      </c>
      <c r="X80" s="486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</row>
    <row r="81" spans="1:34" ht="15.75" thickBot="1" x14ac:dyDescent="0.3">
      <c r="A81" s="195"/>
      <c r="B81" s="579"/>
      <c r="C81" s="204" t="s">
        <v>303</v>
      </c>
      <c r="D81" s="205"/>
      <c r="E81" s="205"/>
      <c r="F81" s="220">
        <f>SUM(F79:F80)</f>
        <v>24</v>
      </c>
      <c r="G81" s="220">
        <f>SUM(G79:G80)</f>
        <v>64</v>
      </c>
      <c r="H81" s="218">
        <f>SUM(H79:H80)</f>
        <v>1004.7</v>
      </c>
      <c r="I81" s="198"/>
      <c r="J81" s="1084"/>
      <c r="K81" s="1084"/>
      <c r="L81" s="433">
        <f>SUM(L79:L80)</f>
        <v>19531.199999999997</v>
      </c>
      <c r="M81" s="315">
        <f>SUM(M79:M80)</f>
        <v>18737.349999999999</v>
      </c>
      <c r="N81" s="1086"/>
      <c r="O81" s="1086"/>
      <c r="P81" s="484">
        <f>SUM(P79:P80)</f>
        <v>4225.8999999999996</v>
      </c>
      <c r="Q81" s="435">
        <f>SUM(Q79:Q80)</f>
        <v>4225.8999999999996</v>
      </c>
      <c r="R81" s="200"/>
      <c r="S81" s="200"/>
      <c r="T81" s="200"/>
      <c r="U81" s="435">
        <f t="shared" si="35"/>
        <v>15305.299999999997</v>
      </c>
      <c r="V81" s="435">
        <f t="shared" si="36"/>
        <v>95.935477594822643</v>
      </c>
      <c r="W81" s="435">
        <f t="shared" si="37"/>
        <v>0.35051093195315347</v>
      </c>
      <c r="X81" s="490"/>
      <c r="Y81" s="250"/>
      <c r="Z81" s="250"/>
      <c r="AA81" s="250"/>
      <c r="AB81" s="250"/>
      <c r="AC81" s="250"/>
      <c r="AD81" s="250"/>
      <c r="AE81" s="250"/>
      <c r="AF81" s="250"/>
      <c r="AG81" s="250"/>
      <c r="AH81" s="250"/>
    </row>
    <row r="82" spans="1:34" x14ac:dyDescent="0.25">
      <c r="A82" s="406">
        <v>1</v>
      </c>
      <c r="B82" s="406"/>
      <c r="C82" s="407" t="s">
        <v>283</v>
      </c>
      <c r="D82" s="406">
        <v>1960</v>
      </c>
      <c r="E82" s="406">
        <v>1</v>
      </c>
      <c r="F82" s="406">
        <v>4</v>
      </c>
      <c r="G82" s="406">
        <v>2</v>
      </c>
      <c r="H82" s="408">
        <v>66.3</v>
      </c>
      <c r="I82" s="408"/>
      <c r="J82" s="408"/>
      <c r="K82" s="408"/>
      <c r="L82" s="372">
        <v>282.42</v>
      </c>
      <c r="M82" s="480">
        <v>31.12</v>
      </c>
      <c r="N82" s="1087"/>
      <c r="O82" s="1087"/>
      <c r="P82" s="487">
        <f>Q82+R82+S82+T82</f>
        <v>0</v>
      </c>
      <c r="Q82" s="487"/>
      <c r="R82" s="488"/>
      <c r="S82" s="489"/>
      <c r="T82" s="489"/>
      <c r="U82" s="488">
        <f t="shared" si="35"/>
        <v>282.42</v>
      </c>
      <c r="V82" s="488">
        <f t="shared" si="36"/>
        <v>11.019049642376602</v>
      </c>
      <c r="W82" s="488">
        <f t="shared" si="37"/>
        <v>0</v>
      </c>
      <c r="X82" s="489"/>
      <c r="Y82" s="250"/>
      <c r="Z82" s="250"/>
      <c r="AA82" s="250"/>
      <c r="AB82" s="250"/>
      <c r="AC82" s="250"/>
      <c r="AD82" s="250"/>
      <c r="AE82" s="250"/>
      <c r="AF82" s="250"/>
      <c r="AG82" s="250"/>
      <c r="AH82" s="250"/>
    </row>
    <row r="83" spans="1:34" ht="15.75" thickBot="1" x14ac:dyDescent="0.3">
      <c r="A83" s="208">
        <v>2</v>
      </c>
      <c r="B83" s="208"/>
      <c r="C83" s="209" t="s">
        <v>239</v>
      </c>
      <c r="D83" s="210"/>
      <c r="E83" s="208">
        <v>1</v>
      </c>
      <c r="F83" s="208">
        <v>1</v>
      </c>
      <c r="G83" s="208">
        <v>4</v>
      </c>
      <c r="H83" s="436">
        <v>48.3</v>
      </c>
      <c r="I83" s="436"/>
      <c r="J83" s="436"/>
      <c r="K83" s="436"/>
      <c r="L83" s="437">
        <v>153.6</v>
      </c>
      <c r="M83" s="481">
        <v>128.21</v>
      </c>
      <c r="N83" s="481"/>
      <c r="O83" s="481"/>
      <c r="P83" s="438">
        <f>Q83+R83+S83+T83</f>
        <v>0</v>
      </c>
      <c r="Q83" s="439"/>
      <c r="R83" s="440"/>
      <c r="S83" s="441"/>
      <c r="T83" s="441"/>
      <c r="U83" s="440">
        <f t="shared" si="35"/>
        <v>153.6</v>
      </c>
      <c r="V83" s="440">
        <f t="shared" si="36"/>
        <v>83.470052083333343</v>
      </c>
      <c r="W83" s="440">
        <f t="shared" si="37"/>
        <v>0</v>
      </c>
      <c r="X83" s="441"/>
      <c r="Y83" s="250"/>
      <c r="Z83" s="250"/>
      <c r="AA83" s="250"/>
      <c r="AB83" s="250"/>
      <c r="AC83" s="250"/>
      <c r="AD83" s="250"/>
      <c r="AE83" s="250"/>
      <c r="AF83" s="250"/>
      <c r="AG83" s="250"/>
      <c r="AH83" s="250"/>
    </row>
    <row r="84" spans="1:34" ht="16.5" thickBot="1" x14ac:dyDescent="0.3">
      <c r="A84" s="211"/>
      <c r="B84" s="581"/>
      <c r="C84" s="212" t="s">
        <v>302</v>
      </c>
      <c r="D84" s="213"/>
      <c r="E84" s="213"/>
      <c r="F84" s="214">
        <f>SUM(F82:F83)</f>
        <v>5</v>
      </c>
      <c r="G84" s="214">
        <f>SUM(G82:G83)</f>
        <v>6</v>
      </c>
      <c r="H84" s="215">
        <f>SUM(H82:H83)</f>
        <v>114.6</v>
      </c>
      <c r="I84" s="214"/>
      <c r="J84" s="214"/>
      <c r="K84" s="214"/>
      <c r="L84" s="444">
        <f>SUM(L82:L83)</f>
        <v>436.02</v>
      </c>
      <c r="M84" s="482">
        <f>SUM(M82:M83)</f>
        <v>159.33000000000001</v>
      </c>
      <c r="N84" s="1088"/>
      <c r="O84" s="1088"/>
      <c r="P84" s="491">
        <f>Q84+R84+S84+T84</f>
        <v>0</v>
      </c>
      <c r="Q84" s="216"/>
      <c r="R84" s="216"/>
      <c r="S84" s="445"/>
      <c r="T84" s="445"/>
      <c r="U84" s="216">
        <f t="shared" si="35"/>
        <v>436.02</v>
      </c>
      <c r="V84" s="216">
        <f t="shared" si="36"/>
        <v>36.541901747626262</v>
      </c>
      <c r="W84" s="216">
        <f t="shared" si="37"/>
        <v>0</v>
      </c>
      <c r="X84" s="213"/>
      <c r="Y84" s="250"/>
      <c r="Z84" s="250"/>
      <c r="AA84" s="250"/>
      <c r="AB84" s="250"/>
      <c r="AC84" s="250"/>
      <c r="AD84" s="250"/>
      <c r="AE84" s="250"/>
      <c r="AF84" s="250"/>
      <c r="AG84" s="250"/>
      <c r="AH84" s="250"/>
    </row>
    <row r="85" spans="1:34" x14ac:dyDescent="0.25">
      <c r="A85" s="117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442">
        <f>L76+L81+L84</f>
        <v>20242.259999999998</v>
      </c>
      <c r="M85" s="442">
        <f>M76+M81+M84</f>
        <v>19053.55</v>
      </c>
      <c r="N85" s="442"/>
      <c r="O85" s="442"/>
      <c r="P85" s="117"/>
      <c r="Q85" s="443"/>
      <c r="R85" s="443"/>
      <c r="S85" s="443"/>
      <c r="T85" s="443"/>
      <c r="U85" s="443"/>
      <c r="V85" s="443"/>
      <c r="W85" s="443"/>
      <c r="X85" s="443"/>
      <c r="Y85" s="250"/>
      <c r="Z85" s="250"/>
      <c r="AA85" s="250"/>
      <c r="AB85" s="250"/>
      <c r="AC85" s="250"/>
      <c r="AD85" s="250"/>
      <c r="AE85" s="250"/>
      <c r="AF85" s="250"/>
      <c r="AG85" s="250"/>
      <c r="AH85" s="250"/>
    </row>
    <row r="86" spans="1:34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250"/>
      <c r="Z86" s="250"/>
      <c r="AA86" s="250"/>
      <c r="AB86" s="250"/>
      <c r="AC86" s="250"/>
      <c r="AD86" s="250"/>
      <c r="AE86" s="250"/>
      <c r="AF86" s="250"/>
      <c r="AG86" s="250"/>
      <c r="AH86" s="250"/>
    </row>
    <row r="87" spans="1:34" ht="15.75" x14ac:dyDescent="0.25">
      <c r="A87" s="10"/>
      <c r="B87" s="10"/>
      <c r="C87" s="222" t="s">
        <v>492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Y87" s="250"/>
      <c r="Z87" s="250"/>
      <c r="AA87" s="250"/>
      <c r="AB87" s="250"/>
      <c r="AC87" s="250"/>
      <c r="AD87" s="250"/>
      <c r="AE87" s="250"/>
      <c r="AF87" s="250"/>
      <c r="AG87" s="250"/>
      <c r="AH87" s="250"/>
    </row>
    <row r="88" spans="1:34" ht="18" x14ac:dyDescent="0.25">
      <c r="A88" s="10"/>
      <c r="B88" s="10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Y88" s="250"/>
      <c r="Z88" s="250"/>
      <c r="AA88" s="250"/>
      <c r="AB88" s="250"/>
      <c r="AC88" s="250"/>
      <c r="AD88" s="250"/>
      <c r="AE88" s="250"/>
      <c r="AF88" s="250"/>
      <c r="AG88" s="250"/>
      <c r="AH88" s="250"/>
    </row>
    <row r="89" spans="1:34" ht="15" customHeight="1" x14ac:dyDescent="0.25">
      <c r="A89" s="2017" t="s">
        <v>0</v>
      </c>
      <c r="B89" s="1265"/>
      <c r="C89" s="2017" t="s">
        <v>184</v>
      </c>
      <c r="D89" s="2017" t="s">
        <v>54</v>
      </c>
      <c r="E89" s="2017" t="s">
        <v>55</v>
      </c>
      <c r="F89" s="2017" t="s">
        <v>56</v>
      </c>
      <c r="G89" s="2017" t="s">
        <v>57</v>
      </c>
      <c r="H89" s="2017" t="s">
        <v>6</v>
      </c>
      <c r="I89" s="2020" t="s">
        <v>282</v>
      </c>
      <c r="J89" s="1270"/>
      <c r="K89" s="1270"/>
      <c r="L89" s="2249" t="s">
        <v>304</v>
      </c>
      <c r="M89" s="2250"/>
      <c r="N89" s="1271"/>
      <c r="O89" s="1271"/>
      <c r="P89" s="1987" t="s">
        <v>181</v>
      </c>
      <c r="Q89" s="2083" t="s">
        <v>7</v>
      </c>
      <c r="R89" s="2014" t="s">
        <v>8</v>
      </c>
      <c r="S89" s="2255" t="s">
        <v>177</v>
      </c>
      <c r="T89" s="2012" t="s">
        <v>493</v>
      </c>
      <c r="U89" s="2012" t="s">
        <v>494</v>
      </c>
      <c r="V89" s="2012" t="s">
        <v>421</v>
      </c>
      <c r="W89" s="1997" t="s">
        <v>175</v>
      </c>
      <c r="X89" s="1997" t="s">
        <v>183</v>
      </c>
      <c r="Y89" s="250"/>
      <c r="Z89" s="250"/>
      <c r="AA89" s="250"/>
      <c r="AB89" s="250"/>
      <c r="AC89" s="250"/>
      <c r="AD89" s="250"/>
      <c r="AE89" s="250"/>
      <c r="AF89" s="250"/>
      <c r="AG89" s="250"/>
      <c r="AH89" s="250"/>
    </row>
    <row r="90" spans="1:34" x14ac:dyDescent="0.25">
      <c r="A90" s="2017"/>
      <c r="B90" s="1265"/>
      <c r="C90" s="2017"/>
      <c r="D90" s="2017"/>
      <c r="E90" s="2017"/>
      <c r="F90" s="2017"/>
      <c r="G90" s="2017"/>
      <c r="H90" s="2017"/>
      <c r="I90" s="2021"/>
      <c r="J90" s="1083"/>
      <c r="K90" s="1083"/>
      <c r="L90" s="51" t="s">
        <v>15</v>
      </c>
      <c r="M90" s="1261" t="s">
        <v>16</v>
      </c>
      <c r="N90" s="1258"/>
      <c r="O90" s="1258"/>
      <c r="P90" s="1988"/>
      <c r="Q90" s="2083"/>
      <c r="R90" s="2015"/>
      <c r="S90" s="2255"/>
      <c r="T90" s="2013"/>
      <c r="U90" s="2256"/>
      <c r="V90" s="2013"/>
      <c r="W90" s="1998"/>
      <c r="X90" s="1998"/>
      <c r="Y90" s="250"/>
      <c r="Z90" s="250"/>
      <c r="AA90" s="250"/>
      <c r="AB90" s="250"/>
      <c r="AC90" s="250"/>
      <c r="AD90" s="250"/>
      <c r="AE90" s="250"/>
      <c r="AF90" s="250"/>
      <c r="AG90" s="250"/>
      <c r="AH90" s="250"/>
    </row>
    <row r="91" spans="1:34" x14ac:dyDescent="0.25">
      <c r="A91" s="1265"/>
      <c r="B91" s="1265"/>
      <c r="C91" s="180" t="s">
        <v>299</v>
      </c>
      <c r="D91" s="1265"/>
      <c r="E91" s="1265"/>
      <c r="F91" s="1269"/>
      <c r="G91" s="1267"/>
      <c r="H91" s="1270"/>
      <c r="I91" s="1265"/>
      <c r="J91" s="1265"/>
      <c r="K91" s="1265"/>
      <c r="L91" s="517"/>
      <c r="M91" s="517"/>
      <c r="N91" s="1259"/>
      <c r="O91" s="1259"/>
      <c r="P91" s="1258"/>
      <c r="Q91" s="1266"/>
      <c r="R91" s="235"/>
      <c r="S91" s="236"/>
      <c r="T91" s="1262"/>
      <c r="U91" s="1272"/>
      <c r="V91" s="1262"/>
      <c r="W91" s="1262"/>
      <c r="X91" s="1262"/>
      <c r="Y91" s="250"/>
      <c r="Z91" s="250"/>
      <c r="AA91" s="250"/>
      <c r="AB91" s="250"/>
      <c r="AC91" s="250"/>
      <c r="AD91" s="250"/>
      <c r="AE91" s="250"/>
      <c r="AF91" s="250"/>
      <c r="AG91" s="250"/>
      <c r="AH91" s="250"/>
    </row>
    <row r="92" spans="1:34" x14ac:dyDescent="0.25">
      <c r="A92" s="112">
        <v>1</v>
      </c>
      <c r="B92" s="112"/>
      <c r="C92" s="41" t="s">
        <v>210</v>
      </c>
      <c r="D92" s="112">
        <v>1975</v>
      </c>
      <c r="E92" s="112">
        <v>2</v>
      </c>
      <c r="F92" s="112">
        <v>18</v>
      </c>
      <c r="G92" s="1274">
        <v>60</v>
      </c>
      <c r="H92" s="179">
        <v>784.25</v>
      </c>
      <c r="I92" s="131">
        <v>85.12</v>
      </c>
      <c r="J92" s="131"/>
      <c r="K92" s="131"/>
      <c r="L92" s="430">
        <v>18469.5</v>
      </c>
      <c r="M92" s="430">
        <v>18101.88</v>
      </c>
      <c r="N92" s="430"/>
      <c r="O92" s="430"/>
      <c r="P92" s="26">
        <f>Q92+R92+S92+T92+U92+V92</f>
        <v>20627.515808826804</v>
      </c>
      <c r="Q92" s="27"/>
      <c r="R92" s="235">
        <f>7260.47/25682.68*H92</f>
        <v>221.70675324771403</v>
      </c>
      <c r="S92" s="236">
        <f>290/25682.68*H92</f>
        <v>8.8554815930424713</v>
      </c>
      <c r="T92" s="90">
        <f>1912/25682.68*H92</f>
        <v>58.385106227231738</v>
      </c>
      <c r="U92" s="28">
        <f>459157.43/2501.98*I92</f>
        <v>15621.020328539797</v>
      </c>
      <c r="V92" s="28">
        <f>U92*0.302</f>
        <v>4717.5481392190186</v>
      </c>
      <c r="W92" s="28">
        <f>L92-P92</f>
        <v>-2158.0158088268035</v>
      </c>
      <c r="X92" s="90">
        <f>M92/L92*100</f>
        <v>98.009583367172908</v>
      </c>
      <c r="Y92" s="250"/>
      <c r="Z92" s="250"/>
      <c r="AA92" s="250"/>
      <c r="AB92" s="250"/>
      <c r="AC92" s="250"/>
      <c r="AD92" s="250"/>
      <c r="AE92" s="250"/>
      <c r="AF92" s="250"/>
      <c r="AG92" s="250"/>
      <c r="AH92" s="250"/>
    </row>
    <row r="93" spans="1:34" x14ac:dyDescent="0.25">
      <c r="A93" s="13">
        <v>2</v>
      </c>
      <c r="B93" s="13"/>
      <c r="C93" s="41" t="s">
        <v>211</v>
      </c>
      <c r="D93" s="13">
        <v>1975</v>
      </c>
      <c r="E93" s="13">
        <v>2</v>
      </c>
      <c r="F93" s="13">
        <v>18</v>
      </c>
      <c r="G93" s="1274">
        <v>52</v>
      </c>
      <c r="H93" s="37">
        <v>785</v>
      </c>
      <c r="I93" s="121">
        <v>85.12</v>
      </c>
      <c r="J93" s="121"/>
      <c r="K93" s="121"/>
      <c r="L93" s="430">
        <v>18509.64</v>
      </c>
      <c r="M93" s="430">
        <v>18227.259999999998</v>
      </c>
      <c r="N93" s="430"/>
      <c r="O93" s="430"/>
      <c r="P93" s="26">
        <f t="shared" ref="P93:P110" si="38">Q93+R93+S93+T93+U93+V93</f>
        <v>20627.792137173379</v>
      </c>
      <c r="Q93" s="27"/>
      <c r="R93" s="235">
        <f t="shared" ref="R93:R111" si="39">7260.47/25682.68*H93</f>
        <v>221.91877755748231</v>
      </c>
      <c r="S93" s="236">
        <f t="shared" ref="S93:S110" si="40">290/25682.68*H93</f>
        <v>8.8639503354011353</v>
      </c>
      <c r="T93" s="90">
        <f t="shared" ref="T93:T110" si="41">1912/25682.68*H93</f>
        <v>58.440941521679207</v>
      </c>
      <c r="U93" s="28">
        <f t="shared" ref="U93:U107" si="42">459157.43/2501.98*I93</f>
        <v>15621.020328539797</v>
      </c>
      <c r="V93" s="28">
        <f t="shared" ref="V93:V107" si="43">U93*0.302</f>
        <v>4717.5481392190186</v>
      </c>
      <c r="W93" s="28">
        <f t="shared" ref="W93:W110" si="44">L93-P93</f>
        <v>-2118.1521371733797</v>
      </c>
      <c r="X93" s="90">
        <f t="shared" ref="X93:X110" si="45">M93/L93*100</f>
        <v>98.474416574282358</v>
      </c>
      <c r="Y93" s="250"/>
      <c r="Z93" s="250"/>
      <c r="AA93" s="250"/>
      <c r="AB93" s="250"/>
      <c r="AC93" s="250"/>
      <c r="AD93" s="250"/>
      <c r="AE93" s="250"/>
      <c r="AF93" s="250"/>
      <c r="AG93" s="250"/>
      <c r="AH93" s="250"/>
    </row>
    <row r="94" spans="1:34" x14ac:dyDescent="0.25">
      <c r="A94" s="13">
        <v>3</v>
      </c>
      <c r="B94" s="13"/>
      <c r="C94" s="41" t="s">
        <v>212</v>
      </c>
      <c r="D94" s="13">
        <v>1975</v>
      </c>
      <c r="E94" s="13">
        <v>2</v>
      </c>
      <c r="F94" s="13">
        <v>18</v>
      </c>
      <c r="G94" s="30">
        <v>58</v>
      </c>
      <c r="H94" s="121">
        <v>788.23</v>
      </c>
      <c r="I94" s="121">
        <v>86.42</v>
      </c>
      <c r="J94" s="121"/>
      <c r="K94" s="121"/>
      <c r="L94" s="430">
        <v>18586.5</v>
      </c>
      <c r="M94" s="430">
        <v>17544.14</v>
      </c>
      <c r="N94" s="430"/>
      <c r="O94" s="430"/>
      <c r="P94" s="26">
        <f t="shared" si="38"/>
        <v>20939.604125088226</v>
      </c>
      <c r="Q94" s="27"/>
      <c r="R94" s="235">
        <f t="shared" si="39"/>
        <v>222.83189558488445</v>
      </c>
      <c r="S94" s="236">
        <f t="shared" si="40"/>
        <v>8.9004223858257792</v>
      </c>
      <c r="T94" s="90">
        <f t="shared" si="41"/>
        <v>58.68140552309962</v>
      </c>
      <c r="U94" s="28">
        <f t="shared" si="42"/>
        <v>15859.593242392024</v>
      </c>
      <c r="V94" s="28">
        <f t="shared" si="43"/>
        <v>4789.5971592023907</v>
      </c>
      <c r="W94" s="28">
        <f t="shared" si="44"/>
        <v>-2353.1041250882263</v>
      </c>
      <c r="X94" s="90">
        <f t="shared" si="45"/>
        <v>94.391843542356014</v>
      </c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</row>
    <row r="95" spans="1:34" x14ac:dyDescent="0.25">
      <c r="A95" s="13">
        <v>4</v>
      </c>
      <c r="B95" s="13"/>
      <c r="C95" s="41" t="s">
        <v>213</v>
      </c>
      <c r="D95" s="13">
        <v>1975</v>
      </c>
      <c r="E95" s="13">
        <v>2</v>
      </c>
      <c r="F95" s="13">
        <v>18</v>
      </c>
      <c r="G95" s="177">
        <v>42</v>
      </c>
      <c r="H95" s="121">
        <v>789.57</v>
      </c>
      <c r="I95" s="121">
        <v>86.42</v>
      </c>
      <c r="J95" s="121"/>
      <c r="K95" s="121"/>
      <c r="L95" s="430">
        <v>16723.259999999998</v>
      </c>
      <c r="M95" s="430">
        <v>15718.4</v>
      </c>
      <c r="N95" s="430"/>
      <c r="O95" s="430"/>
      <c r="P95" s="26">
        <f t="shared" si="38"/>
        <v>21142.157831734105</v>
      </c>
      <c r="Q95" s="27">
        <v>202.06</v>
      </c>
      <c r="R95" s="235">
        <f t="shared" si="39"/>
        <v>223.21071235167048</v>
      </c>
      <c r="S95" s="236">
        <f t="shared" si="40"/>
        <v>8.9155532055065905</v>
      </c>
      <c r="T95" s="90">
        <f t="shared" si="41"/>
        <v>58.781164582512424</v>
      </c>
      <c r="U95" s="28">
        <f t="shared" si="42"/>
        <v>15859.593242392024</v>
      </c>
      <c r="V95" s="28">
        <f t="shared" si="43"/>
        <v>4789.5971592023907</v>
      </c>
      <c r="W95" s="28">
        <f t="shared" si="44"/>
        <v>-4418.8978317341061</v>
      </c>
      <c r="X95" s="90">
        <f t="shared" si="45"/>
        <v>93.991243334134623</v>
      </c>
      <c r="Y95" s="250"/>
      <c r="Z95" s="250"/>
      <c r="AA95" s="250"/>
      <c r="AB95" s="250"/>
      <c r="AC95" s="250"/>
      <c r="AD95" s="250"/>
      <c r="AE95" s="250"/>
      <c r="AF95" s="250"/>
      <c r="AG95" s="250"/>
      <c r="AH95" s="250"/>
    </row>
    <row r="96" spans="1:34" x14ac:dyDescent="0.25">
      <c r="A96" s="13">
        <v>5</v>
      </c>
      <c r="B96" s="13"/>
      <c r="C96" s="41" t="s">
        <v>214</v>
      </c>
      <c r="D96" s="13">
        <v>1975</v>
      </c>
      <c r="E96" s="13">
        <v>5</v>
      </c>
      <c r="F96" s="13">
        <v>90</v>
      </c>
      <c r="G96" s="30">
        <v>268</v>
      </c>
      <c r="H96" s="121">
        <v>4496</v>
      </c>
      <c r="I96" s="121">
        <v>423.6</v>
      </c>
      <c r="J96" s="121"/>
      <c r="K96" s="121"/>
      <c r="L96" s="430">
        <v>93528.82</v>
      </c>
      <c r="M96" s="430">
        <v>86716.81</v>
      </c>
      <c r="N96" s="430"/>
      <c r="O96" s="430"/>
      <c r="P96" s="26">
        <f t="shared" si="38"/>
        <v>103317.48876885025</v>
      </c>
      <c r="Q96" s="27">
        <v>446.03</v>
      </c>
      <c r="R96" s="235">
        <f t="shared" si="39"/>
        <v>1271.0150622910071</v>
      </c>
      <c r="S96" s="236">
        <f t="shared" si="40"/>
        <v>50.767287526068152</v>
      </c>
      <c r="T96" s="90">
        <f t="shared" si="41"/>
        <v>334.71397844773213</v>
      </c>
      <c r="U96" s="28">
        <f t="shared" si="42"/>
        <v>77738.066390618624</v>
      </c>
      <c r="V96" s="28">
        <f t="shared" si="43"/>
        <v>23476.896049966825</v>
      </c>
      <c r="W96" s="28">
        <f t="shared" si="44"/>
        <v>-9788.6687688502425</v>
      </c>
      <c r="X96" s="90">
        <f t="shared" si="45"/>
        <v>92.716672785992586</v>
      </c>
      <c r="Y96" s="250"/>
      <c r="Z96" s="250"/>
      <c r="AA96" s="250"/>
      <c r="AB96" s="250"/>
      <c r="AC96" s="250"/>
      <c r="AD96" s="250"/>
      <c r="AE96" s="250"/>
      <c r="AF96" s="250"/>
      <c r="AG96" s="250"/>
      <c r="AH96" s="250"/>
    </row>
    <row r="97" spans="1:34" x14ac:dyDescent="0.25">
      <c r="A97" s="13">
        <v>6</v>
      </c>
      <c r="B97" s="13"/>
      <c r="C97" s="41" t="s">
        <v>215</v>
      </c>
      <c r="D97" s="13">
        <v>1963</v>
      </c>
      <c r="E97" s="13">
        <v>2</v>
      </c>
      <c r="F97" s="13">
        <v>12</v>
      </c>
      <c r="G97" s="177">
        <v>39</v>
      </c>
      <c r="H97" s="121">
        <v>515.1</v>
      </c>
      <c r="I97" s="121">
        <v>49.6</v>
      </c>
      <c r="J97" s="121"/>
      <c r="K97" s="121"/>
      <c r="L97" s="430">
        <v>12225.24</v>
      </c>
      <c r="M97" s="430">
        <v>11391.67</v>
      </c>
      <c r="N97" s="430"/>
      <c r="O97" s="430"/>
      <c r="P97" s="26">
        <f t="shared" si="38"/>
        <v>12041.203784001056</v>
      </c>
      <c r="Q97" s="27"/>
      <c r="R97" s="235">
        <f t="shared" si="39"/>
        <v>145.61829594886515</v>
      </c>
      <c r="S97" s="236">
        <f t="shared" si="40"/>
        <v>5.8163322519300946</v>
      </c>
      <c r="T97" s="90">
        <f t="shared" si="41"/>
        <v>38.34768022651842</v>
      </c>
      <c r="U97" s="28">
        <f t="shared" si="42"/>
        <v>9102.4742515927373</v>
      </c>
      <c r="V97" s="28">
        <f t="shared" si="43"/>
        <v>2748.9472239810066</v>
      </c>
      <c r="W97" s="28">
        <f t="shared" si="44"/>
        <v>184.03621599894359</v>
      </c>
      <c r="X97" s="90">
        <f t="shared" si="45"/>
        <v>93.181565351682266</v>
      </c>
      <c r="Y97" s="250"/>
      <c r="Z97" s="250"/>
      <c r="AA97" s="250"/>
      <c r="AB97" s="250"/>
      <c r="AC97" s="250"/>
      <c r="AD97" s="250"/>
      <c r="AE97" s="250"/>
      <c r="AF97" s="250"/>
      <c r="AG97" s="250"/>
      <c r="AH97" s="250"/>
    </row>
    <row r="98" spans="1:34" x14ac:dyDescent="0.25">
      <c r="A98" s="13">
        <v>7</v>
      </c>
      <c r="B98" s="13"/>
      <c r="C98" s="41" t="s">
        <v>216</v>
      </c>
      <c r="D98" s="13">
        <v>1963</v>
      </c>
      <c r="E98" s="13">
        <v>2</v>
      </c>
      <c r="F98" s="13">
        <v>16</v>
      </c>
      <c r="G98" s="30">
        <v>43</v>
      </c>
      <c r="H98" s="121">
        <v>624.4</v>
      </c>
      <c r="I98" s="121">
        <v>76</v>
      </c>
      <c r="J98" s="121"/>
      <c r="K98" s="121"/>
      <c r="L98" s="430">
        <v>14847.24</v>
      </c>
      <c r="M98" s="430">
        <v>13719.93</v>
      </c>
      <c r="N98" s="430"/>
      <c r="O98" s="430"/>
      <c r="P98" s="26">
        <f t="shared" si="38"/>
        <v>18591.548691395605</v>
      </c>
      <c r="Q98" s="27">
        <v>202.06</v>
      </c>
      <c r="R98" s="235">
        <f t="shared" si="39"/>
        <v>176.51730535909803</v>
      </c>
      <c r="S98" s="236">
        <f t="shared" si="40"/>
        <v>7.0505103049993227</v>
      </c>
      <c r="T98" s="90">
        <f t="shared" si="41"/>
        <v>46.484743803995535</v>
      </c>
      <c r="U98" s="28">
        <f t="shared" si="42"/>
        <v>13947.339579053389</v>
      </c>
      <c r="V98" s="28">
        <f t="shared" si="43"/>
        <v>4212.0965528741235</v>
      </c>
      <c r="W98" s="28">
        <f t="shared" si="44"/>
        <v>-3744.3086913956049</v>
      </c>
      <c r="X98" s="90">
        <f t="shared" si="45"/>
        <v>92.407275695684859</v>
      </c>
      <c r="Y98" s="250"/>
      <c r="Z98" s="250"/>
      <c r="AA98" s="250"/>
      <c r="AB98" s="250"/>
      <c r="AC98" s="250"/>
      <c r="AD98" s="250"/>
      <c r="AE98" s="250"/>
      <c r="AF98" s="250"/>
      <c r="AG98" s="250"/>
      <c r="AH98" s="250"/>
    </row>
    <row r="99" spans="1:34" x14ac:dyDescent="0.25">
      <c r="A99" s="13">
        <v>8</v>
      </c>
      <c r="B99" s="13"/>
      <c r="C99" s="41" t="s">
        <v>217</v>
      </c>
      <c r="D99" s="13">
        <v>1963</v>
      </c>
      <c r="E99" s="13">
        <v>2</v>
      </c>
      <c r="F99" s="13">
        <v>16</v>
      </c>
      <c r="G99" s="177">
        <v>27</v>
      </c>
      <c r="H99" s="121">
        <v>630.29999999999995</v>
      </c>
      <c r="I99" s="121">
        <v>76</v>
      </c>
      <c r="J99" s="121"/>
      <c r="K99" s="121"/>
      <c r="L99" s="430">
        <v>15013.86</v>
      </c>
      <c r="M99" s="430">
        <v>12479.93</v>
      </c>
      <c r="N99" s="430"/>
      <c r="O99" s="430"/>
      <c r="P99" s="26">
        <f t="shared" si="38"/>
        <v>18523.662474388657</v>
      </c>
      <c r="Q99" s="27">
        <v>132</v>
      </c>
      <c r="R99" s="235">
        <f t="shared" si="39"/>
        <v>178.18522992927529</v>
      </c>
      <c r="S99" s="236">
        <f t="shared" si="40"/>
        <v>7.1171310782208081</v>
      </c>
      <c r="T99" s="90">
        <f t="shared" si="41"/>
        <v>46.923981453648921</v>
      </c>
      <c r="U99" s="28">
        <f t="shared" si="42"/>
        <v>13947.339579053389</v>
      </c>
      <c r="V99" s="28">
        <f t="shared" si="43"/>
        <v>4212.0965528741235</v>
      </c>
      <c r="W99" s="28">
        <f t="shared" si="44"/>
        <v>-3509.8024743886563</v>
      </c>
      <c r="X99" s="90">
        <f t="shared" si="45"/>
        <v>83.122727932723492</v>
      </c>
      <c r="Y99" s="250"/>
      <c r="Z99" s="250"/>
      <c r="AA99" s="250"/>
      <c r="AB99" s="250"/>
      <c r="AC99" s="250"/>
      <c r="AD99" s="250"/>
      <c r="AE99" s="250"/>
      <c r="AF99" s="250"/>
      <c r="AG99" s="250"/>
      <c r="AH99" s="250"/>
    </row>
    <row r="100" spans="1:34" x14ac:dyDescent="0.25">
      <c r="A100" s="13">
        <v>9</v>
      </c>
      <c r="B100" s="13"/>
      <c r="C100" s="41" t="s">
        <v>218</v>
      </c>
      <c r="D100" s="13">
        <v>1963</v>
      </c>
      <c r="E100" s="13">
        <v>2</v>
      </c>
      <c r="F100" s="13">
        <v>8</v>
      </c>
      <c r="G100" s="30">
        <v>18</v>
      </c>
      <c r="H100" s="121">
        <v>313</v>
      </c>
      <c r="I100" s="121">
        <v>73.5</v>
      </c>
      <c r="J100" s="121"/>
      <c r="K100" s="121"/>
      <c r="L100" s="430">
        <v>7455.66</v>
      </c>
      <c r="M100" s="430">
        <v>8140.86</v>
      </c>
      <c r="N100" s="430"/>
      <c r="O100" s="430"/>
      <c r="P100" s="26">
        <f t="shared" si="38"/>
        <v>17677.407289137132</v>
      </c>
      <c r="Q100" s="27"/>
      <c r="R100" s="235">
        <f t="shared" si="39"/>
        <v>88.484811943301864</v>
      </c>
      <c r="S100" s="236">
        <f t="shared" si="40"/>
        <v>3.5342884776822356</v>
      </c>
      <c r="T100" s="90">
        <f t="shared" si="41"/>
        <v>23.301929549408396</v>
      </c>
      <c r="U100" s="28">
        <f t="shared" si="42"/>
        <v>13488.545513952948</v>
      </c>
      <c r="V100" s="28">
        <f t="shared" si="43"/>
        <v>4073.5407452137902</v>
      </c>
      <c r="W100" s="28">
        <f t="shared" si="44"/>
        <v>-10221.747289137133</v>
      </c>
      <c r="X100" s="90">
        <f t="shared" si="45"/>
        <v>109.19033325017504</v>
      </c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</row>
    <row r="101" spans="1:34" x14ac:dyDescent="0.25">
      <c r="A101" s="13">
        <v>10</v>
      </c>
      <c r="B101" s="13"/>
      <c r="C101" s="41" t="s">
        <v>219</v>
      </c>
      <c r="D101" s="13">
        <v>1977</v>
      </c>
      <c r="E101" s="13">
        <v>5</v>
      </c>
      <c r="F101" s="13">
        <v>90</v>
      </c>
      <c r="G101" s="177">
        <v>231</v>
      </c>
      <c r="H101" s="121">
        <v>4847.7</v>
      </c>
      <c r="I101" s="121">
        <v>585</v>
      </c>
      <c r="J101" s="121"/>
      <c r="K101" s="121"/>
      <c r="L101" s="430">
        <v>108177.78</v>
      </c>
      <c r="M101" s="430">
        <v>107402.26</v>
      </c>
      <c r="N101" s="430"/>
      <c r="O101" s="430"/>
      <c r="P101" s="26">
        <f t="shared" si="38"/>
        <v>142334.04612693941</v>
      </c>
      <c r="Q101" s="27">
        <v>768.1</v>
      </c>
      <c r="R101" s="235">
        <f t="shared" si="39"/>
        <v>1370.4403286183529</v>
      </c>
      <c r="S101" s="236">
        <f t="shared" si="40"/>
        <v>54.738563109457424</v>
      </c>
      <c r="T101" s="90">
        <f t="shared" si="41"/>
        <v>360.89700919062966</v>
      </c>
      <c r="U101" s="28">
        <f t="shared" si="42"/>
        <v>107357.81123350306</v>
      </c>
      <c r="V101" s="28">
        <f t="shared" si="43"/>
        <v>32422.058992517923</v>
      </c>
      <c r="W101" s="28">
        <f t="shared" si="44"/>
        <v>-34156.266126939416</v>
      </c>
      <c r="X101" s="90">
        <f t="shared" si="45"/>
        <v>99.283106013083284</v>
      </c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</row>
    <row r="102" spans="1:34" x14ac:dyDescent="0.25">
      <c r="A102" s="13">
        <v>11</v>
      </c>
      <c r="B102" s="13"/>
      <c r="C102" s="41" t="s">
        <v>220</v>
      </c>
      <c r="D102" s="13">
        <v>1983</v>
      </c>
      <c r="E102" s="13">
        <v>4</v>
      </c>
      <c r="F102" s="13">
        <v>48</v>
      </c>
      <c r="G102" s="30">
        <v>143</v>
      </c>
      <c r="H102" s="121">
        <v>2618.7199999999998</v>
      </c>
      <c r="I102" s="121">
        <v>317.89999999999998</v>
      </c>
      <c r="J102" s="121"/>
      <c r="K102" s="121"/>
      <c r="L102" s="430">
        <v>58770.9</v>
      </c>
      <c r="M102" s="430">
        <v>56983.18</v>
      </c>
      <c r="N102" s="430"/>
      <c r="O102" s="430"/>
      <c r="P102" s="26">
        <f t="shared" si="38"/>
        <v>77263.145243915103</v>
      </c>
      <c r="Q102" s="27">
        <v>339.3</v>
      </c>
      <c r="R102" s="235">
        <f t="shared" si="39"/>
        <v>740.30973396857337</v>
      </c>
      <c r="S102" s="236">
        <f t="shared" si="40"/>
        <v>29.569686652639053</v>
      </c>
      <c r="T102" s="90">
        <f t="shared" si="41"/>
        <v>194.95600303395128</v>
      </c>
      <c r="U102" s="28">
        <f t="shared" si="42"/>
        <v>58340.253318171999</v>
      </c>
      <c r="V102" s="28">
        <f t="shared" si="43"/>
        <v>17618.756502087945</v>
      </c>
      <c r="W102" s="28">
        <f t="shared" si="44"/>
        <v>-18492.245243915102</v>
      </c>
      <c r="X102" s="90">
        <f t="shared" si="45"/>
        <v>96.958154460796081</v>
      </c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</row>
    <row r="103" spans="1:34" x14ac:dyDescent="0.25">
      <c r="A103" s="13">
        <v>12</v>
      </c>
      <c r="B103" s="13"/>
      <c r="C103" s="41" t="s">
        <v>221</v>
      </c>
      <c r="D103" s="13">
        <v>1983</v>
      </c>
      <c r="E103" s="13">
        <v>4</v>
      </c>
      <c r="F103" s="13">
        <v>48</v>
      </c>
      <c r="G103" s="177">
        <v>137</v>
      </c>
      <c r="H103" s="121">
        <v>2615</v>
      </c>
      <c r="I103" s="121">
        <v>317.89999999999998</v>
      </c>
      <c r="J103" s="121"/>
      <c r="K103" s="121"/>
      <c r="L103" s="430">
        <v>58476.22</v>
      </c>
      <c r="M103" s="430">
        <v>56393.48</v>
      </c>
      <c r="N103" s="430"/>
      <c r="O103" s="430"/>
      <c r="P103" s="26">
        <f t="shared" si="38"/>
        <v>77962.114655316094</v>
      </c>
      <c r="Q103" s="27">
        <v>1039.6400000000001</v>
      </c>
      <c r="R103" s="235">
        <f t="shared" si="39"/>
        <v>739.25809339212265</v>
      </c>
      <c r="S103" s="236">
        <f t="shared" si="40"/>
        <v>29.527681690540085</v>
      </c>
      <c r="T103" s="90">
        <f t="shared" si="41"/>
        <v>194.67905997349186</v>
      </c>
      <c r="U103" s="28">
        <f t="shared" si="42"/>
        <v>58340.253318171999</v>
      </c>
      <c r="V103" s="28">
        <f t="shared" si="43"/>
        <v>17618.756502087945</v>
      </c>
      <c r="W103" s="28">
        <f t="shared" si="44"/>
        <v>-19485.894655316093</v>
      </c>
      <c r="X103" s="90">
        <f t="shared" si="45"/>
        <v>96.438312873164506</v>
      </c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</row>
    <row r="104" spans="1:34" x14ac:dyDescent="0.25">
      <c r="A104" s="13">
        <v>13</v>
      </c>
      <c r="B104" s="13"/>
      <c r="C104" s="42" t="s">
        <v>222</v>
      </c>
      <c r="D104" s="13">
        <v>1975</v>
      </c>
      <c r="E104" s="13">
        <v>2</v>
      </c>
      <c r="F104" s="13">
        <v>12</v>
      </c>
      <c r="G104" s="30">
        <v>30</v>
      </c>
      <c r="H104" s="121">
        <v>504.74</v>
      </c>
      <c r="I104" s="121">
        <v>58.2</v>
      </c>
      <c r="J104" s="121"/>
      <c r="K104" s="121"/>
      <c r="L104" s="430">
        <v>7214.6</v>
      </c>
      <c r="M104" s="430">
        <v>8946.81</v>
      </c>
      <c r="N104" s="430"/>
      <c r="O104" s="430"/>
      <c r="P104" s="26">
        <f t="shared" si="38"/>
        <v>14301.670330737437</v>
      </c>
      <c r="Q104" s="27">
        <v>209.4</v>
      </c>
      <c r="R104" s="235">
        <f t="shared" si="39"/>
        <v>142.68953348326576</v>
      </c>
      <c r="S104" s="236">
        <f t="shared" si="40"/>
        <v>5.6993506908157565</v>
      </c>
      <c r="T104" s="90">
        <f t="shared" si="41"/>
        <v>37.576408692550778</v>
      </c>
      <c r="U104" s="28">
        <f t="shared" si="42"/>
        <v>10680.725835538253</v>
      </c>
      <c r="V104" s="28">
        <f t="shared" si="43"/>
        <v>3225.5792023325521</v>
      </c>
      <c r="W104" s="28">
        <f t="shared" si="44"/>
        <v>-7087.070330737437</v>
      </c>
      <c r="X104" s="90">
        <f t="shared" si="45"/>
        <v>124.00978571230559</v>
      </c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</row>
    <row r="105" spans="1:34" x14ac:dyDescent="0.25">
      <c r="A105" s="13">
        <v>14</v>
      </c>
      <c r="B105" s="13"/>
      <c r="C105" s="42" t="s">
        <v>122</v>
      </c>
      <c r="D105" s="13">
        <v>1975</v>
      </c>
      <c r="E105" s="13">
        <v>2</v>
      </c>
      <c r="F105" s="13">
        <v>12</v>
      </c>
      <c r="G105" s="177">
        <v>31</v>
      </c>
      <c r="H105" s="121">
        <v>527.04</v>
      </c>
      <c r="I105" s="121">
        <v>52.8</v>
      </c>
      <c r="J105" s="121"/>
      <c r="K105" s="121"/>
      <c r="L105" s="430">
        <v>7647.61</v>
      </c>
      <c r="M105" s="430">
        <v>8046.04</v>
      </c>
      <c r="N105" s="430"/>
      <c r="O105" s="430"/>
      <c r="P105" s="26">
        <f t="shared" si="38"/>
        <v>13262.210768412311</v>
      </c>
      <c r="Q105" s="27">
        <v>452</v>
      </c>
      <c r="R105" s="235">
        <f t="shared" si="39"/>
        <v>148.9937229603764</v>
      </c>
      <c r="S105" s="236">
        <f t="shared" si="40"/>
        <v>5.9511546302800173</v>
      </c>
      <c r="T105" s="90">
        <f t="shared" si="41"/>
        <v>39.236578114122047</v>
      </c>
      <c r="U105" s="28">
        <f t="shared" si="42"/>
        <v>9689.7306549213008</v>
      </c>
      <c r="V105" s="28">
        <f t="shared" si="43"/>
        <v>2926.298657786233</v>
      </c>
      <c r="W105" s="28">
        <f t="shared" si="44"/>
        <v>-5614.6007684123115</v>
      </c>
      <c r="X105" s="90">
        <f t="shared" si="45"/>
        <v>105.20986295064733</v>
      </c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</row>
    <row r="106" spans="1:34" x14ac:dyDescent="0.25">
      <c r="A106" s="13">
        <v>15</v>
      </c>
      <c r="B106" s="13"/>
      <c r="C106" s="42" t="s">
        <v>223</v>
      </c>
      <c r="D106" s="13">
        <v>1975</v>
      </c>
      <c r="E106" s="13">
        <v>2</v>
      </c>
      <c r="F106" s="13">
        <v>12</v>
      </c>
      <c r="G106" s="30">
        <v>23</v>
      </c>
      <c r="H106" s="121">
        <v>529.83000000000004</v>
      </c>
      <c r="I106" s="121">
        <v>52.4</v>
      </c>
      <c r="J106" s="121"/>
      <c r="K106" s="121"/>
      <c r="L106" s="430">
        <v>7607.5</v>
      </c>
      <c r="M106" s="430">
        <v>8493.93</v>
      </c>
      <c r="N106" s="430"/>
      <c r="O106" s="430"/>
      <c r="P106" s="26">
        <f t="shared" si="38"/>
        <v>14142.722730219846</v>
      </c>
      <c r="Q106" s="27">
        <v>1427.06</v>
      </c>
      <c r="R106" s="235">
        <f t="shared" si="39"/>
        <v>149.78245339271447</v>
      </c>
      <c r="S106" s="236">
        <f t="shared" si="40"/>
        <v>5.9826583518542469</v>
      </c>
      <c r="T106" s="90">
        <f t="shared" si="41"/>
        <v>39.444285409466616</v>
      </c>
      <c r="U106" s="28">
        <f t="shared" si="42"/>
        <v>9616.3236045052308</v>
      </c>
      <c r="V106" s="28">
        <f t="shared" si="43"/>
        <v>2904.1297285605797</v>
      </c>
      <c r="W106" s="28">
        <f t="shared" si="44"/>
        <v>-6535.2227302198462</v>
      </c>
      <c r="X106" s="90">
        <f t="shared" si="45"/>
        <v>111.65205389418338</v>
      </c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</row>
    <row r="107" spans="1:34" x14ac:dyDescent="0.25">
      <c r="A107" s="13">
        <v>16</v>
      </c>
      <c r="B107" s="13"/>
      <c r="C107" s="42" t="s">
        <v>224</v>
      </c>
      <c r="D107" s="13">
        <v>1968</v>
      </c>
      <c r="E107" s="13">
        <v>2</v>
      </c>
      <c r="F107" s="13">
        <v>16</v>
      </c>
      <c r="G107" s="177">
        <v>35</v>
      </c>
      <c r="H107" s="121">
        <v>715.87</v>
      </c>
      <c r="I107" s="121">
        <v>76</v>
      </c>
      <c r="J107" s="121"/>
      <c r="K107" s="121"/>
      <c r="L107" s="430">
        <v>10277.23</v>
      </c>
      <c r="M107" s="430">
        <v>10383.879999999999</v>
      </c>
      <c r="N107" s="430"/>
      <c r="O107" s="430"/>
      <c r="P107" s="26">
        <f t="shared" si="38"/>
        <v>18423.189696543821</v>
      </c>
      <c r="Q107" s="27"/>
      <c r="R107" s="235">
        <f t="shared" si="39"/>
        <v>202.37579017843933</v>
      </c>
      <c r="S107" s="236">
        <f t="shared" si="40"/>
        <v>8.0833581230619238</v>
      </c>
      <c r="T107" s="90">
        <f t="shared" si="41"/>
        <v>53.294416314808274</v>
      </c>
      <c r="U107" s="28">
        <f t="shared" si="42"/>
        <v>13947.339579053389</v>
      </c>
      <c r="V107" s="28">
        <f t="shared" si="43"/>
        <v>4212.0965528741235</v>
      </c>
      <c r="W107" s="28">
        <f t="shared" si="44"/>
        <v>-8145.9596965438213</v>
      </c>
      <c r="X107" s="90">
        <f t="shared" si="45"/>
        <v>101.03773098393243</v>
      </c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</row>
    <row r="108" spans="1:34" x14ac:dyDescent="0.25">
      <c r="A108" s="13">
        <v>17</v>
      </c>
      <c r="B108" s="13"/>
      <c r="C108" s="45" t="s">
        <v>227</v>
      </c>
      <c r="D108" s="36"/>
      <c r="E108" s="36">
        <v>2</v>
      </c>
      <c r="F108" s="36">
        <v>10</v>
      </c>
      <c r="G108" s="36">
        <v>30</v>
      </c>
      <c r="H108" s="37">
        <v>637.20000000000005</v>
      </c>
      <c r="I108" s="37"/>
      <c r="J108" s="37"/>
      <c r="K108" s="37"/>
      <c r="L108" s="272">
        <v>28827.13</v>
      </c>
      <c r="M108" s="272">
        <v>29527.5</v>
      </c>
      <c r="N108" s="272"/>
      <c r="O108" s="272"/>
      <c r="P108" s="26">
        <f t="shared" si="38"/>
        <v>234.76856324962972</v>
      </c>
      <c r="Q108" s="144"/>
      <c r="R108" s="235">
        <f t="shared" si="39"/>
        <v>180.13585357914363</v>
      </c>
      <c r="S108" s="236">
        <f t="shared" si="40"/>
        <v>7.1950435079205137</v>
      </c>
      <c r="T108" s="90">
        <f t="shared" si="41"/>
        <v>47.437666162565598</v>
      </c>
      <c r="U108" s="144"/>
      <c r="V108" s="144"/>
      <c r="W108" s="28">
        <f t="shared" si="44"/>
        <v>28592.361436750372</v>
      </c>
      <c r="X108" s="90">
        <f t="shared" si="45"/>
        <v>102.42955160642076</v>
      </c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</row>
    <row r="109" spans="1:34" x14ac:dyDescent="0.25">
      <c r="A109" s="13">
        <v>18</v>
      </c>
      <c r="B109" s="13"/>
      <c r="C109" s="45" t="s">
        <v>330</v>
      </c>
      <c r="D109" s="36">
        <v>2013</v>
      </c>
      <c r="E109" s="36">
        <v>3</v>
      </c>
      <c r="F109" s="36">
        <v>28</v>
      </c>
      <c r="G109" s="36"/>
      <c r="H109" s="37">
        <v>1588.6</v>
      </c>
      <c r="I109" s="37"/>
      <c r="J109" s="37"/>
      <c r="K109" s="37"/>
      <c r="L109" s="272">
        <v>55646.64</v>
      </c>
      <c r="M109" s="272">
        <v>54174.84</v>
      </c>
      <c r="N109" s="272"/>
      <c r="O109" s="272"/>
      <c r="P109" s="26">
        <f t="shared" si="38"/>
        <v>950.87028182417112</v>
      </c>
      <c r="Q109" s="144">
        <v>365.57</v>
      </c>
      <c r="R109" s="235">
        <f t="shared" si="39"/>
        <v>449.09575799721836</v>
      </c>
      <c r="S109" s="236">
        <f t="shared" si="40"/>
        <v>17.937925481297121</v>
      </c>
      <c r="T109" s="90">
        <f t="shared" si="41"/>
        <v>118.26659834565551</v>
      </c>
      <c r="U109" s="144"/>
      <c r="V109" s="144"/>
      <c r="W109" s="28">
        <f t="shared" si="44"/>
        <v>54695.769718175827</v>
      </c>
      <c r="X109" s="90">
        <f t="shared" si="45"/>
        <v>97.355096372395522</v>
      </c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</row>
    <row r="110" spans="1:34" ht="15.75" thickBot="1" x14ac:dyDescent="0.3">
      <c r="A110" s="187">
        <v>19</v>
      </c>
      <c r="B110" s="187"/>
      <c r="C110" s="188" t="s">
        <v>473</v>
      </c>
      <c r="D110" s="182"/>
      <c r="E110" s="182"/>
      <c r="F110" s="182"/>
      <c r="G110" s="182"/>
      <c r="H110" s="298">
        <v>1372.13</v>
      </c>
      <c r="I110" s="298"/>
      <c r="J110" s="298"/>
      <c r="K110" s="298"/>
      <c r="L110" s="446">
        <v>11169.09</v>
      </c>
      <c r="M110" s="446">
        <v>0</v>
      </c>
      <c r="N110" s="446"/>
      <c r="O110" s="446"/>
      <c r="P110" s="26">
        <f t="shared" si="38"/>
        <v>505.54455224688388</v>
      </c>
      <c r="Q110" s="185"/>
      <c r="R110" s="450">
        <f t="shared" si="39"/>
        <v>387.89988821649456</v>
      </c>
      <c r="S110" s="236">
        <f t="shared" si="40"/>
        <v>15.493620603457273</v>
      </c>
      <c r="T110" s="90">
        <f t="shared" si="41"/>
        <v>102.15104342693209</v>
      </c>
      <c r="U110" s="185"/>
      <c r="V110" s="185"/>
      <c r="W110" s="28">
        <f t="shared" si="44"/>
        <v>10663.545447753117</v>
      </c>
      <c r="X110" s="453">
        <f t="shared" si="45"/>
        <v>0</v>
      </c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</row>
    <row r="111" spans="1:34" ht="15.75" thickBot="1" x14ac:dyDescent="0.3">
      <c r="A111" s="195"/>
      <c r="B111" s="579"/>
      <c r="C111" s="196" t="s">
        <v>296</v>
      </c>
      <c r="D111" s="197"/>
      <c r="E111" s="197"/>
      <c r="F111" s="217"/>
      <c r="G111" s="217">
        <f t="shared" ref="G111:Q111" si="46">SUM(G92:G110)</f>
        <v>1267</v>
      </c>
      <c r="H111" s="405">
        <f t="shared" si="46"/>
        <v>25682.680000000004</v>
      </c>
      <c r="I111" s="405">
        <f t="shared" si="46"/>
        <v>2501.9800000000005</v>
      </c>
      <c r="J111" s="405"/>
      <c r="K111" s="405"/>
      <c r="L111" s="428">
        <f t="shared" si="46"/>
        <v>569174.41999999993</v>
      </c>
      <c r="M111" s="428">
        <f t="shared" si="46"/>
        <v>542392.79999999993</v>
      </c>
      <c r="N111" s="428"/>
      <c r="O111" s="428"/>
      <c r="P111" s="122">
        <f t="shared" si="46"/>
        <v>612868.66385999997</v>
      </c>
      <c r="Q111" s="449">
        <f t="shared" si="46"/>
        <v>5583.22</v>
      </c>
      <c r="R111" s="451">
        <f t="shared" si="39"/>
        <v>7260.4700000000012</v>
      </c>
      <c r="S111" s="452">
        <f>SUM(S92:S110)</f>
        <v>289.99999999999994</v>
      </c>
      <c r="T111" s="429">
        <f>SUM(T92:T110)</f>
        <v>1912.0000000000002</v>
      </c>
      <c r="U111" s="429">
        <f>SUM(U92:U110)</f>
        <v>459157.43</v>
      </c>
      <c r="V111" s="429">
        <f>SUM(V92:V110)</f>
        <v>138665.54385999998</v>
      </c>
      <c r="W111" s="431">
        <f>SUM(W92:W110)</f>
        <v>-43694.243859999915</v>
      </c>
      <c r="X111" s="434">
        <f>M111/L111*100</f>
        <v>95.294655019809213</v>
      </c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</row>
    <row r="112" spans="1:34" x14ac:dyDescent="0.25">
      <c r="A112" s="189"/>
      <c r="B112" s="189"/>
      <c r="C112" s="190"/>
      <c r="D112" s="191"/>
      <c r="E112" s="191"/>
      <c r="F112" s="409"/>
      <c r="G112" s="409"/>
      <c r="H112" s="410"/>
      <c r="I112" s="410"/>
      <c r="J112" s="410"/>
      <c r="K112" s="410"/>
      <c r="L112" s="193"/>
      <c r="M112" s="193"/>
      <c r="N112" s="193"/>
      <c r="O112" s="193"/>
      <c r="P112" s="411"/>
      <c r="Q112" s="412"/>
      <c r="R112" s="413"/>
      <c r="S112" s="145"/>
      <c r="T112" s="145"/>
      <c r="U112" s="145"/>
      <c r="V112" s="145"/>
      <c r="W112" s="145"/>
      <c r="X112" s="146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</row>
    <row r="113" spans="1:34" x14ac:dyDescent="0.25">
      <c r="A113" s="189"/>
      <c r="B113" s="189"/>
      <c r="C113" s="190" t="s">
        <v>298</v>
      </c>
      <c r="D113" s="191"/>
      <c r="E113" s="191"/>
      <c r="F113" s="191"/>
      <c r="G113" s="191"/>
      <c r="H113" s="192"/>
      <c r="I113" s="192"/>
      <c r="J113" s="192"/>
      <c r="K113" s="192"/>
      <c r="L113" s="193"/>
      <c r="M113" s="193"/>
      <c r="N113" s="193"/>
      <c r="O113" s="193"/>
      <c r="P113" s="145"/>
      <c r="Q113" s="145"/>
      <c r="R113" s="28"/>
      <c r="S113" s="145"/>
      <c r="T113" s="145"/>
      <c r="U113" s="145"/>
      <c r="V113" s="145"/>
      <c r="W113" s="145"/>
      <c r="X113" s="146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</row>
    <row r="114" spans="1:34" x14ac:dyDescent="0.25">
      <c r="A114" s="13">
        <v>1</v>
      </c>
      <c r="B114" s="13"/>
      <c r="C114" s="42" t="s">
        <v>228</v>
      </c>
      <c r="D114" s="13">
        <v>1967</v>
      </c>
      <c r="E114" s="13">
        <v>2</v>
      </c>
      <c r="F114" s="13">
        <v>12</v>
      </c>
      <c r="G114" s="13">
        <v>31</v>
      </c>
      <c r="H114" s="121">
        <v>506.36</v>
      </c>
      <c r="I114" s="121">
        <v>24.4</v>
      </c>
      <c r="J114" s="121"/>
      <c r="K114" s="121"/>
      <c r="L114" s="432">
        <v>11886.54</v>
      </c>
      <c r="M114" s="432">
        <v>9509.2199999999993</v>
      </c>
      <c r="N114" s="432"/>
      <c r="O114" s="432"/>
      <c r="P114" s="26">
        <f>Q114+R114+S114+T114+U114+V114</f>
        <v>8251.1496685198581</v>
      </c>
      <c r="Q114" s="27"/>
      <c r="R114" s="28"/>
      <c r="S114" s="28"/>
      <c r="T114" s="28"/>
      <c r="U114" s="28">
        <f>86332.57/332.4*I114</f>
        <v>6337.2885318892913</v>
      </c>
      <c r="V114" s="28">
        <f>U114*0.302</f>
        <v>1913.8611366305659</v>
      </c>
      <c r="W114" s="28">
        <f>L114-P114</f>
        <v>3635.3903314801428</v>
      </c>
      <c r="X114" s="90">
        <f>M114/L114*100</f>
        <v>79.999899045474947</v>
      </c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</row>
    <row r="115" spans="1:34" x14ac:dyDescent="0.25">
      <c r="A115" s="13">
        <v>2</v>
      </c>
      <c r="B115" s="13"/>
      <c r="C115" s="42" t="s">
        <v>229</v>
      </c>
      <c r="D115" s="13">
        <v>1967</v>
      </c>
      <c r="E115" s="13">
        <v>2</v>
      </c>
      <c r="F115" s="13">
        <v>12</v>
      </c>
      <c r="G115" s="13">
        <v>36</v>
      </c>
      <c r="H115" s="121">
        <v>538.85</v>
      </c>
      <c r="I115" s="121">
        <v>24.4</v>
      </c>
      <c r="J115" s="121"/>
      <c r="K115" s="121"/>
      <c r="L115" s="432">
        <v>11863.68</v>
      </c>
      <c r="M115" s="432">
        <v>9532.35</v>
      </c>
      <c r="N115" s="432"/>
      <c r="O115" s="432"/>
      <c r="P115" s="26">
        <f t="shared" ref="P115:P118" si="47">Q115+R115+S115+T115+U115+V115</f>
        <v>8251.1496685198581</v>
      </c>
      <c r="Q115" s="27"/>
      <c r="R115" s="28"/>
      <c r="S115" s="28"/>
      <c r="T115" s="28"/>
      <c r="U115" s="28">
        <f t="shared" ref="U115:U118" si="48">86332.57/332.4*I115</f>
        <v>6337.2885318892913</v>
      </c>
      <c r="V115" s="28">
        <f t="shared" ref="V115:V118" si="49">U115*0.302</f>
        <v>1913.8611366305659</v>
      </c>
      <c r="W115" s="28">
        <f>L115-P115</f>
        <v>3612.5303314801422</v>
      </c>
      <c r="X115" s="90">
        <f>M115/L115*100</f>
        <v>80.349014808221398</v>
      </c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</row>
    <row r="116" spans="1:34" x14ac:dyDescent="0.25">
      <c r="A116" s="13">
        <v>3</v>
      </c>
      <c r="B116" s="13"/>
      <c r="C116" s="42" t="s">
        <v>230</v>
      </c>
      <c r="D116" s="13">
        <v>1967</v>
      </c>
      <c r="E116" s="13">
        <v>2</v>
      </c>
      <c r="F116" s="13">
        <v>12</v>
      </c>
      <c r="G116" s="13">
        <v>36</v>
      </c>
      <c r="H116" s="121">
        <v>508.35</v>
      </c>
      <c r="I116" s="121">
        <v>24.4</v>
      </c>
      <c r="J116" s="121"/>
      <c r="K116" s="121"/>
      <c r="L116" s="432">
        <v>11925.96</v>
      </c>
      <c r="M116" s="432">
        <v>11035.22</v>
      </c>
      <c r="N116" s="432"/>
      <c r="O116" s="432"/>
      <c r="P116" s="26">
        <f t="shared" si="47"/>
        <v>8251.1496685198581</v>
      </c>
      <c r="Q116" s="27"/>
      <c r="R116" s="28"/>
      <c r="S116" s="28"/>
      <c r="T116" s="28"/>
      <c r="U116" s="28">
        <f t="shared" si="48"/>
        <v>6337.2885318892913</v>
      </c>
      <c r="V116" s="28">
        <f t="shared" si="49"/>
        <v>1913.8611366305659</v>
      </c>
      <c r="W116" s="28">
        <f>L116-P116</f>
        <v>3674.810331480141</v>
      </c>
      <c r="X116" s="90">
        <f>M116/L116*100</f>
        <v>92.531083451562807</v>
      </c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</row>
    <row r="117" spans="1:34" x14ac:dyDescent="0.25">
      <c r="A117" s="13">
        <v>4</v>
      </c>
      <c r="B117" s="13"/>
      <c r="C117" s="42" t="s">
        <v>233</v>
      </c>
      <c r="D117" s="13">
        <v>1994</v>
      </c>
      <c r="E117" s="13">
        <v>3</v>
      </c>
      <c r="F117" s="13">
        <v>24</v>
      </c>
      <c r="G117" s="13">
        <v>67</v>
      </c>
      <c r="H117" s="121">
        <v>1443</v>
      </c>
      <c r="I117" s="121">
        <v>129.6</v>
      </c>
      <c r="J117" s="121"/>
      <c r="K117" s="121"/>
      <c r="L117" s="432">
        <v>33164.61</v>
      </c>
      <c r="M117" s="432">
        <v>31206.31</v>
      </c>
      <c r="N117" s="432"/>
      <c r="O117" s="432"/>
      <c r="P117" s="26">
        <f t="shared" si="47"/>
        <v>43825.778567220223</v>
      </c>
      <c r="Q117" s="27"/>
      <c r="R117" s="28"/>
      <c r="S117" s="28"/>
      <c r="T117" s="28"/>
      <c r="U117" s="28">
        <f t="shared" si="48"/>
        <v>33660.352202166068</v>
      </c>
      <c r="V117" s="28">
        <f t="shared" si="49"/>
        <v>10165.426365054152</v>
      </c>
      <c r="W117" s="28">
        <f>L117-P117</f>
        <v>-10661.168567220222</v>
      </c>
      <c r="X117" s="90">
        <f>M117/L117*100</f>
        <v>94.095211733230087</v>
      </c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</row>
    <row r="118" spans="1:34" ht="15.75" thickBot="1" x14ac:dyDescent="0.3">
      <c r="A118" s="13">
        <v>5</v>
      </c>
      <c r="B118" s="13"/>
      <c r="C118" s="42" t="s">
        <v>234</v>
      </c>
      <c r="D118" s="13">
        <v>1989</v>
      </c>
      <c r="E118" s="13">
        <v>3</v>
      </c>
      <c r="F118" s="13">
        <v>24</v>
      </c>
      <c r="G118" s="13">
        <v>55</v>
      </c>
      <c r="H118" s="121">
        <v>1454.5</v>
      </c>
      <c r="I118" s="121">
        <v>129.6</v>
      </c>
      <c r="J118" s="183"/>
      <c r="K118" s="183"/>
      <c r="L118" s="184">
        <v>33686.339999999997</v>
      </c>
      <c r="M118" s="184">
        <v>31233.08</v>
      </c>
      <c r="N118" s="184"/>
      <c r="O118" s="184"/>
      <c r="P118" s="26">
        <f t="shared" si="47"/>
        <v>44157.778567220223</v>
      </c>
      <c r="Q118" s="401">
        <v>332</v>
      </c>
      <c r="R118" s="186"/>
      <c r="S118" s="186"/>
      <c r="T118" s="28"/>
      <c r="U118" s="28">
        <f t="shared" si="48"/>
        <v>33660.352202166068</v>
      </c>
      <c r="V118" s="477">
        <f t="shared" si="49"/>
        <v>10165.426365054152</v>
      </c>
      <c r="W118" s="28">
        <f>L118-P118</f>
        <v>-10471.438567220226</v>
      </c>
      <c r="X118" s="90">
        <f>M118/L118*100</f>
        <v>92.717344775360004</v>
      </c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</row>
    <row r="119" spans="1:34" ht="16.5" thickBot="1" x14ac:dyDescent="0.3">
      <c r="A119" s="195"/>
      <c r="B119" s="579"/>
      <c r="C119" s="196" t="s">
        <v>297</v>
      </c>
      <c r="D119" s="197"/>
      <c r="E119" s="197"/>
      <c r="F119" s="197"/>
      <c r="G119" s="217">
        <f t="shared" ref="G119:Q119" si="50">SUM(G114:G118)</f>
        <v>225</v>
      </c>
      <c r="H119" s="218">
        <f t="shared" si="50"/>
        <v>4451.0599999999995</v>
      </c>
      <c r="I119" s="218">
        <f t="shared" si="50"/>
        <v>332.4</v>
      </c>
      <c r="J119" s="1085"/>
      <c r="K119" s="1085"/>
      <c r="L119" s="447">
        <f t="shared" si="50"/>
        <v>102527.13</v>
      </c>
      <c r="M119" s="448">
        <f t="shared" si="50"/>
        <v>92516.180000000008</v>
      </c>
      <c r="N119" s="448"/>
      <c r="O119" s="448"/>
      <c r="P119" s="122">
        <f t="shared" si="50"/>
        <v>112737.00614000001</v>
      </c>
      <c r="Q119" s="429">
        <f t="shared" si="50"/>
        <v>332</v>
      </c>
      <c r="R119" s="200"/>
      <c r="S119" s="416"/>
      <c r="T119" s="227"/>
      <c r="U119" s="476">
        <f>SUM(U114:U118)</f>
        <v>86332.57</v>
      </c>
      <c r="V119" s="429">
        <f>SUM(V114:V118)</f>
        <v>26072.436140000005</v>
      </c>
      <c r="W119" s="429">
        <f>SUM(W114:W118)</f>
        <v>-10209.876140000022</v>
      </c>
      <c r="X119" s="431">
        <f>SUM(X114:X118)</f>
        <v>439.6925538138492</v>
      </c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</row>
    <row r="120" spans="1:34" x14ac:dyDescent="0.25">
      <c r="A120" s="414"/>
      <c r="B120" s="415"/>
      <c r="C120" s="415"/>
      <c r="D120" s="415"/>
      <c r="E120" s="415"/>
      <c r="F120" s="415"/>
      <c r="G120" s="415"/>
      <c r="H120" s="415"/>
      <c r="I120" s="415"/>
      <c r="J120" s="248"/>
      <c r="K120" s="248"/>
      <c r="L120" s="248"/>
      <c r="M120" s="248"/>
      <c r="N120" s="248"/>
      <c r="O120" s="248"/>
      <c r="P120" s="248"/>
      <c r="Q120" s="248"/>
      <c r="R120" s="248"/>
      <c r="S120" s="248"/>
      <c r="T120" s="415"/>
      <c r="U120" s="415"/>
      <c r="V120" s="415"/>
      <c r="W120" s="415"/>
      <c r="X120" s="415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</row>
  </sheetData>
  <mergeCells count="110">
    <mergeCell ref="A7:A8"/>
    <mergeCell ref="B7:B8"/>
    <mergeCell ref="C7:C8"/>
    <mergeCell ref="D7:D8"/>
    <mergeCell ref="E7:E8"/>
    <mergeCell ref="F7:F8"/>
    <mergeCell ref="Z7:Z8"/>
    <mergeCell ref="AA7:AA8"/>
    <mergeCell ref="P7:P8"/>
    <mergeCell ref="Q7:Q8"/>
    <mergeCell ref="R7:R8"/>
    <mergeCell ref="S7:S8"/>
    <mergeCell ref="T7:T8"/>
    <mergeCell ref="U7:U8"/>
    <mergeCell ref="G7:G8"/>
    <mergeCell ref="H7:H8"/>
    <mergeCell ref="I7:I8"/>
    <mergeCell ref="J7:K7"/>
    <mergeCell ref="L7:M7"/>
    <mergeCell ref="N7:O7"/>
    <mergeCell ref="P23:P24"/>
    <mergeCell ref="Q23:Q24"/>
    <mergeCell ref="R23:R24"/>
    <mergeCell ref="S23:S24"/>
    <mergeCell ref="AH7:AH8"/>
    <mergeCell ref="AI7:AI8"/>
    <mergeCell ref="A23:A24"/>
    <mergeCell ref="B23:B24"/>
    <mergeCell ref="C23:C24"/>
    <mergeCell ref="D23:D24"/>
    <mergeCell ref="E23:E24"/>
    <mergeCell ref="F23:F24"/>
    <mergeCell ref="G23:G24"/>
    <mergeCell ref="H23:H24"/>
    <mergeCell ref="AB7:AB8"/>
    <mergeCell ref="AC7:AC8"/>
    <mergeCell ref="AD7:AD8"/>
    <mergeCell ref="AE7:AE8"/>
    <mergeCell ref="AF7:AF8"/>
    <mergeCell ref="AG7:AG8"/>
    <mergeCell ref="V7:V8"/>
    <mergeCell ref="W7:W8"/>
    <mergeCell ref="X7:X8"/>
    <mergeCell ref="Y7:Y8"/>
    <mergeCell ref="AF23:AF24"/>
    <mergeCell ref="AG23:AG24"/>
    <mergeCell ref="AH23:AH24"/>
    <mergeCell ref="AI23:AI24"/>
    <mergeCell ref="A35:A36"/>
    <mergeCell ref="B35:B36"/>
    <mergeCell ref="C35:C36"/>
    <mergeCell ref="D35:D36"/>
    <mergeCell ref="E35:E36"/>
    <mergeCell ref="F35:F36"/>
    <mergeCell ref="Z23:Z24"/>
    <mergeCell ref="AA23:AA24"/>
    <mergeCell ref="AB23:AB24"/>
    <mergeCell ref="AC23:AC24"/>
    <mergeCell ref="AD23:AD24"/>
    <mergeCell ref="AE23:AE24"/>
    <mergeCell ref="T23:T24"/>
    <mergeCell ref="U23:U24"/>
    <mergeCell ref="V23:V24"/>
    <mergeCell ref="W23:W24"/>
    <mergeCell ref="X23:X24"/>
    <mergeCell ref="Y23:Y24"/>
    <mergeCell ref="I23:I24"/>
    <mergeCell ref="L23:M23"/>
    <mergeCell ref="AG35:AG36"/>
    <mergeCell ref="AH35:AH36"/>
    <mergeCell ref="AI35:AI36"/>
    <mergeCell ref="X35:X36"/>
    <mergeCell ref="Y35:Y36"/>
    <mergeCell ref="Z35:Z36"/>
    <mergeCell ref="AA35:AA36"/>
    <mergeCell ref="AB35:AB36"/>
    <mergeCell ref="AC35:AC36"/>
    <mergeCell ref="A89:A90"/>
    <mergeCell ref="C89:C90"/>
    <mergeCell ref="D89:D90"/>
    <mergeCell ref="E89:E90"/>
    <mergeCell ref="F89:F90"/>
    <mergeCell ref="G89:G90"/>
    <mergeCell ref="AD35:AD36"/>
    <mergeCell ref="AE35:AE36"/>
    <mergeCell ref="AF35:AF36"/>
    <mergeCell ref="R35:R36"/>
    <mergeCell ref="S35:S36"/>
    <mergeCell ref="T35:T36"/>
    <mergeCell ref="U35:U36"/>
    <mergeCell ref="V35:V36"/>
    <mergeCell ref="W35:W36"/>
    <mergeCell ref="G35:G36"/>
    <mergeCell ref="H35:H36"/>
    <mergeCell ref="I35:I36"/>
    <mergeCell ref="L35:M35"/>
    <mergeCell ref="P35:P36"/>
    <mergeCell ref="Q35:Q36"/>
    <mergeCell ref="S89:S90"/>
    <mergeCell ref="T89:T90"/>
    <mergeCell ref="U89:U90"/>
    <mergeCell ref="V89:V90"/>
    <mergeCell ref="W89:W90"/>
    <mergeCell ref="X89:X90"/>
    <mergeCell ref="H89:H90"/>
    <mergeCell ref="I89:I90"/>
    <mergeCell ref="L89:M89"/>
    <mergeCell ref="P89:P90"/>
    <mergeCell ref="Q89:Q90"/>
    <mergeCell ref="R89:R90"/>
  </mergeCells>
  <pageMargins left="0.7" right="0.7" top="0.75" bottom="0.75" header="0.3" footer="0.3"/>
  <pageSetup paperSize="9" orientation="landscape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133"/>
  <sheetViews>
    <sheetView topLeftCell="V1" zoomScaleNormal="100" workbookViewId="0">
      <selection activeCell="T7" sqref="T7:U7"/>
    </sheetView>
  </sheetViews>
  <sheetFormatPr defaultRowHeight="15" x14ac:dyDescent="0.25"/>
  <cols>
    <col min="1" max="1" width="5.140625" customWidth="1"/>
    <col min="2" max="2" width="9.7109375" customWidth="1"/>
    <col min="3" max="3" width="25.28515625" customWidth="1"/>
    <col min="4" max="4" width="8" customWidth="1"/>
    <col min="5" max="5" width="6.85546875" customWidth="1"/>
    <col min="6" max="6" width="7.7109375" customWidth="1"/>
    <col min="7" max="7" width="7" customWidth="1"/>
    <col min="8" max="8" width="9.85546875" customWidth="1"/>
    <col min="9" max="9" width="9.140625" customWidth="1"/>
    <col min="10" max="10" width="10.85546875" customWidth="1"/>
    <col min="11" max="11" width="10.42578125" customWidth="1"/>
    <col min="12" max="12" width="11.42578125" customWidth="1"/>
    <col min="13" max="13" width="11.28515625" customWidth="1"/>
    <col min="14" max="14" width="12.28515625" customWidth="1"/>
    <col min="15" max="15" width="11.28515625" customWidth="1"/>
    <col min="16" max="16" width="11.42578125" customWidth="1"/>
    <col min="17" max="17" width="11.140625" customWidth="1"/>
    <col min="18" max="18" width="12" customWidth="1"/>
    <col min="19" max="19" width="13.28515625" customWidth="1"/>
    <col min="20" max="20" width="11.42578125" customWidth="1"/>
    <col min="21" max="21" width="12" customWidth="1"/>
    <col min="22" max="22" width="10.85546875" customWidth="1"/>
    <col min="23" max="23" width="10.5703125" customWidth="1"/>
    <col min="24" max="24" width="10.42578125" customWidth="1"/>
    <col min="25" max="25" width="11" customWidth="1"/>
    <col min="26" max="26" width="10.42578125" customWidth="1"/>
    <col min="27" max="27" width="11.28515625" customWidth="1"/>
    <col min="28" max="28" width="9.140625" customWidth="1"/>
    <col min="29" max="30" width="10.140625" customWidth="1"/>
    <col min="31" max="31" width="10" customWidth="1"/>
    <col min="32" max="32" width="9.140625" customWidth="1"/>
    <col min="33" max="33" width="11" customWidth="1"/>
    <col min="34" max="35" width="9.140625" customWidth="1"/>
    <col min="36" max="36" width="10.5703125" customWidth="1"/>
    <col min="37" max="39" width="9.140625" customWidth="1"/>
    <col min="40" max="40" width="10" customWidth="1"/>
    <col min="41" max="41" width="10.42578125" customWidth="1"/>
    <col min="42" max="46" width="9.140625" customWidth="1"/>
    <col min="47" max="47" width="9.85546875" customWidth="1"/>
    <col min="48" max="49" width="10.5703125" customWidth="1"/>
    <col min="50" max="51" width="9.140625" customWidth="1"/>
    <col min="52" max="52" width="10.7109375" customWidth="1"/>
    <col min="53" max="53" width="9.140625" customWidth="1"/>
    <col min="54" max="54" width="10.5703125" customWidth="1"/>
    <col min="55" max="55" width="9.85546875" customWidth="1"/>
  </cols>
  <sheetData>
    <row r="2" spans="1:55" ht="15.75" x14ac:dyDescent="0.25">
      <c r="A2" s="10"/>
      <c r="B2" s="10"/>
      <c r="C2" s="11" t="s">
        <v>757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AF2" s="250"/>
      <c r="AG2" s="250"/>
      <c r="AH2" s="250"/>
    </row>
    <row r="3" spans="1:55" ht="15.75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AF3" s="250"/>
      <c r="AG3" s="250"/>
      <c r="AH3" s="250"/>
    </row>
    <row r="4" spans="1:55" ht="15.75" x14ac:dyDescent="0.2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AF4" s="250"/>
      <c r="AG4" s="250"/>
      <c r="AH4" s="250"/>
    </row>
    <row r="5" spans="1:55" ht="15.75" x14ac:dyDescent="0.2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AF5" s="250"/>
      <c r="AG5" s="250"/>
      <c r="AH5" s="250"/>
    </row>
    <row r="6" spans="1:55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AF6" s="167"/>
      <c r="AG6" s="167"/>
      <c r="AH6" s="167"/>
    </row>
    <row r="7" spans="1:55" ht="48" customHeight="1" x14ac:dyDescent="0.25">
      <c r="A7" s="2017" t="s">
        <v>0</v>
      </c>
      <c r="B7" s="2020"/>
      <c r="C7" s="2017" t="s">
        <v>184</v>
      </c>
      <c r="D7" s="2017" t="s">
        <v>54</v>
      </c>
      <c r="E7" s="2017" t="s">
        <v>55</v>
      </c>
      <c r="F7" s="2017" t="s">
        <v>56</v>
      </c>
      <c r="G7" s="2017" t="s">
        <v>57</v>
      </c>
      <c r="H7" s="2017" t="s">
        <v>6</v>
      </c>
      <c r="I7" s="2020" t="s">
        <v>282</v>
      </c>
      <c r="J7" s="1991" t="s">
        <v>656</v>
      </c>
      <c r="K7" s="1992"/>
      <c r="L7" s="2249" t="s">
        <v>284</v>
      </c>
      <c r="M7" s="2250"/>
      <c r="N7" s="2214" t="s">
        <v>658</v>
      </c>
      <c r="O7" s="2215"/>
      <c r="P7" s="1991" t="s">
        <v>310</v>
      </c>
      <c r="Q7" s="1992"/>
      <c r="R7" s="2097" t="s">
        <v>593</v>
      </c>
      <c r="S7" s="2060"/>
      <c r="T7" s="2017" t="s">
        <v>726</v>
      </c>
      <c r="U7" s="2017"/>
      <c r="V7" s="2022" t="s">
        <v>747</v>
      </c>
      <c r="W7" s="2009" t="s">
        <v>370</v>
      </c>
      <c r="X7" s="1987" t="s">
        <v>333</v>
      </c>
      <c r="Y7" s="2102" t="s">
        <v>542</v>
      </c>
      <c r="Z7" s="2003" t="s">
        <v>578</v>
      </c>
      <c r="AA7" s="2003" t="s">
        <v>755</v>
      </c>
      <c r="AB7" s="2107" t="s">
        <v>503</v>
      </c>
      <c r="AC7" s="2009" t="s">
        <v>316</v>
      </c>
      <c r="AD7" s="2009" t="s">
        <v>369</v>
      </c>
      <c r="AE7" s="2003" t="s">
        <v>321</v>
      </c>
      <c r="AF7" s="2005" t="s">
        <v>554</v>
      </c>
      <c r="AG7" s="2022" t="s">
        <v>688</v>
      </c>
      <c r="AH7" s="1987" t="s">
        <v>689</v>
      </c>
      <c r="AI7" s="2003" t="s">
        <v>606</v>
      </c>
      <c r="AJ7" s="2003" t="s">
        <v>375</v>
      </c>
      <c r="AK7" s="2003" t="s">
        <v>372</v>
      </c>
      <c r="AL7" s="1987" t="s">
        <v>314</v>
      </c>
      <c r="AM7" s="1987" t="s">
        <v>616</v>
      </c>
      <c r="AN7" s="2024" t="s">
        <v>691</v>
      </c>
      <c r="AO7" s="2009" t="s">
        <v>727</v>
      </c>
      <c r="AP7" s="2009" t="s">
        <v>690</v>
      </c>
      <c r="AQ7" s="1987" t="s">
        <v>313</v>
      </c>
      <c r="AR7" s="1987" t="s">
        <v>554</v>
      </c>
      <c r="AS7" s="2022" t="s">
        <v>692</v>
      </c>
      <c r="AT7" s="1987" t="s">
        <v>693</v>
      </c>
      <c r="AU7" s="1987" t="s">
        <v>656</v>
      </c>
      <c r="AV7" s="1987" t="s">
        <v>694</v>
      </c>
      <c r="AW7" s="1987" t="s">
        <v>735</v>
      </c>
      <c r="AX7" s="2005" t="s">
        <v>724</v>
      </c>
      <c r="AY7" s="2001" t="s">
        <v>182</v>
      </c>
      <c r="AZ7" s="2001" t="s">
        <v>736</v>
      </c>
      <c r="BA7" s="2001" t="s">
        <v>725</v>
      </c>
      <c r="BB7" s="1999" t="s">
        <v>715</v>
      </c>
      <c r="BC7" s="1999" t="s">
        <v>716</v>
      </c>
    </row>
    <row r="8" spans="1:55" ht="48.75" customHeight="1" x14ac:dyDescent="0.25">
      <c r="A8" s="2017"/>
      <c r="B8" s="2021"/>
      <c r="C8" s="2017"/>
      <c r="D8" s="2017"/>
      <c r="E8" s="2017"/>
      <c r="F8" s="2017"/>
      <c r="G8" s="2017"/>
      <c r="H8" s="2017"/>
      <c r="I8" s="2021"/>
      <c r="J8" s="150" t="s">
        <v>15</v>
      </c>
      <c r="K8" s="1388" t="s">
        <v>16</v>
      </c>
      <c r="L8" s="150" t="s">
        <v>15</v>
      </c>
      <c r="M8" s="1388" t="s">
        <v>16</v>
      </c>
      <c r="N8" s="150" t="s">
        <v>15</v>
      </c>
      <c r="O8" s="1388" t="s">
        <v>16</v>
      </c>
      <c r="P8" s="150" t="s">
        <v>15</v>
      </c>
      <c r="Q8" s="1388" t="s">
        <v>16</v>
      </c>
      <c r="R8" s="51" t="s">
        <v>15</v>
      </c>
      <c r="S8" s="1385" t="s">
        <v>16</v>
      </c>
      <c r="T8" s="150" t="s">
        <v>15</v>
      </c>
      <c r="U8" s="1388" t="s">
        <v>16</v>
      </c>
      <c r="V8" s="2023"/>
      <c r="W8" s="2009"/>
      <c r="X8" s="1988"/>
      <c r="Y8" s="2102"/>
      <c r="Z8" s="2004"/>
      <c r="AA8" s="2004"/>
      <c r="AB8" s="2107"/>
      <c r="AC8" s="2009"/>
      <c r="AD8" s="2108"/>
      <c r="AE8" s="2004"/>
      <c r="AF8" s="2002"/>
      <c r="AG8" s="2023"/>
      <c r="AH8" s="1988"/>
      <c r="AI8" s="2004"/>
      <c r="AJ8" s="2004"/>
      <c r="AK8" s="2004"/>
      <c r="AL8" s="1988"/>
      <c r="AM8" s="1988"/>
      <c r="AN8" s="2025"/>
      <c r="AO8" s="2009"/>
      <c r="AP8" s="2009"/>
      <c r="AQ8" s="1988"/>
      <c r="AR8" s="1988"/>
      <c r="AS8" s="2023"/>
      <c r="AT8" s="1988"/>
      <c r="AU8" s="1988"/>
      <c r="AV8" s="1988"/>
      <c r="AW8" s="1988"/>
      <c r="AX8" s="2006"/>
      <c r="AY8" s="2002"/>
      <c r="AZ8" s="2002"/>
      <c r="BA8" s="2002"/>
      <c r="BB8" s="2000"/>
      <c r="BC8" s="2000"/>
    </row>
    <row r="9" spans="1:55" x14ac:dyDescent="0.25">
      <c r="A9" s="13">
        <v>1</v>
      </c>
      <c r="B9" s="1554">
        <v>42401</v>
      </c>
      <c r="C9" s="42" t="s">
        <v>228</v>
      </c>
      <c r="D9" s="705">
        <v>1967</v>
      </c>
      <c r="E9" s="705">
        <v>2</v>
      </c>
      <c r="F9" s="705">
        <v>12</v>
      </c>
      <c r="G9" s="705">
        <v>32</v>
      </c>
      <c r="H9" s="707">
        <v>506.67</v>
      </c>
      <c r="I9" s="707">
        <v>24.4</v>
      </c>
      <c r="J9" s="707">
        <v>487.46</v>
      </c>
      <c r="K9" s="707">
        <v>459.22</v>
      </c>
      <c r="L9" s="1092">
        <v>9979.74</v>
      </c>
      <c r="M9" s="1092">
        <v>9201.2999999999993</v>
      </c>
      <c r="N9" s="707">
        <v>5422.02</v>
      </c>
      <c r="O9" s="707">
        <v>5107.22</v>
      </c>
      <c r="P9" s="707">
        <v>48008.66</v>
      </c>
      <c r="Q9" s="707">
        <v>43553.95</v>
      </c>
      <c r="R9" s="1092">
        <v>606.61</v>
      </c>
      <c r="S9" s="1092">
        <v>497.47</v>
      </c>
      <c r="T9" s="1092">
        <f>J9+L9+N9+P9+R9</f>
        <v>64504.490000000005</v>
      </c>
      <c r="U9" s="1092">
        <f>K9+M9+O9+Q9+S9</f>
        <v>58819.159999999996</v>
      </c>
      <c r="V9" s="655">
        <f>AG9+AN9+AS9+AT9+AU9+AV9</f>
        <v>52992.89903624064</v>
      </c>
      <c r="W9" s="656">
        <v>339.88</v>
      </c>
      <c r="X9" s="660"/>
      <c r="Y9" s="660">
        <v>1000.86</v>
      </c>
      <c r="Z9" s="660">
        <f>2377.16/4685.84*H9</f>
        <v>257.03729901148995</v>
      </c>
      <c r="AA9" s="660">
        <f>2726/4685.84*H9</f>
        <v>294.75663274887751</v>
      </c>
      <c r="AB9" s="660">
        <f>12235.33/4685.84*H9</f>
        <v>1322.9804370401039</v>
      </c>
      <c r="AC9" s="660">
        <f>126447.9/4685.84*H9</f>
        <v>13672.544835717821</v>
      </c>
      <c r="AD9" s="659">
        <f>14636.75/4685.84*H9</f>
        <v>1582.6409187040103</v>
      </c>
      <c r="AE9" s="1093">
        <f>130553.89/4685.84*H9</f>
        <v>14116.516877720964</v>
      </c>
      <c r="AF9" s="1122">
        <f>AE9*0.202</f>
        <v>2851.5364092996347</v>
      </c>
      <c r="AG9" s="1122">
        <f>AF9+AE9+AD9+AC9+AB9+AA9+Z9+Y9+X9+W9</f>
        <v>35438.753410242898</v>
      </c>
      <c r="AH9" s="1122"/>
      <c r="AI9" s="1122"/>
      <c r="AJ9" s="1095"/>
      <c r="AK9" s="524"/>
      <c r="AL9" s="524"/>
      <c r="AM9" s="1095"/>
      <c r="AN9" s="1129">
        <f>AM9+AL9+AK9+AJ9+AI9+AH9</f>
        <v>0</v>
      </c>
      <c r="AO9" s="47"/>
      <c r="AP9" s="47"/>
      <c r="AQ9" s="47">
        <f>65975.11/4473.24*H9</f>
        <v>7472.7957774901415</v>
      </c>
      <c r="AR9" s="47">
        <f>AQ9*0.202</f>
        <v>1509.5047470530087</v>
      </c>
      <c r="AS9" s="47">
        <f>AR9+AQ9+AP9+AO9</f>
        <v>8982.3005245431505</v>
      </c>
      <c r="AT9" s="47"/>
      <c r="AU9" s="47">
        <f>5923.05/4685.84*H9</f>
        <v>640.4469088786642</v>
      </c>
      <c r="AV9" s="47">
        <f>73352.01/4685.84*H9</f>
        <v>7931.3981925759308</v>
      </c>
      <c r="AW9" s="47">
        <f>T9-V9</f>
        <v>11511.590963759365</v>
      </c>
      <c r="AX9" s="47">
        <f>U9/T9*100</f>
        <v>91.186148437108784</v>
      </c>
      <c r="AY9" s="47">
        <f>V9/H9/9</f>
        <v>11.621173333561542</v>
      </c>
      <c r="AZ9" s="47">
        <f>T9-U9</f>
        <v>5685.330000000009</v>
      </c>
      <c r="BA9" s="47">
        <f>L9-M9</f>
        <v>778.44000000000051</v>
      </c>
      <c r="BB9" s="47">
        <v>13.63</v>
      </c>
      <c r="BC9" s="47">
        <v>2.85</v>
      </c>
    </row>
    <row r="10" spans="1:55" x14ac:dyDescent="0.25">
      <c r="A10" s="13">
        <v>2</v>
      </c>
      <c r="B10" s="1554">
        <v>42767</v>
      </c>
      <c r="C10" s="42" t="s">
        <v>229</v>
      </c>
      <c r="D10" s="705">
        <v>1967</v>
      </c>
      <c r="E10" s="705">
        <v>2</v>
      </c>
      <c r="F10" s="705">
        <v>12</v>
      </c>
      <c r="G10" s="705">
        <v>38</v>
      </c>
      <c r="H10" s="707">
        <v>538.85</v>
      </c>
      <c r="I10" s="707">
        <v>24.4</v>
      </c>
      <c r="J10" s="707">
        <v>487.62</v>
      </c>
      <c r="K10" s="707">
        <v>563.22</v>
      </c>
      <c r="L10" s="1092">
        <v>10025.19</v>
      </c>
      <c r="M10" s="1092">
        <v>9166.17</v>
      </c>
      <c r="N10" s="707">
        <v>5424.06</v>
      </c>
      <c r="O10" s="707">
        <v>6230.96</v>
      </c>
      <c r="P10" s="707">
        <v>47993.7</v>
      </c>
      <c r="Q10" s="707">
        <v>43941.73</v>
      </c>
      <c r="R10" s="1092">
        <v>572.28</v>
      </c>
      <c r="S10" s="1092">
        <v>510.65</v>
      </c>
      <c r="T10" s="1092">
        <f t="shared" ref="T10:T16" si="0">J10+L10+N10+P10+R10</f>
        <v>64502.85</v>
      </c>
      <c r="U10" s="1092">
        <f t="shared" ref="U10:U16" si="1">K10+M10+O10+Q10+S10</f>
        <v>60412.73</v>
      </c>
      <c r="V10" s="655">
        <f t="shared" ref="V10:V16" si="2">AG10+AN10+AS10+AT10+AU10+AV10</f>
        <v>117829.03918601511</v>
      </c>
      <c r="W10" s="656">
        <v>69.86</v>
      </c>
      <c r="X10" s="660"/>
      <c r="Y10" s="660">
        <v>1000.86</v>
      </c>
      <c r="Z10" s="660">
        <f t="shared" ref="Z10:Z16" si="3">2377.16/4685.84*H10</f>
        <v>273.36244216618582</v>
      </c>
      <c r="AA10" s="660">
        <f t="shared" ref="AA10:AA16" si="4">2726/4685.84*H10</f>
        <v>313.47743414201085</v>
      </c>
      <c r="AB10" s="660">
        <f t="shared" ref="AB10:AB16" si="5">12235.33/4685.84*H10</f>
        <v>1407.0065496261077</v>
      </c>
      <c r="AC10" s="660">
        <f t="shared" ref="AC10:AC16" si="6">126447.9/4685.84*H10</f>
        <v>14540.92562166015</v>
      </c>
      <c r="AD10" s="659">
        <f t="shared" ref="AD10:AD16" si="7">14636.75/4685.84*H10</f>
        <v>1683.1587799626109</v>
      </c>
      <c r="AE10" s="1093">
        <f t="shared" ref="AE10:AE16" si="8">130553.89/4685.84*H10</f>
        <v>15013.095544555512</v>
      </c>
      <c r="AF10" s="1122">
        <f t="shared" ref="AF10:AF16" si="9">AE10*0.202</f>
        <v>3032.6453000002134</v>
      </c>
      <c r="AG10" s="1122">
        <f t="shared" ref="AG10:AG16" si="10">AF10+AE10+AD10+AC10+AB10+AA10+Z10+Y10+X10+W10</f>
        <v>37334.391672112797</v>
      </c>
      <c r="AH10" s="1122">
        <v>14811.59</v>
      </c>
      <c r="AI10" s="1122"/>
      <c r="AJ10" s="1095">
        <v>47014</v>
      </c>
      <c r="AK10" s="524"/>
      <c r="AL10" s="524"/>
      <c r="AM10" s="1095"/>
      <c r="AN10" s="1129">
        <f t="shared" ref="AN10:AN16" si="11">AM10+AL10+AK10+AJ10+AI10+AH10</f>
        <v>61825.59</v>
      </c>
      <c r="AO10" s="47"/>
      <c r="AP10" s="47"/>
      <c r="AQ10" s="47">
        <f>65975.11/4473.24*H10</f>
        <v>7947.4135131358935</v>
      </c>
      <c r="AR10" s="47">
        <f>AQ10*0.202</f>
        <v>1605.3775296534507</v>
      </c>
      <c r="AS10" s="47">
        <f t="shared" ref="AS10:AS16" si="12">AR10+AQ10+AP10+AO10</f>
        <v>9552.7910427893439</v>
      </c>
      <c r="AT10" s="47"/>
      <c r="AU10" s="47">
        <f t="shared" ref="AU10:AU16" si="13">5923.05/4685.84*H10</f>
        <v>681.12344691666806</v>
      </c>
      <c r="AV10" s="47">
        <f t="shared" ref="AV10:AV16" si="14">73352.01/4685.84*H10</f>
        <v>8435.1430241963026</v>
      </c>
      <c r="AW10" s="47">
        <f t="shared" ref="AW10:AW16" si="15">T10-V10</f>
        <v>-53326.189186015115</v>
      </c>
      <c r="AX10" s="47">
        <f t="shared" ref="AX10:AX17" si="16">U10/T10*100</f>
        <v>93.659008865499743</v>
      </c>
      <c r="AY10" s="47">
        <f t="shared" ref="AY10:AY17" si="17">V10/H10/9</f>
        <v>24.296400603345624</v>
      </c>
      <c r="AZ10" s="47">
        <f t="shared" ref="AZ10:AZ16" si="18">T10-U10</f>
        <v>4090.1199999999953</v>
      </c>
      <c r="BA10" s="47">
        <f t="shared" ref="BA10:BA16" si="19">L10-M10</f>
        <v>859.02000000000044</v>
      </c>
      <c r="BB10" s="47">
        <v>13.62</v>
      </c>
      <c r="BC10" s="47">
        <v>2.86</v>
      </c>
    </row>
    <row r="11" spans="1:55" x14ac:dyDescent="0.25">
      <c r="A11" s="13">
        <v>3</v>
      </c>
      <c r="B11" s="1555" t="s">
        <v>647</v>
      </c>
      <c r="C11" s="45" t="s">
        <v>231</v>
      </c>
      <c r="D11" s="690">
        <v>1990</v>
      </c>
      <c r="E11" s="690">
        <v>1</v>
      </c>
      <c r="F11" s="690">
        <v>1</v>
      </c>
      <c r="G11" s="690">
        <v>6</v>
      </c>
      <c r="H11" s="707">
        <v>63.7</v>
      </c>
      <c r="I11" s="707"/>
      <c r="J11" s="707">
        <v>61.14</v>
      </c>
      <c r="K11" s="707">
        <v>71.33</v>
      </c>
      <c r="L11" s="1092"/>
      <c r="M11" s="1092"/>
      <c r="N11" s="707">
        <v>680.34</v>
      </c>
      <c r="O11" s="707">
        <v>793.74</v>
      </c>
      <c r="P11" s="707">
        <v>3296.49</v>
      </c>
      <c r="Q11" s="707">
        <v>3149.37</v>
      </c>
      <c r="R11" s="1092"/>
      <c r="S11" s="1092"/>
      <c r="T11" s="1092">
        <f t="shared" si="0"/>
        <v>4037.97</v>
      </c>
      <c r="U11" s="1092">
        <f t="shared" si="1"/>
        <v>4014.44</v>
      </c>
      <c r="V11" s="655">
        <f t="shared" si="2"/>
        <v>5364.5765235658919</v>
      </c>
      <c r="W11" s="662"/>
      <c r="X11" s="660"/>
      <c r="Y11" s="1096"/>
      <c r="Z11" s="660">
        <f t="shared" si="3"/>
        <v>32.315463609512918</v>
      </c>
      <c r="AA11" s="660">
        <f t="shared" si="4"/>
        <v>37.05764601437523</v>
      </c>
      <c r="AB11" s="660">
        <f t="shared" si="5"/>
        <v>166.328880414184</v>
      </c>
      <c r="AC11" s="660">
        <f t="shared" si="6"/>
        <v>1718.9514003892577</v>
      </c>
      <c r="AD11" s="659">
        <f t="shared" si="7"/>
        <v>198.9741380414184</v>
      </c>
      <c r="AE11" s="1093">
        <f t="shared" si="8"/>
        <v>1774.7688339764054</v>
      </c>
      <c r="AF11" s="1122">
        <f t="shared" si="9"/>
        <v>358.50330446323392</v>
      </c>
      <c r="AG11" s="1122">
        <f t="shared" si="10"/>
        <v>4286.8996669083881</v>
      </c>
      <c r="AH11" s="1122"/>
      <c r="AI11" s="1122"/>
      <c r="AJ11" s="1095"/>
      <c r="AK11" s="524"/>
      <c r="AL11" s="524"/>
      <c r="AM11" s="1095"/>
      <c r="AN11" s="1129">
        <f t="shared" si="11"/>
        <v>0</v>
      </c>
      <c r="AO11" s="47"/>
      <c r="AP11" s="47"/>
      <c r="AQ11" s="47"/>
      <c r="AR11" s="47"/>
      <c r="AS11" s="47">
        <f t="shared" si="12"/>
        <v>0</v>
      </c>
      <c r="AT11" s="47"/>
      <c r="AU11" s="47">
        <f t="shared" si="13"/>
        <v>80.518815196421556</v>
      </c>
      <c r="AV11" s="47">
        <f t="shared" si="14"/>
        <v>997.15804146108269</v>
      </c>
      <c r="AW11" s="47">
        <f t="shared" si="15"/>
        <v>-1326.6065235658921</v>
      </c>
      <c r="AX11" s="47">
        <f t="shared" si="16"/>
        <v>99.417281455781009</v>
      </c>
      <c r="AY11" s="47">
        <f t="shared" si="17"/>
        <v>9.3573635506120567</v>
      </c>
      <c r="AZ11" s="47">
        <f t="shared" si="18"/>
        <v>23.529999999999745</v>
      </c>
      <c r="BA11" s="47">
        <f t="shared" si="19"/>
        <v>0</v>
      </c>
      <c r="BB11" s="47">
        <v>7.29</v>
      </c>
      <c r="BC11" s="47"/>
    </row>
    <row r="12" spans="1:55" x14ac:dyDescent="0.25">
      <c r="A12" s="13">
        <v>4</v>
      </c>
      <c r="B12" s="1555" t="s">
        <v>648</v>
      </c>
      <c r="C12" s="45" t="s">
        <v>230</v>
      </c>
      <c r="D12" s="690">
        <v>1967</v>
      </c>
      <c r="E12" s="690">
        <v>2</v>
      </c>
      <c r="F12" s="690">
        <v>2</v>
      </c>
      <c r="G12" s="690">
        <v>12</v>
      </c>
      <c r="H12" s="707">
        <v>530.91999999999996</v>
      </c>
      <c r="I12" s="707"/>
      <c r="J12" s="707">
        <v>488.04</v>
      </c>
      <c r="K12" s="707">
        <v>515.05999999999995</v>
      </c>
      <c r="L12" s="1092">
        <v>13725.45</v>
      </c>
      <c r="M12" s="1092">
        <v>11817.51</v>
      </c>
      <c r="N12" s="707">
        <v>5429.16</v>
      </c>
      <c r="O12" s="707">
        <v>5730.13</v>
      </c>
      <c r="P12" s="707">
        <v>61101.84</v>
      </c>
      <c r="Q12" s="707">
        <v>42887.87</v>
      </c>
      <c r="R12" s="1092">
        <v>598.76</v>
      </c>
      <c r="S12" s="1092">
        <v>490.96</v>
      </c>
      <c r="T12" s="1092">
        <f t="shared" si="0"/>
        <v>81343.249999999985</v>
      </c>
      <c r="U12" s="1092">
        <f t="shared" si="1"/>
        <v>61441.530000000006</v>
      </c>
      <c r="V12" s="655">
        <f t="shared" si="2"/>
        <v>55548.110252276398</v>
      </c>
      <c r="W12" s="662">
        <v>49.98</v>
      </c>
      <c r="X12" s="660"/>
      <c r="Y12" s="1096">
        <v>1373.82</v>
      </c>
      <c r="Z12" s="660">
        <f t="shared" si="3"/>
        <v>269.33949669643005</v>
      </c>
      <c r="AA12" s="660">
        <f t="shared" si="4"/>
        <v>308.86413535246612</v>
      </c>
      <c r="AB12" s="660">
        <f t="shared" si="5"/>
        <v>1386.3003012480151</v>
      </c>
      <c r="AC12" s="660">
        <f t="shared" si="6"/>
        <v>14326.933712632099</v>
      </c>
      <c r="AD12" s="659">
        <f t="shared" si="7"/>
        <v>1658.3885301248015</v>
      </c>
      <c r="AE12" s="1093">
        <f t="shared" si="8"/>
        <v>14792.154934611508</v>
      </c>
      <c r="AF12" s="1122">
        <f t="shared" si="9"/>
        <v>2988.0152967915246</v>
      </c>
      <c r="AG12" s="1122">
        <f t="shared" si="10"/>
        <v>37153.796407456852</v>
      </c>
      <c r="AH12" s="1122"/>
      <c r="AI12" s="1122"/>
      <c r="AJ12" s="1095"/>
      <c r="AK12" s="524"/>
      <c r="AL12" s="524"/>
      <c r="AM12" s="1095"/>
      <c r="AN12" s="1129">
        <f t="shared" si="11"/>
        <v>0</v>
      </c>
      <c r="AO12" s="47"/>
      <c r="AP12" s="47"/>
      <c r="AQ12" s="47">
        <f>65975.11/4473.24*H12</f>
        <v>7830.4551960547606</v>
      </c>
      <c r="AR12" s="47">
        <f>AQ12*0.202</f>
        <v>1581.7519496030618</v>
      </c>
      <c r="AS12" s="47">
        <f t="shared" si="12"/>
        <v>9412.2071456578233</v>
      </c>
      <c r="AT12" s="47"/>
      <c r="AU12" s="47">
        <f t="shared" si="13"/>
        <v>671.09967604527674</v>
      </c>
      <c r="AV12" s="47">
        <f t="shared" si="14"/>
        <v>8311.0070231164518</v>
      </c>
      <c r="AW12" s="47">
        <f t="shared" si="15"/>
        <v>25795.139747723588</v>
      </c>
      <c r="AX12" s="47">
        <f t="shared" si="16"/>
        <v>75.533655220316405</v>
      </c>
      <c r="AY12" s="47">
        <f t="shared" si="17"/>
        <v>11.625126667394209</v>
      </c>
      <c r="AZ12" s="47">
        <f t="shared" si="18"/>
        <v>19901.719999999979</v>
      </c>
      <c r="BA12" s="47">
        <f t="shared" si="19"/>
        <v>1907.9400000000005</v>
      </c>
      <c r="BB12" s="47">
        <v>13.63</v>
      </c>
      <c r="BC12" s="47">
        <v>3</v>
      </c>
    </row>
    <row r="13" spans="1:55" x14ac:dyDescent="0.25">
      <c r="A13" s="571">
        <v>5</v>
      </c>
      <c r="B13" s="1555" t="s">
        <v>647</v>
      </c>
      <c r="C13" s="45" t="s">
        <v>232</v>
      </c>
      <c r="D13" s="690">
        <v>1990</v>
      </c>
      <c r="E13" s="690">
        <v>1</v>
      </c>
      <c r="F13" s="690">
        <v>1</v>
      </c>
      <c r="G13" s="690">
        <v>9</v>
      </c>
      <c r="H13" s="707">
        <v>72.5</v>
      </c>
      <c r="I13" s="707">
        <v>24.08</v>
      </c>
      <c r="J13" s="707">
        <v>69.599999999999994</v>
      </c>
      <c r="K13" s="707">
        <v>79.37</v>
      </c>
      <c r="L13" s="707"/>
      <c r="M13" s="707"/>
      <c r="N13" s="707">
        <v>774.3</v>
      </c>
      <c r="O13" s="707">
        <v>794.61</v>
      </c>
      <c r="P13" s="707">
        <v>3671.4</v>
      </c>
      <c r="Q13" s="707">
        <v>2566.77</v>
      </c>
      <c r="R13" s="1092"/>
      <c r="S13" s="1092"/>
      <c r="T13" s="1092">
        <f t="shared" si="0"/>
        <v>4515.3</v>
      </c>
      <c r="U13" s="1092">
        <f t="shared" si="1"/>
        <v>3440.75</v>
      </c>
      <c r="V13" s="655">
        <f t="shared" si="2"/>
        <v>6105.6797167743671</v>
      </c>
      <c r="W13" s="662"/>
      <c r="X13" s="660"/>
      <c r="Y13" s="1096"/>
      <c r="Z13" s="660">
        <f t="shared" si="3"/>
        <v>36.779766274563364</v>
      </c>
      <c r="AA13" s="660">
        <f t="shared" si="4"/>
        <v>42.17706963959504</v>
      </c>
      <c r="AB13" s="660">
        <f t="shared" si="5"/>
        <v>189.30681051849828</v>
      </c>
      <c r="AC13" s="660">
        <f t="shared" si="6"/>
        <v>1956.4203536612431</v>
      </c>
      <c r="AD13" s="659">
        <f t="shared" si="7"/>
        <v>226.46193105184983</v>
      </c>
      <c r="AE13" s="1093">
        <f t="shared" si="8"/>
        <v>2019.9488298789543</v>
      </c>
      <c r="AF13" s="1122">
        <f t="shared" si="9"/>
        <v>408.02966363554879</v>
      </c>
      <c r="AG13" s="1122">
        <f t="shared" si="10"/>
        <v>4879.1244246602528</v>
      </c>
      <c r="AH13" s="1122"/>
      <c r="AI13" s="1122"/>
      <c r="AJ13" s="1095"/>
      <c r="AK13" s="524"/>
      <c r="AL13" s="524"/>
      <c r="AM13" s="1095"/>
      <c r="AN13" s="1129">
        <f t="shared" si="11"/>
        <v>0</v>
      </c>
      <c r="AO13" s="47"/>
      <c r="AP13" s="47"/>
      <c r="AQ13" s="47"/>
      <c r="AR13" s="47"/>
      <c r="AS13" s="47">
        <f t="shared" si="12"/>
        <v>0</v>
      </c>
      <c r="AT13" s="47"/>
      <c r="AU13" s="47">
        <f t="shared" si="13"/>
        <v>91.642293590903662</v>
      </c>
      <c r="AV13" s="47">
        <f t="shared" si="14"/>
        <v>1134.9129985232103</v>
      </c>
      <c r="AW13" s="47">
        <f t="shared" si="15"/>
        <v>-1590.3797167743669</v>
      </c>
      <c r="AX13" s="47">
        <f t="shared" si="16"/>
        <v>76.202024228733407</v>
      </c>
      <c r="AY13" s="47">
        <f t="shared" si="17"/>
        <v>9.3573635506120567</v>
      </c>
      <c r="AZ13" s="47">
        <f t="shared" si="18"/>
        <v>1074.5500000000002</v>
      </c>
      <c r="BA13" s="47">
        <f t="shared" si="19"/>
        <v>0</v>
      </c>
      <c r="BB13" s="47">
        <v>6.92</v>
      </c>
      <c r="BC13" s="47"/>
    </row>
    <row r="14" spans="1:55" x14ac:dyDescent="0.25">
      <c r="A14" s="13">
        <v>6</v>
      </c>
      <c r="B14" s="1554">
        <v>42401</v>
      </c>
      <c r="C14" s="42" t="s">
        <v>233</v>
      </c>
      <c r="D14" s="705">
        <v>1994</v>
      </c>
      <c r="E14" s="705">
        <v>3</v>
      </c>
      <c r="F14" s="705">
        <v>24</v>
      </c>
      <c r="G14" s="705">
        <v>65</v>
      </c>
      <c r="H14" s="707">
        <v>1442.3</v>
      </c>
      <c r="I14" s="707">
        <v>129.6</v>
      </c>
      <c r="J14" s="707">
        <v>1384.62</v>
      </c>
      <c r="K14" s="707">
        <v>1605.76</v>
      </c>
      <c r="L14" s="1092">
        <v>28990.23</v>
      </c>
      <c r="M14" s="1092">
        <v>26890.71</v>
      </c>
      <c r="N14" s="707">
        <v>14968.14</v>
      </c>
      <c r="O14" s="707">
        <v>17420.27</v>
      </c>
      <c r="P14" s="707">
        <v>135778.10999999999</v>
      </c>
      <c r="Q14" s="707">
        <v>125996.79</v>
      </c>
      <c r="R14" s="1092">
        <v>3513.24</v>
      </c>
      <c r="S14" s="1092">
        <v>3276.47</v>
      </c>
      <c r="T14" s="1092">
        <f t="shared" si="0"/>
        <v>184634.33999999997</v>
      </c>
      <c r="U14" s="1092">
        <f t="shared" si="1"/>
        <v>175190</v>
      </c>
      <c r="V14" s="655">
        <f t="shared" si="2"/>
        <v>169015.57933560282</v>
      </c>
      <c r="W14" s="656">
        <v>2090.7399999999998</v>
      </c>
      <c r="X14" s="660"/>
      <c r="Y14" s="660">
        <v>4049.43</v>
      </c>
      <c r="Z14" s="660">
        <f t="shared" si="3"/>
        <v>731.68906065934812</v>
      </c>
      <c r="AA14" s="660">
        <f t="shared" si="4"/>
        <v>839.06189711983336</v>
      </c>
      <c r="AB14" s="660">
        <f t="shared" si="5"/>
        <v>3766.0305215286903</v>
      </c>
      <c r="AC14" s="660">
        <f t="shared" si="6"/>
        <v>38920.621739111877</v>
      </c>
      <c r="AD14" s="659">
        <f t="shared" si="7"/>
        <v>4505.1868021528689</v>
      </c>
      <c r="AE14" s="1093">
        <f t="shared" si="8"/>
        <v>40184.444101164358</v>
      </c>
      <c r="AF14" s="1122">
        <f t="shared" si="9"/>
        <v>8117.2577084352006</v>
      </c>
      <c r="AG14" s="1122">
        <f t="shared" si="10"/>
        <v>103204.46183017218</v>
      </c>
      <c r="AH14" s="1122">
        <v>2264.5700000000002</v>
      </c>
      <c r="AI14" s="1122"/>
      <c r="AJ14" s="1095"/>
      <c r="AK14" s="524"/>
      <c r="AL14" s="524">
        <v>13506.46</v>
      </c>
      <c r="AM14" s="1095"/>
      <c r="AN14" s="1129">
        <f t="shared" si="11"/>
        <v>15771.029999999999</v>
      </c>
      <c r="AO14" s="47"/>
      <c r="AP14" s="47">
        <v>70</v>
      </c>
      <c r="AQ14" s="47">
        <f>65975.11/4473.24*H14</f>
        <v>21272.254820443348</v>
      </c>
      <c r="AR14" s="47">
        <f>AQ14*0.202</f>
        <v>4296.9954737295566</v>
      </c>
      <c r="AS14" s="47">
        <f t="shared" si="12"/>
        <v>25639.250294172904</v>
      </c>
      <c r="AT14" s="47"/>
      <c r="AU14" s="47">
        <f t="shared" si="13"/>
        <v>1823.1128282229013</v>
      </c>
      <c r="AV14" s="47">
        <f t="shared" si="14"/>
        <v>22577.724383034842</v>
      </c>
      <c r="AW14" s="47">
        <f t="shared" si="15"/>
        <v>15618.760664397152</v>
      </c>
      <c r="AX14" s="47">
        <f t="shared" si="16"/>
        <v>94.884841032280363</v>
      </c>
      <c r="AY14" s="47">
        <f t="shared" si="17"/>
        <v>13.020528887933843</v>
      </c>
      <c r="AZ14" s="47">
        <f t="shared" si="18"/>
        <v>9444.3399999999674</v>
      </c>
      <c r="BA14" s="47">
        <f t="shared" si="19"/>
        <v>2099.5200000000004</v>
      </c>
      <c r="BB14" s="47">
        <v>13.56</v>
      </c>
      <c r="BC14" s="47">
        <v>2.9</v>
      </c>
    </row>
    <row r="15" spans="1:55" x14ac:dyDescent="0.25">
      <c r="A15" s="13">
        <v>7</v>
      </c>
      <c r="B15" s="1554">
        <v>42401</v>
      </c>
      <c r="C15" s="42" t="s">
        <v>234</v>
      </c>
      <c r="D15" s="705">
        <v>1989</v>
      </c>
      <c r="E15" s="705">
        <v>3</v>
      </c>
      <c r="F15" s="705">
        <v>24</v>
      </c>
      <c r="G15" s="705">
        <v>61</v>
      </c>
      <c r="H15" s="707">
        <v>1454.5</v>
      </c>
      <c r="I15" s="707">
        <v>129.6</v>
      </c>
      <c r="J15" s="707">
        <v>1396.26</v>
      </c>
      <c r="K15" s="707">
        <v>1505.66</v>
      </c>
      <c r="L15" s="1092">
        <v>29235.45</v>
      </c>
      <c r="M15" s="1092">
        <v>25391.72</v>
      </c>
      <c r="N15" s="707">
        <v>15534</v>
      </c>
      <c r="O15" s="707">
        <v>16819.57</v>
      </c>
      <c r="P15" s="707">
        <v>136926.51</v>
      </c>
      <c r="Q15" s="707">
        <v>118985.92</v>
      </c>
      <c r="R15" s="1092">
        <v>3513.27</v>
      </c>
      <c r="S15" s="1092">
        <v>3169.07</v>
      </c>
      <c r="T15" s="1092">
        <f t="shared" si="0"/>
        <v>186605.49</v>
      </c>
      <c r="U15" s="1092">
        <f t="shared" si="1"/>
        <v>165871.94</v>
      </c>
      <c r="V15" s="655">
        <f t="shared" si="2"/>
        <v>175922.76077212387</v>
      </c>
      <c r="W15" s="656">
        <v>1872.97</v>
      </c>
      <c r="X15" s="660"/>
      <c r="Y15" s="660">
        <v>10373.23</v>
      </c>
      <c r="Z15" s="660">
        <f t="shared" si="3"/>
        <v>737.8782075358954</v>
      </c>
      <c r="AA15" s="660">
        <f t="shared" si="4"/>
        <v>846.15927987297903</v>
      </c>
      <c r="AB15" s="660">
        <f t="shared" si="5"/>
        <v>3797.886288264217</v>
      </c>
      <c r="AC15" s="660">
        <f t="shared" si="6"/>
        <v>39249.840060693488</v>
      </c>
      <c r="AD15" s="659">
        <f t="shared" si="7"/>
        <v>4543.2948788264221</v>
      </c>
      <c r="AE15" s="1093">
        <f t="shared" si="8"/>
        <v>40524.352731847437</v>
      </c>
      <c r="AF15" s="1122">
        <f t="shared" si="9"/>
        <v>8185.9192518331829</v>
      </c>
      <c r="AG15" s="1122">
        <f t="shared" si="10"/>
        <v>110131.53069887361</v>
      </c>
      <c r="AH15" s="1122">
        <v>2373.6</v>
      </c>
      <c r="AI15" s="1122"/>
      <c r="AJ15" s="1095"/>
      <c r="AK15" s="524"/>
      <c r="AL15" s="524">
        <v>12807.85</v>
      </c>
      <c r="AM15" s="1095"/>
      <c r="AN15" s="1129">
        <f t="shared" si="11"/>
        <v>15181.45</v>
      </c>
      <c r="AO15" s="47"/>
      <c r="AP15" s="47">
        <v>217.01</v>
      </c>
      <c r="AQ15" s="47">
        <f>65975.11/4473.24*H15</f>
        <v>21452.190692875858</v>
      </c>
      <c r="AR15" s="47">
        <f>AQ15*0.202</f>
        <v>4333.3425199609237</v>
      </c>
      <c r="AS15" s="47">
        <f t="shared" si="12"/>
        <v>26002.543212836779</v>
      </c>
      <c r="AT15" s="47"/>
      <c r="AU15" s="47">
        <f t="shared" si="13"/>
        <v>1838.5340141788879</v>
      </c>
      <c r="AV15" s="47">
        <f t="shared" si="14"/>
        <v>22768.702846234613</v>
      </c>
      <c r="AW15" s="47">
        <f t="shared" si="15"/>
        <v>10682.729227876116</v>
      </c>
      <c r="AX15" s="47">
        <f t="shared" si="16"/>
        <v>88.889099672255085</v>
      </c>
      <c r="AY15" s="47">
        <f t="shared" si="17"/>
        <v>13.438964193279391</v>
      </c>
      <c r="AZ15" s="47">
        <f t="shared" si="18"/>
        <v>20733.549999999988</v>
      </c>
      <c r="BA15" s="47">
        <f t="shared" si="19"/>
        <v>3843.7299999999996</v>
      </c>
      <c r="BB15" s="47">
        <v>13.56</v>
      </c>
      <c r="BC15" s="47">
        <v>2.9</v>
      </c>
    </row>
    <row r="16" spans="1:55" x14ac:dyDescent="0.25">
      <c r="A16" s="187">
        <v>8</v>
      </c>
      <c r="B16" s="1556">
        <v>42401</v>
      </c>
      <c r="C16" s="188" t="s">
        <v>235</v>
      </c>
      <c r="D16" s="709">
        <v>1961</v>
      </c>
      <c r="E16" s="709">
        <v>1</v>
      </c>
      <c r="F16" s="709">
        <v>2</v>
      </c>
      <c r="G16" s="709">
        <v>0</v>
      </c>
      <c r="H16" s="1099">
        <v>76.400000000000006</v>
      </c>
      <c r="I16" s="1098"/>
      <c r="J16" s="1099">
        <v>73.319999999999993</v>
      </c>
      <c r="K16" s="1099">
        <v>91.62</v>
      </c>
      <c r="L16" s="1099"/>
      <c r="M16" s="1099"/>
      <c r="N16" s="1099">
        <v>522.6</v>
      </c>
      <c r="O16" s="1099">
        <v>653.02</v>
      </c>
      <c r="P16" s="1099">
        <v>3841.41</v>
      </c>
      <c r="Q16" s="1099">
        <v>3914.71</v>
      </c>
      <c r="R16" s="1548"/>
      <c r="S16" s="1548"/>
      <c r="T16" s="1548">
        <f t="shared" si="0"/>
        <v>4437.33</v>
      </c>
      <c r="U16" s="1548">
        <f t="shared" si="1"/>
        <v>4659.3500000000004</v>
      </c>
      <c r="V16" s="655">
        <f t="shared" si="2"/>
        <v>6434.1231774008502</v>
      </c>
      <c r="W16" s="1100"/>
      <c r="X16" s="1549"/>
      <c r="Y16" s="1102"/>
      <c r="Z16" s="1550">
        <f t="shared" si="3"/>
        <v>38.758264046574361</v>
      </c>
      <c r="AA16" s="660">
        <f t="shared" si="4"/>
        <v>44.445905109862913</v>
      </c>
      <c r="AB16" s="660">
        <f t="shared" si="5"/>
        <v>199.49021136018303</v>
      </c>
      <c r="AC16" s="660">
        <f t="shared" si="6"/>
        <v>2061.662276134055</v>
      </c>
      <c r="AD16" s="659">
        <f t="shared" si="7"/>
        <v>238.64402113601832</v>
      </c>
      <c r="AE16" s="1093">
        <f t="shared" si="8"/>
        <v>2128.6081462448569</v>
      </c>
      <c r="AF16" s="1122">
        <f t="shared" si="9"/>
        <v>429.97884554146111</v>
      </c>
      <c r="AG16" s="1122">
        <f t="shared" si="10"/>
        <v>5141.5876695730112</v>
      </c>
      <c r="AH16" s="1551"/>
      <c r="AI16" s="1551"/>
      <c r="AJ16" s="1125"/>
      <c r="AK16" s="528"/>
      <c r="AL16" s="528"/>
      <c r="AM16" s="1125"/>
      <c r="AN16" s="1129">
        <f t="shared" si="11"/>
        <v>0</v>
      </c>
      <c r="AO16" s="1133"/>
      <c r="AP16" s="47"/>
      <c r="AQ16" s="47"/>
      <c r="AR16" s="47"/>
      <c r="AS16" s="47">
        <f t="shared" si="12"/>
        <v>0</v>
      </c>
      <c r="AT16" s="47"/>
      <c r="AU16" s="47">
        <f t="shared" si="13"/>
        <v>96.572016970276408</v>
      </c>
      <c r="AV16" s="47">
        <f t="shared" si="14"/>
        <v>1195.9634908575624</v>
      </c>
      <c r="AW16" s="47">
        <f t="shared" si="15"/>
        <v>-1996.7931774008503</v>
      </c>
      <c r="AX16" s="47">
        <f t="shared" si="16"/>
        <v>105.0034592874544</v>
      </c>
      <c r="AY16" s="47">
        <f t="shared" si="17"/>
        <v>9.3573635506120567</v>
      </c>
      <c r="AZ16" s="47">
        <f t="shared" si="18"/>
        <v>-222.02000000000044</v>
      </c>
      <c r="BA16" s="47">
        <f t="shared" si="19"/>
        <v>0</v>
      </c>
      <c r="BB16" s="47">
        <v>6.68</v>
      </c>
      <c r="BC16" s="47"/>
    </row>
    <row r="17" spans="1:55" x14ac:dyDescent="0.25">
      <c r="A17" s="13"/>
      <c r="B17" s="13"/>
      <c r="C17" s="417" t="s">
        <v>297</v>
      </c>
      <c r="D17" s="690"/>
      <c r="E17" s="690"/>
      <c r="F17" s="691">
        <f t="shared" ref="F17:BC17" si="20">SUM(F9:F16)</f>
        <v>78</v>
      </c>
      <c r="G17" s="691">
        <f t="shared" si="20"/>
        <v>223</v>
      </c>
      <c r="H17" s="653">
        <f t="shared" si="20"/>
        <v>4685.8399999999992</v>
      </c>
      <c r="I17" s="653">
        <f t="shared" si="20"/>
        <v>332.08</v>
      </c>
      <c r="J17" s="653">
        <f t="shared" si="20"/>
        <v>4448.0599999999995</v>
      </c>
      <c r="K17" s="653">
        <f t="shared" si="20"/>
        <v>4891.24</v>
      </c>
      <c r="L17" s="653">
        <f t="shared" si="20"/>
        <v>91956.06</v>
      </c>
      <c r="M17" s="653">
        <f t="shared" si="20"/>
        <v>82467.41</v>
      </c>
      <c r="N17" s="653">
        <f t="shared" si="20"/>
        <v>48754.62</v>
      </c>
      <c r="O17" s="653">
        <f t="shared" si="20"/>
        <v>53549.52</v>
      </c>
      <c r="P17" s="653">
        <f t="shared" si="20"/>
        <v>440618.11999999994</v>
      </c>
      <c r="Q17" s="653">
        <f t="shared" si="20"/>
        <v>384997.11</v>
      </c>
      <c r="R17" s="653">
        <f t="shared" si="20"/>
        <v>8804.16</v>
      </c>
      <c r="S17" s="653">
        <f t="shared" si="20"/>
        <v>7944.619999999999</v>
      </c>
      <c r="T17" s="653">
        <f t="shared" si="20"/>
        <v>594581.0199999999</v>
      </c>
      <c r="U17" s="653">
        <f t="shared" si="20"/>
        <v>533849.9</v>
      </c>
      <c r="V17" s="1553">
        <f t="shared" si="20"/>
        <v>589212.76800000004</v>
      </c>
      <c r="W17" s="1553">
        <f t="shared" si="20"/>
        <v>4423.43</v>
      </c>
      <c r="X17" s="641">
        <f t="shared" si="20"/>
        <v>0</v>
      </c>
      <c r="Y17" s="641">
        <f t="shared" si="20"/>
        <v>17798.199999999997</v>
      </c>
      <c r="Z17" s="641">
        <f t="shared" si="20"/>
        <v>2377.16</v>
      </c>
      <c r="AA17" s="641">
        <f t="shared" si="20"/>
        <v>2726</v>
      </c>
      <c r="AB17" s="641">
        <f t="shared" si="20"/>
        <v>12235.33</v>
      </c>
      <c r="AC17" s="641">
        <f t="shared" si="20"/>
        <v>126447.9</v>
      </c>
      <c r="AD17" s="641">
        <f t="shared" si="20"/>
        <v>14636.750000000002</v>
      </c>
      <c r="AE17" s="641">
        <f t="shared" si="20"/>
        <v>130553.89</v>
      </c>
      <c r="AF17" s="641">
        <f t="shared" si="20"/>
        <v>26371.885780000001</v>
      </c>
      <c r="AG17" s="641">
        <f t="shared" si="20"/>
        <v>337570.54578000004</v>
      </c>
      <c r="AH17" s="641">
        <f t="shared" si="20"/>
        <v>19449.759999999998</v>
      </c>
      <c r="AI17" s="641">
        <f t="shared" si="20"/>
        <v>0</v>
      </c>
      <c r="AJ17" s="641">
        <f t="shared" si="20"/>
        <v>47014</v>
      </c>
      <c r="AK17" s="641">
        <f t="shared" si="20"/>
        <v>0</v>
      </c>
      <c r="AL17" s="641">
        <f t="shared" si="20"/>
        <v>26314.309999999998</v>
      </c>
      <c r="AM17" s="641">
        <f t="shared" si="20"/>
        <v>0</v>
      </c>
      <c r="AN17" s="641">
        <f t="shared" si="20"/>
        <v>92778.069999999992</v>
      </c>
      <c r="AO17" s="641">
        <f t="shared" si="20"/>
        <v>0</v>
      </c>
      <c r="AP17" s="641">
        <f t="shared" si="20"/>
        <v>287.01</v>
      </c>
      <c r="AQ17" s="641">
        <f t="shared" si="20"/>
        <v>65975.11</v>
      </c>
      <c r="AR17" s="641">
        <f t="shared" si="20"/>
        <v>13326.97222</v>
      </c>
      <c r="AS17" s="641">
        <f t="shared" si="20"/>
        <v>79589.092220000006</v>
      </c>
      <c r="AT17" s="641">
        <f t="shared" si="20"/>
        <v>0</v>
      </c>
      <c r="AU17" s="641">
        <f t="shared" si="20"/>
        <v>5923.0499999999993</v>
      </c>
      <c r="AV17" s="641">
        <f t="shared" si="20"/>
        <v>73352.010000000009</v>
      </c>
      <c r="AW17" s="641">
        <f t="shared" si="20"/>
        <v>5368.2519999999968</v>
      </c>
      <c r="AX17" s="1132">
        <f t="shared" si="16"/>
        <v>89.785896630201904</v>
      </c>
      <c r="AY17" s="1132">
        <f t="shared" si="17"/>
        <v>13.971472635287023</v>
      </c>
      <c r="AZ17" s="641">
        <f t="shared" si="20"/>
        <v>60731.119999999937</v>
      </c>
      <c r="BA17" s="641">
        <f t="shared" si="20"/>
        <v>9488.6500000000015</v>
      </c>
      <c r="BB17" s="641">
        <f t="shared" si="20"/>
        <v>88.890000000000015</v>
      </c>
      <c r="BC17" s="641">
        <f t="shared" si="20"/>
        <v>14.510000000000002</v>
      </c>
    </row>
    <row r="18" spans="1:55" x14ac:dyDescent="0.25">
      <c r="A18" s="247"/>
      <c r="B18" s="247"/>
      <c r="C18" s="596" t="s">
        <v>756</v>
      </c>
      <c r="D18" s="596"/>
      <c r="E18" s="596"/>
      <c r="F18" s="596"/>
      <c r="G18" s="596"/>
      <c r="H18" s="1557">
        <f>H9+H10+H12+H14+H15</f>
        <v>4473.24</v>
      </c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1552">
        <f>AE17+AF17</f>
        <v>156925.77578</v>
      </c>
      <c r="AF18" s="247"/>
      <c r="AG18" s="1552" t="s">
        <v>180</v>
      </c>
      <c r="AH18" s="247"/>
      <c r="AI18" s="247"/>
      <c r="AJ18" s="247"/>
      <c r="AK18" s="247"/>
      <c r="AL18" s="247"/>
      <c r="AM18" s="247"/>
      <c r="AN18" s="247"/>
      <c r="AP18" s="93"/>
      <c r="AQ18" s="1484">
        <f>AQ17+AR17</f>
        <v>79302.082219999997</v>
      </c>
      <c r="AS18" t="s">
        <v>180</v>
      </c>
      <c r="AU18" t="s">
        <v>180</v>
      </c>
    </row>
    <row r="19" spans="1:55" x14ac:dyDescent="0.25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7"/>
      <c r="AX19" t="s">
        <v>180</v>
      </c>
    </row>
    <row r="20" spans="1:55" x14ac:dyDescent="0.25">
      <c r="A20" s="247"/>
      <c r="B20" s="247"/>
      <c r="C20" s="548" t="s">
        <v>674</v>
      </c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  <c r="AI20" s="247"/>
      <c r="AJ20" s="247"/>
      <c r="AK20" s="247"/>
      <c r="AL20" s="247"/>
      <c r="AM20" s="247"/>
      <c r="AN20" s="247"/>
    </row>
    <row r="21" spans="1:55" x14ac:dyDescent="0.25">
      <c r="A21" s="247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</row>
    <row r="22" spans="1:55" x14ac:dyDescent="0.25">
      <c r="A22" s="247"/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  <c r="AI22" s="247"/>
      <c r="AJ22" s="247"/>
      <c r="AK22" s="247"/>
      <c r="AL22" s="247"/>
      <c r="AM22" s="247"/>
      <c r="AN22" s="247"/>
      <c r="AO22" s="247"/>
      <c r="AP22" s="247"/>
      <c r="AQ22" s="247"/>
    </row>
    <row r="23" spans="1:55" ht="15" customHeight="1" x14ac:dyDescent="0.25">
      <c r="A23" s="2017" t="s">
        <v>0</v>
      </c>
      <c r="B23" s="2020"/>
      <c r="C23" s="2017" t="s">
        <v>184</v>
      </c>
      <c r="D23" s="2017" t="s">
        <v>54</v>
      </c>
      <c r="E23" s="2017" t="s">
        <v>55</v>
      </c>
      <c r="F23" s="2017" t="s">
        <v>56</v>
      </c>
      <c r="G23" s="2017" t="s">
        <v>57</v>
      </c>
      <c r="H23" s="2017" t="s">
        <v>6</v>
      </c>
      <c r="I23" s="2017" t="s">
        <v>282</v>
      </c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O23" s="247"/>
      <c r="AP23" s="247"/>
      <c r="AQ23" s="247"/>
    </row>
    <row r="24" spans="1:55" ht="50.25" customHeight="1" x14ac:dyDescent="0.25">
      <c r="A24" s="2017"/>
      <c r="B24" s="2021"/>
      <c r="C24" s="2017"/>
      <c r="D24" s="2017"/>
      <c r="E24" s="2017"/>
      <c r="F24" s="2017"/>
      <c r="G24" s="2017"/>
      <c r="H24" s="2017"/>
      <c r="I24" s="201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  <c r="AE24" s="247"/>
      <c r="AF24" s="247"/>
      <c r="AG24" s="247"/>
      <c r="AH24" s="247"/>
      <c r="AI24" s="247"/>
      <c r="AJ24" s="247"/>
      <c r="AK24" s="247"/>
      <c r="AL24" s="247"/>
      <c r="AM24" s="247"/>
      <c r="AN24" s="247"/>
      <c r="AO24" s="247"/>
      <c r="AP24" s="247"/>
      <c r="AQ24" s="247"/>
    </row>
    <row r="25" spans="1:55" x14ac:dyDescent="0.25">
      <c r="A25" s="13">
        <v>1</v>
      </c>
      <c r="B25" s="13"/>
      <c r="C25" s="42" t="s">
        <v>228</v>
      </c>
      <c r="D25" s="705">
        <v>1967</v>
      </c>
      <c r="E25" s="705">
        <v>2</v>
      </c>
      <c r="F25" s="705">
        <v>12</v>
      </c>
      <c r="G25" s="705">
        <v>32</v>
      </c>
      <c r="H25" s="707">
        <v>506.67</v>
      </c>
      <c r="I25" s="706">
        <v>24.4</v>
      </c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47"/>
      <c r="AP25" s="247"/>
      <c r="AQ25" s="247"/>
    </row>
    <row r="26" spans="1:55" x14ac:dyDescent="0.25">
      <c r="A26" s="13">
        <v>2</v>
      </c>
      <c r="B26" s="13"/>
      <c r="C26" s="42" t="s">
        <v>229</v>
      </c>
      <c r="D26" s="705">
        <v>1967</v>
      </c>
      <c r="E26" s="705">
        <v>2</v>
      </c>
      <c r="F26" s="705">
        <v>12</v>
      </c>
      <c r="G26" s="705">
        <v>38</v>
      </c>
      <c r="H26" s="707">
        <v>538.85</v>
      </c>
      <c r="I26" s="706">
        <v>24.4</v>
      </c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  <c r="AI26" s="247"/>
      <c r="AJ26" s="247"/>
      <c r="AK26" s="247"/>
      <c r="AL26" s="247"/>
      <c r="AM26" s="247"/>
      <c r="AN26" s="247"/>
      <c r="AO26" s="247"/>
      <c r="AP26" s="247"/>
      <c r="AQ26" s="247"/>
    </row>
    <row r="27" spans="1:55" x14ac:dyDescent="0.25">
      <c r="A27" s="13">
        <v>4</v>
      </c>
      <c r="B27" s="13"/>
      <c r="C27" s="42" t="s">
        <v>230</v>
      </c>
      <c r="D27" s="705">
        <v>1967</v>
      </c>
      <c r="E27" s="705">
        <v>2</v>
      </c>
      <c r="F27" s="705">
        <v>12</v>
      </c>
      <c r="G27" s="705">
        <v>38</v>
      </c>
      <c r="H27" s="707">
        <v>508.35</v>
      </c>
      <c r="I27" s="706">
        <v>24.4</v>
      </c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I27" s="247"/>
      <c r="AJ27" s="247"/>
      <c r="AK27" s="247"/>
      <c r="AL27" s="247"/>
      <c r="AM27" s="247"/>
      <c r="AN27" s="247"/>
      <c r="AO27" s="247"/>
      <c r="AP27" s="247"/>
      <c r="AQ27" s="247"/>
    </row>
    <row r="28" spans="1:55" x14ac:dyDescent="0.25">
      <c r="A28" s="13">
        <v>6</v>
      </c>
      <c r="B28" s="13"/>
      <c r="C28" s="42" t="s">
        <v>233</v>
      </c>
      <c r="D28" s="705">
        <v>1994</v>
      </c>
      <c r="E28" s="705">
        <v>3</v>
      </c>
      <c r="F28" s="705">
        <v>24</v>
      </c>
      <c r="G28" s="705">
        <v>65</v>
      </c>
      <c r="H28" s="707">
        <v>1442.3</v>
      </c>
      <c r="I28" s="706">
        <v>129.6</v>
      </c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47"/>
      <c r="AJ28" s="247"/>
      <c r="AK28" s="247"/>
      <c r="AL28" s="247"/>
      <c r="AM28" s="247"/>
      <c r="AN28" s="247"/>
      <c r="AO28" s="247"/>
      <c r="AP28" s="247"/>
      <c r="AQ28" s="247"/>
    </row>
    <row r="29" spans="1:55" ht="15.75" thickBot="1" x14ac:dyDescent="0.3">
      <c r="A29" s="13">
        <v>7</v>
      </c>
      <c r="B29" s="13"/>
      <c r="C29" s="42" t="s">
        <v>234</v>
      </c>
      <c r="D29" s="705">
        <v>1989</v>
      </c>
      <c r="E29" s="705">
        <v>3</v>
      </c>
      <c r="F29" s="705">
        <v>24</v>
      </c>
      <c r="G29" s="705">
        <v>61</v>
      </c>
      <c r="H29" s="707">
        <v>1454.5</v>
      </c>
      <c r="I29" s="706">
        <v>129.6</v>
      </c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  <c r="AJ29" s="247"/>
      <c r="AK29" s="247"/>
      <c r="AL29" s="247"/>
      <c r="AM29" s="247"/>
      <c r="AN29" s="247"/>
      <c r="AO29" s="247"/>
      <c r="AP29" s="247"/>
      <c r="AQ29" s="247"/>
    </row>
    <row r="30" spans="1:55" ht="15.75" thickBot="1" x14ac:dyDescent="0.3">
      <c r="A30" s="195"/>
      <c r="B30" s="579"/>
      <c r="C30" s="196" t="s">
        <v>297</v>
      </c>
      <c r="D30" s="711"/>
      <c r="E30" s="711"/>
      <c r="F30" s="712">
        <f t="shared" ref="F30:I30" si="21">SUM(F25:F29)</f>
        <v>84</v>
      </c>
      <c r="G30" s="712">
        <f t="shared" si="21"/>
        <v>234</v>
      </c>
      <c r="H30" s="1104">
        <f t="shared" si="21"/>
        <v>4450.67</v>
      </c>
      <c r="I30" s="653">
        <f t="shared" si="21"/>
        <v>332.4</v>
      </c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O30" s="247"/>
      <c r="AP30" s="247"/>
      <c r="AQ30" s="247"/>
    </row>
    <row r="31" spans="1:55" ht="15.75" customHeight="1" x14ac:dyDescent="0.25">
      <c r="A31" s="296"/>
      <c r="B31" s="296"/>
      <c r="C31" s="296"/>
      <c r="D31" s="296"/>
      <c r="E31" s="296"/>
      <c r="F31" s="296"/>
      <c r="G31" s="296"/>
      <c r="H31" s="296"/>
      <c r="I31" s="296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7"/>
      <c r="AN31" s="247"/>
      <c r="AO31" s="247"/>
      <c r="AP31" s="247"/>
      <c r="AQ31" s="247"/>
    </row>
    <row r="32" spans="1:55" ht="15" customHeight="1" x14ac:dyDescent="0.25">
      <c r="A32" s="296"/>
      <c r="B32" s="296"/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50"/>
      <c r="AF32" s="250"/>
      <c r="AG32" s="250"/>
      <c r="AH32" s="250"/>
      <c r="AI32" s="250"/>
      <c r="AJ32" s="250"/>
      <c r="AK32" s="250"/>
      <c r="AL32" s="250"/>
      <c r="AM32" s="250"/>
      <c r="AN32" s="250"/>
    </row>
    <row r="33" spans="1:43" ht="15" customHeight="1" x14ac:dyDescent="0.25">
      <c r="A33" s="296"/>
      <c r="B33" s="296"/>
      <c r="C33" s="549" t="s">
        <v>646</v>
      </c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</row>
    <row r="34" spans="1:43" ht="15" customHeight="1" x14ac:dyDescent="0.25">
      <c r="A34" s="296"/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296"/>
      <c r="AO34" s="296"/>
      <c r="AP34" s="296"/>
      <c r="AQ34" s="296"/>
    </row>
    <row r="35" spans="1:43" ht="26.25" customHeight="1" x14ac:dyDescent="0.25">
      <c r="A35" s="2017" t="s">
        <v>0</v>
      </c>
      <c r="B35" s="2020"/>
      <c r="C35" s="2017" t="s">
        <v>184</v>
      </c>
      <c r="D35" s="2017" t="s">
        <v>54</v>
      </c>
      <c r="E35" s="2017" t="s">
        <v>55</v>
      </c>
      <c r="F35" s="2017" t="s">
        <v>56</v>
      </c>
      <c r="G35" s="2017" t="s">
        <v>57</v>
      </c>
      <c r="H35" s="2017" t="s">
        <v>6</v>
      </c>
      <c r="I35" s="2017" t="s">
        <v>282</v>
      </c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296"/>
      <c r="AN35" s="296"/>
      <c r="AO35" s="296"/>
      <c r="AP35" s="296"/>
      <c r="AQ35" s="296"/>
    </row>
    <row r="36" spans="1:43" ht="30" customHeight="1" x14ac:dyDescent="0.25">
      <c r="A36" s="2017"/>
      <c r="B36" s="2021"/>
      <c r="C36" s="2017"/>
      <c r="D36" s="2017"/>
      <c r="E36" s="2017"/>
      <c r="F36" s="2017"/>
      <c r="G36" s="2017"/>
      <c r="H36" s="2017"/>
      <c r="I36" s="2017"/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296"/>
      <c r="AN36" s="296"/>
      <c r="AO36" s="296"/>
      <c r="AP36" s="296"/>
      <c r="AQ36" s="296"/>
    </row>
    <row r="37" spans="1:43" ht="15" customHeight="1" x14ac:dyDescent="0.25">
      <c r="A37" s="13">
        <v>1</v>
      </c>
      <c r="B37" s="13"/>
      <c r="C37" s="42" t="s">
        <v>228</v>
      </c>
      <c r="D37" s="705">
        <v>1967</v>
      </c>
      <c r="E37" s="705">
        <v>2</v>
      </c>
      <c r="F37" s="705">
        <v>12</v>
      </c>
      <c r="G37" s="705">
        <v>32</v>
      </c>
      <c r="H37" s="707">
        <v>506.67</v>
      </c>
      <c r="I37" s="706">
        <v>24.4</v>
      </c>
      <c r="J37" s="296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296"/>
      <c r="AN37" s="296"/>
      <c r="AO37" s="296"/>
      <c r="AP37" s="296"/>
      <c r="AQ37" s="296"/>
    </row>
    <row r="38" spans="1:43" ht="15" customHeight="1" x14ac:dyDescent="0.25">
      <c r="A38" s="13">
        <v>2</v>
      </c>
      <c r="B38" s="13"/>
      <c r="C38" s="42" t="s">
        <v>229</v>
      </c>
      <c r="D38" s="705">
        <v>1967</v>
      </c>
      <c r="E38" s="705">
        <v>2</v>
      </c>
      <c r="F38" s="705">
        <v>12</v>
      </c>
      <c r="G38" s="705">
        <v>38</v>
      </c>
      <c r="H38" s="707">
        <v>538.85</v>
      </c>
      <c r="I38" s="706">
        <v>24.4</v>
      </c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296"/>
      <c r="AN38" s="296"/>
      <c r="AO38" s="296"/>
      <c r="AP38" s="296"/>
      <c r="AQ38" s="296"/>
    </row>
    <row r="39" spans="1:43" ht="15" customHeight="1" x14ac:dyDescent="0.25">
      <c r="A39" s="13">
        <v>3</v>
      </c>
      <c r="B39" s="13"/>
      <c r="C39" s="42" t="s">
        <v>230</v>
      </c>
      <c r="D39" s="705">
        <v>1967</v>
      </c>
      <c r="E39" s="705">
        <v>2</v>
      </c>
      <c r="F39" s="705">
        <v>12</v>
      </c>
      <c r="G39" s="705">
        <v>38</v>
      </c>
      <c r="H39" s="707">
        <v>508.35</v>
      </c>
      <c r="I39" s="706">
        <v>24.08</v>
      </c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296"/>
      <c r="AN39" s="296"/>
      <c r="AO39" s="296"/>
      <c r="AP39" s="296"/>
      <c r="AQ39" s="296"/>
    </row>
    <row r="40" spans="1:43" ht="15" customHeight="1" x14ac:dyDescent="0.25">
      <c r="A40" s="13">
        <v>4</v>
      </c>
      <c r="B40" s="13"/>
      <c r="C40" s="42" t="s">
        <v>233</v>
      </c>
      <c r="D40" s="705">
        <v>1994</v>
      </c>
      <c r="E40" s="705">
        <v>3</v>
      </c>
      <c r="F40" s="705">
        <v>24</v>
      </c>
      <c r="G40" s="705">
        <v>65</v>
      </c>
      <c r="H40" s="707">
        <v>1442.3</v>
      </c>
      <c r="I40" s="706">
        <v>188.4</v>
      </c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296"/>
      <c r="AN40" s="296"/>
      <c r="AO40" s="296"/>
      <c r="AP40" s="296"/>
      <c r="AQ40" s="296"/>
    </row>
    <row r="41" spans="1:43" ht="15" customHeight="1" thickBot="1" x14ac:dyDescent="0.3">
      <c r="A41" s="13">
        <v>5</v>
      </c>
      <c r="B41" s="13"/>
      <c r="C41" s="42" t="s">
        <v>234</v>
      </c>
      <c r="D41" s="705">
        <v>1989</v>
      </c>
      <c r="E41" s="705">
        <v>3</v>
      </c>
      <c r="F41" s="705">
        <v>24</v>
      </c>
      <c r="G41" s="705">
        <v>61</v>
      </c>
      <c r="H41" s="707">
        <v>1454.5</v>
      </c>
      <c r="I41" s="706">
        <v>188.4</v>
      </c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296"/>
      <c r="AN41" s="296"/>
      <c r="AO41" s="296"/>
      <c r="AP41" s="296"/>
      <c r="AQ41" s="296"/>
    </row>
    <row r="42" spans="1:43" ht="15" customHeight="1" thickBot="1" x14ac:dyDescent="0.3">
      <c r="A42" s="195"/>
      <c r="B42" s="579"/>
      <c r="C42" s="196" t="s">
        <v>297</v>
      </c>
      <c r="D42" s="711"/>
      <c r="E42" s="711"/>
      <c r="F42" s="712">
        <f t="shared" ref="F42:I42" si="22">SUM(F37:F41)</f>
        <v>84</v>
      </c>
      <c r="G42" s="712">
        <f t="shared" si="22"/>
        <v>234</v>
      </c>
      <c r="H42" s="1104">
        <f t="shared" si="22"/>
        <v>4450.67</v>
      </c>
      <c r="I42" s="653">
        <f t="shared" si="22"/>
        <v>449.67999999999995</v>
      </c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296"/>
      <c r="AN42" s="296"/>
      <c r="AO42" s="296"/>
      <c r="AP42" s="296"/>
      <c r="AQ42" s="296"/>
    </row>
    <row r="43" spans="1:43" ht="15" customHeight="1" x14ac:dyDescent="0.25">
      <c r="A43" s="296"/>
      <c r="B43" s="296"/>
      <c r="C43" s="296"/>
      <c r="D43" s="296"/>
      <c r="E43" s="296"/>
      <c r="F43" s="296"/>
      <c r="G43" s="296"/>
      <c r="H43" s="296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296"/>
      <c r="AN43" s="296"/>
      <c r="AO43" s="296"/>
      <c r="AP43" s="296"/>
      <c r="AQ43" s="296"/>
    </row>
    <row r="44" spans="1:43" ht="15" customHeight="1" x14ac:dyDescent="0.25">
      <c r="A44" s="296"/>
      <c r="B44" s="296"/>
      <c r="C44" s="296"/>
      <c r="D44" s="296"/>
      <c r="E44" s="563" t="s">
        <v>607</v>
      </c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50"/>
      <c r="AF44" s="250"/>
      <c r="AG44" s="250"/>
      <c r="AH44" s="250"/>
      <c r="AI44" s="250"/>
      <c r="AJ44" s="250"/>
      <c r="AK44" s="250"/>
      <c r="AL44" s="250"/>
      <c r="AM44" s="250"/>
      <c r="AN44" s="250"/>
    </row>
    <row r="45" spans="1:43" ht="15" customHeight="1" x14ac:dyDescent="0.25">
      <c r="A45" s="296"/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  <c r="O45" s="296"/>
      <c r="P45" s="296"/>
      <c r="Q45" s="296"/>
      <c r="R45" s="550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50"/>
      <c r="AF45" s="250"/>
      <c r="AG45" s="250"/>
      <c r="AH45" s="250"/>
      <c r="AI45" s="250"/>
      <c r="AJ45" s="250"/>
      <c r="AK45" s="250"/>
      <c r="AL45" s="250"/>
      <c r="AM45" s="250"/>
      <c r="AN45" s="250"/>
    </row>
    <row r="46" spans="1:43" ht="15" customHeight="1" x14ac:dyDescent="0.25">
      <c r="A46" s="296"/>
      <c r="B46" s="296"/>
      <c r="C46" s="296"/>
      <c r="D46" s="296"/>
      <c r="E46" s="296"/>
      <c r="F46" s="296"/>
      <c r="G46" s="296"/>
      <c r="H46" s="296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50"/>
      <c r="AF46" s="250"/>
      <c r="AG46" s="250"/>
      <c r="AH46" s="250"/>
      <c r="AI46" s="250"/>
      <c r="AJ46" s="250"/>
      <c r="AK46" s="250"/>
      <c r="AL46" s="250"/>
      <c r="AM46" s="250"/>
      <c r="AN46" s="250"/>
    </row>
    <row r="47" spans="1:43" ht="15" customHeight="1" x14ac:dyDescent="0.25">
      <c r="A47" s="296"/>
      <c r="B47" s="296"/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50"/>
      <c r="AF47" s="250"/>
      <c r="AG47" s="250"/>
      <c r="AH47" s="250"/>
      <c r="AI47" s="250"/>
      <c r="AJ47" s="250"/>
      <c r="AK47" s="250"/>
      <c r="AL47" s="250"/>
      <c r="AM47" s="250"/>
      <c r="AN47" s="250"/>
    </row>
    <row r="48" spans="1:43" ht="15" customHeight="1" x14ac:dyDescent="0.25">
      <c r="A48" s="296"/>
      <c r="B48" s="296"/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50"/>
      <c r="AF48" s="250"/>
      <c r="AG48" s="250"/>
      <c r="AH48" s="250"/>
      <c r="AI48" s="250"/>
      <c r="AJ48" s="250"/>
      <c r="AK48" s="250"/>
      <c r="AL48" s="250"/>
      <c r="AM48" s="250"/>
      <c r="AN48" s="250"/>
    </row>
    <row r="49" spans="1:40" ht="15" customHeight="1" x14ac:dyDescent="0.25">
      <c r="A49" s="296"/>
      <c r="B49" s="296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</row>
    <row r="50" spans="1:40" ht="15" customHeight="1" x14ac:dyDescent="0.25">
      <c r="A50" s="296"/>
      <c r="B50" s="296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50"/>
      <c r="AF50" s="250"/>
      <c r="AG50" s="250"/>
      <c r="AH50" s="250"/>
      <c r="AI50" s="250"/>
      <c r="AJ50" s="250"/>
      <c r="AK50" s="250"/>
      <c r="AL50" s="250"/>
      <c r="AM50" s="250"/>
      <c r="AN50" s="250"/>
    </row>
    <row r="51" spans="1:40" ht="15" customHeight="1" x14ac:dyDescent="0.25">
      <c r="A51" s="296"/>
      <c r="B51" s="296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/>
      <c r="V51" s="296"/>
      <c r="W51" s="296"/>
      <c r="X51" s="296"/>
      <c r="Y51" s="296"/>
      <c r="Z51" s="296"/>
      <c r="AA51" s="296"/>
      <c r="AB51" s="296"/>
      <c r="AC51" s="296"/>
      <c r="AD51" s="296"/>
      <c r="AE51" s="250"/>
      <c r="AF51" s="250"/>
      <c r="AG51" s="250"/>
      <c r="AH51" s="250"/>
      <c r="AI51" s="250"/>
      <c r="AJ51" s="250"/>
      <c r="AK51" s="250"/>
      <c r="AL51" s="250"/>
      <c r="AM51" s="250"/>
      <c r="AN51" s="250"/>
    </row>
    <row r="52" spans="1:40" ht="15" customHeight="1" x14ac:dyDescent="0.25">
      <c r="A52" s="296"/>
      <c r="B52" s="296"/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</row>
    <row r="53" spans="1:40" ht="15" customHeight="1" x14ac:dyDescent="0.25">
      <c r="A53" s="296"/>
      <c r="B53" s="296"/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50"/>
      <c r="AF53" s="250"/>
      <c r="AG53" s="250"/>
      <c r="AH53" s="250"/>
      <c r="AI53" s="250"/>
      <c r="AJ53" s="250"/>
      <c r="AK53" s="250"/>
      <c r="AL53" s="250"/>
      <c r="AM53" s="250"/>
      <c r="AN53" s="250"/>
    </row>
    <row r="54" spans="1:40" ht="15" customHeight="1" x14ac:dyDescent="0.25">
      <c r="A54" s="296"/>
      <c r="B54" s="296"/>
      <c r="C54" s="296"/>
      <c r="D54" s="296"/>
      <c r="E54" s="296"/>
      <c r="F54" s="296"/>
      <c r="G54" s="296"/>
      <c r="H54" s="296"/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50"/>
      <c r="AF54" s="250"/>
      <c r="AG54" s="250"/>
      <c r="AH54" s="250"/>
      <c r="AI54" s="250"/>
      <c r="AJ54" s="250"/>
      <c r="AK54" s="250"/>
      <c r="AL54" s="250"/>
      <c r="AM54" s="250"/>
      <c r="AN54" s="250"/>
    </row>
    <row r="55" spans="1:40" ht="15" customHeight="1" x14ac:dyDescent="0.25">
      <c r="A55" s="296"/>
      <c r="B55" s="296"/>
      <c r="C55" s="296"/>
      <c r="D55" s="296"/>
      <c r="E55" s="296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</row>
    <row r="56" spans="1:40" ht="15" customHeight="1" x14ac:dyDescent="0.25">
      <c r="A56" s="296"/>
      <c r="B56" s="296"/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50"/>
      <c r="AF56" s="250"/>
      <c r="AG56" s="250"/>
      <c r="AH56" s="250"/>
      <c r="AI56" s="250"/>
      <c r="AJ56" s="250"/>
      <c r="AK56" s="250"/>
      <c r="AL56" s="250"/>
      <c r="AM56" s="250"/>
      <c r="AN56" s="250"/>
    </row>
    <row r="57" spans="1:40" ht="15" customHeight="1" x14ac:dyDescent="0.25">
      <c r="A57" s="296"/>
      <c r="B57" s="296"/>
      <c r="C57" s="296"/>
      <c r="D57" s="296"/>
      <c r="E57" s="296"/>
      <c r="F57" s="296"/>
      <c r="G57" s="296"/>
      <c r="H57" s="296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50"/>
      <c r="AF57" s="250"/>
      <c r="AG57" s="250"/>
      <c r="AH57" s="250"/>
      <c r="AI57" s="250"/>
      <c r="AJ57" s="250"/>
      <c r="AK57" s="250"/>
      <c r="AL57" s="250"/>
      <c r="AM57" s="250"/>
      <c r="AN57" s="250"/>
    </row>
    <row r="58" spans="1:40" ht="15" customHeight="1" x14ac:dyDescent="0.25">
      <c r="A58" s="296"/>
      <c r="B58" s="296"/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50"/>
      <c r="AF58" s="250"/>
      <c r="AG58" s="250"/>
      <c r="AH58" s="250"/>
      <c r="AI58" s="250"/>
      <c r="AJ58" s="250"/>
      <c r="AK58" s="250"/>
      <c r="AL58" s="250"/>
      <c r="AM58" s="250"/>
      <c r="AN58" s="250"/>
    </row>
    <row r="59" spans="1:40" ht="15" customHeight="1" x14ac:dyDescent="0.25">
      <c r="A59" s="296"/>
      <c r="B59" s="296"/>
      <c r="C59" s="296"/>
      <c r="D59" s="296"/>
      <c r="E59" s="296"/>
      <c r="F59" s="296"/>
      <c r="G59" s="296"/>
      <c r="H59" s="296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50"/>
      <c r="AF59" s="250"/>
      <c r="AG59" s="250"/>
      <c r="AH59" s="250"/>
      <c r="AI59" s="250"/>
      <c r="AJ59" s="250"/>
      <c r="AK59" s="250"/>
      <c r="AL59" s="250"/>
      <c r="AM59" s="250"/>
      <c r="AN59" s="250"/>
    </row>
    <row r="60" spans="1:40" ht="15" customHeight="1" x14ac:dyDescent="0.25">
      <c r="A60" s="296"/>
      <c r="B60" s="296"/>
      <c r="C60" s="296"/>
      <c r="D60" s="296"/>
      <c r="E60" s="296"/>
      <c r="F60" s="296"/>
      <c r="G60" s="296"/>
      <c r="H60" s="296"/>
      <c r="I60" s="296"/>
      <c r="J60" s="296"/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50"/>
      <c r="AF60" s="250"/>
      <c r="AG60" s="250"/>
      <c r="AH60" s="250"/>
      <c r="AI60" s="250"/>
      <c r="AJ60" s="250"/>
      <c r="AK60" s="250"/>
      <c r="AL60" s="250"/>
      <c r="AM60" s="250"/>
      <c r="AN60" s="250"/>
    </row>
    <row r="61" spans="1:40" ht="15" customHeight="1" x14ac:dyDescent="0.25">
      <c r="A61" s="296"/>
      <c r="B61" s="296"/>
      <c r="C61" s="296"/>
      <c r="D61" s="296"/>
      <c r="E61" s="296"/>
      <c r="F61" s="296"/>
      <c r="G61" s="296"/>
      <c r="H61" s="296"/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50"/>
      <c r="AF61" s="250"/>
      <c r="AG61" s="250"/>
      <c r="AH61" s="250"/>
      <c r="AI61" s="250"/>
      <c r="AJ61" s="250"/>
      <c r="AK61" s="250"/>
      <c r="AL61" s="250"/>
      <c r="AM61" s="250"/>
      <c r="AN61" s="250"/>
    </row>
    <row r="62" spans="1:40" ht="15" customHeight="1" x14ac:dyDescent="0.25">
      <c r="A62" s="296"/>
      <c r="B62" s="296"/>
      <c r="C62" s="296"/>
      <c r="D62" s="296"/>
      <c r="E62" s="296"/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50"/>
      <c r="AF62" s="250"/>
      <c r="AG62" s="250"/>
      <c r="AH62" s="250"/>
      <c r="AI62" s="250"/>
      <c r="AJ62" s="250"/>
      <c r="AK62" s="250"/>
      <c r="AL62" s="250"/>
      <c r="AM62" s="250"/>
      <c r="AN62" s="250"/>
    </row>
    <row r="63" spans="1:40" ht="15" customHeight="1" x14ac:dyDescent="0.25">
      <c r="A63" s="247"/>
      <c r="B63" s="247"/>
      <c r="C63" s="247"/>
      <c r="D63" s="296"/>
      <c r="E63" s="296"/>
      <c r="F63" s="296"/>
      <c r="G63" s="296"/>
      <c r="H63" s="296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50"/>
      <c r="AF63" s="250"/>
      <c r="AG63" s="250"/>
      <c r="AH63" s="250"/>
      <c r="AI63" s="250"/>
      <c r="AJ63" s="250"/>
      <c r="AK63" s="250"/>
      <c r="AL63" s="250"/>
      <c r="AM63" s="250"/>
      <c r="AN63" s="250"/>
    </row>
    <row r="64" spans="1:40" ht="15" customHeight="1" x14ac:dyDescent="0.25">
      <c r="A64" s="247"/>
      <c r="B64" s="247"/>
      <c r="C64" s="247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50"/>
      <c r="AJ64" s="250"/>
      <c r="AK64" s="250"/>
      <c r="AL64" s="250"/>
      <c r="AM64" s="250"/>
      <c r="AN64" s="250"/>
    </row>
    <row r="65" spans="1:40" ht="15" customHeight="1" x14ac:dyDescent="0.25">
      <c r="A65" s="247"/>
      <c r="B65" s="247"/>
      <c r="C65" s="247"/>
      <c r="D65" s="296"/>
      <c r="E65" s="296"/>
      <c r="F65" s="296"/>
      <c r="G65" s="296"/>
      <c r="H65" s="296"/>
      <c r="I65" s="1577"/>
      <c r="J65" s="296"/>
      <c r="K65" s="296"/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50"/>
      <c r="AJ65" s="250"/>
      <c r="AK65" s="250"/>
      <c r="AL65" s="250"/>
      <c r="AM65" s="250"/>
      <c r="AN65" s="250"/>
    </row>
    <row r="66" spans="1:40" ht="15" customHeight="1" x14ac:dyDescent="0.25">
      <c r="A66" s="247"/>
      <c r="B66" s="247"/>
      <c r="C66" s="247"/>
      <c r="D66" s="296"/>
      <c r="E66" s="296"/>
      <c r="F66" s="296"/>
      <c r="G66" s="296"/>
      <c r="H66" s="296"/>
      <c r="I66" s="296"/>
      <c r="J66" s="296"/>
      <c r="K66" s="296"/>
      <c r="L66" s="296"/>
      <c r="M66" s="296"/>
      <c r="N66" s="296"/>
      <c r="O66" s="296"/>
      <c r="P66" s="296"/>
      <c r="Q66" s="296"/>
      <c r="R66" s="296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50"/>
      <c r="AJ66" s="250"/>
      <c r="AK66" s="250"/>
      <c r="AL66" s="250"/>
      <c r="AM66" s="250"/>
      <c r="AN66" s="250"/>
    </row>
    <row r="67" spans="1:40" ht="15" customHeight="1" x14ac:dyDescent="0.25">
      <c r="A67" s="247"/>
      <c r="B67" s="247"/>
      <c r="C67" s="247"/>
      <c r="D67" s="296"/>
      <c r="E67" s="296"/>
      <c r="F67" s="296"/>
      <c r="G67" s="296"/>
      <c r="H67" s="296"/>
      <c r="I67" s="296"/>
      <c r="J67" s="296"/>
      <c r="K67" s="296"/>
      <c r="L67" s="296"/>
      <c r="M67" s="296"/>
      <c r="N67" s="296"/>
      <c r="O67" s="296"/>
      <c r="P67" s="296"/>
      <c r="Q67" s="296"/>
      <c r="R67" s="296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50"/>
      <c r="AJ67" s="250"/>
      <c r="AK67" s="250"/>
      <c r="AL67" s="250"/>
      <c r="AM67" s="250"/>
      <c r="AN67" s="250"/>
    </row>
    <row r="68" spans="1:40" ht="15" customHeight="1" x14ac:dyDescent="0.25">
      <c r="A68" s="247"/>
      <c r="B68" s="247"/>
      <c r="C68" s="247"/>
      <c r="D68" s="296"/>
      <c r="E68" s="296"/>
      <c r="F68" s="296"/>
      <c r="G68" s="296"/>
      <c r="H68" s="296"/>
      <c r="I68" s="296"/>
      <c r="J68" s="296"/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50"/>
      <c r="AJ68" s="250"/>
      <c r="AK68" s="250"/>
      <c r="AL68" s="250"/>
      <c r="AM68" s="250"/>
      <c r="AN68" s="250"/>
    </row>
    <row r="69" spans="1:40" ht="15" customHeight="1" x14ac:dyDescent="0.25">
      <c r="A69" s="247"/>
      <c r="B69" s="247"/>
      <c r="C69" s="247"/>
      <c r="D69" s="296"/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50"/>
      <c r="AJ69" s="250"/>
      <c r="AK69" s="250"/>
      <c r="AL69" s="250"/>
      <c r="AM69" s="250"/>
      <c r="AN69" s="250"/>
    </row>
    <row r="70" spans="1:40" ht="15" customHeight="1" x14ac:dyDescent="0.25">
      <c r="A70" s="247"/>
      <c r="B70" s="247"/>
      <c r="C70" s="247"/>
      <c r="D70" s="296"/>
      <c r="E70" s="296"/>
      <c r="F70" s="296"/>
      <c r="G70" s="296"/>
      <c r="H70" s="296"/>
      <c r="I70" s="296"/>
      <c r="J70" s="296"/>
      <c r="K70" s="296"/>
      <c r="L70" s="296"/>
      <c r="M70" s="296"/>
      <c r="N70" s="296"/>
      <c r="O70" s="296"/>
      <c r="P70" s="296"/>
      <c r="Q70" s="296"/>
      <c r="R70" s="296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50"/>
      <c r="AJ70" s="250"/>
      <c r="AK70" s="250"/>
      <c r="AL70" s="250"/>
      <c r="AM70" s="250"/>
      <c r="AN70" s="250"/>
    </row>
    <row r="71" spans="1:40" ht="15" customHeight="1" x14ac:dyDescent="0.25">
      <c r="A71" s="247"/>
      <c r="B71" s="247"/>
      <c r="C71" s="247"/>
      <c r="D71" s="296"/>
      <c r="E71" s="296"/>
      <c r="F71" s="296"/>
      <c r="G71" s="296"/>
      <c r="H71" s="296"/>
      <c r="I71" s="296"/>
      <c r="J71" s="296"/>
      <c r="K71" s="296"/>
      <c r="L71" s="296"/>
      <c r="M71" s="296"/>
      <c r="N71" s="296"/>
      <c r="O71" s="296"/>
      <c r="P71" s="296"/>
      <c r="Q71" s="296"/>
      <c r="R71" s="296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50"/>
      <c r="AJ71" s="250"/>
      <c r="AK71" s="250"/>
      <c r="AL71" s="250"/>
      <c r="AM71" s="250"/>
      <c r="AN71" s="250"/>
    </row>
    <row r="72" spans="1:40" ht="15" customHeight="1" x14ac:dyDescent="0.25">
      <c r="A72" s="247"/>
      <c r="B72" s="247"/>
      <c r="C72" s="247"/>
      <c r="D72" s="296"/>
      <c r="E72" s="296"/>
      <c r="F72" s="296"/>
      <c r="G72" s="296"/>
      <c r="H72" s="296"/>
      <c r="I72" s="296"/>
      <c r="J72" s="296"/>
      <c r="K72" s="296"/>
      <c r="L72" s="296"/>
      <c r="M72" s="296"/>
      <c r="N72" s="296"/>
      <c r="O72" s="296"/>
      <c r="P72" s="296"/>
      <c r="Q72" s="296"/>
      <c r="R72" s="296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50"/>
      <c r="AJ72" s="250"/>
      <c r="AK72" s="250"/>
      <c r="AL72" s="250"/>
      <c r="AM72" s="250"/>
      <c r="AN72" s="250"/>
    </row>
    <row r="73" spans="1:40" ht="15.75" customHeight="1" x14ac:dyDescent="0.25">
      <c r="A73" s="247"/>
      <c r="B73" s="247"/>
      <c r="C73" s="247"/>
      <c r="D73" s="296"/>
      <c r="E73" s="296"/>
      <c r="F73" s="296"/>
      <c r="G73" s="296"/>
      <c r="H73" s="296"/>
      <c r="I73" s="296"/>
      <c r="J73" s="296"/>
      <c r="K73" s="296"/>
      <c r="L73" s="296"/>
      <c r="M73" s="296"/>
      <c r="N73" s="296"/>
      <c r="O73" s="296"/>
      <c r="P73" s="296"/>
      <c r="Q73" s="296"/>
      <c r="R73" s="296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50"/>
      <c r="AJ73" s="250"/>
      <c r="AK73" s="250"/>
      <c r="AL73" s="250"/>
      <c r="AM73" s="250"/>
      <c r="AN73" s="250"/>
    </row>
    <row r="74" spans="1:40" ht="15.75" customHeight="1" x14ac:dyDescent="0.25">
      <c r="A74" s="247"/>
      <c r="B74" s="247"/>
      <c r="C74" s="247"/>
      <c r="D74" s="296"/>
      <c r="E74" s="296"/>
      <c r="F74" s="296"/>
      <c r="G74" s="296"/>
      <c r="H74" s="296"/>
      <c r="I74" s="296"/>
      <c r="J74" s="296"/>
      <c r="K74" s="296"/>
      <c r="L74" s="296"/>
      <c r="M74" s="296"/>
      <c r="N74" s="296"/>
      <c r="O74" s="296"/>
      <c r="P74" s="296"/>
      <c r="Q74" s="296"/>
      <c r="R74" s="296"/>
      <c r="S74" s="296"/>
      <c r="T74" s="296"/>
      <c r="U74" s="296"/>
      <c r="V74" s="296"/>
      <c r="W74" s="296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50"/>
      <c r="AJ74" s="250"/>
      <c r="AK74" s="250"/>
      <c r="AL74" s="250"/>
      <c r="AM74" s="250"/>
      <c r="AN74" s="250"/>
    </row>
    <row r="75" spans="1:40" ht="15" customHeight="1" x14ac:dyDescent="0.25">
      <c r="A75" s="247"/>
      <c r="B75" s="247"/>
      <c r="C75" s="247"/>
      <c r="D75" s="296"/>
      <c r="E75" s="296"/>
      <c r="F75" s="296"/>
      <c r="G75" s="296"/>
      <c r="H75" s="296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50"/>
      <c r="AJ75" s="250"/>
      <c r="AK75" s="250"/>
      <c r="AL75" s="250"/>
      <c r="AM75" s="250"/>
      <c r="AN75" s="250"/>
    </row>
    <row r="76" spans="1:40" ht="15" customHeight="1" x14ac:dyDescent="0.25">
      <c r="A76" s="247"/>
      <c r="B76" s="247"/>
      <c r="C76" s="247"/>
      <c r="D76" s="296"/>
      <c r="E76" s="296"/>
      <c r="F76" s="296"/>
      <c r="G76" s="296"/>
      <c r="H76" s="296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50"/>
      <c r="AJ76" s="250"/>
      <c r="AK76" s="250"/>
      <c r="AL76" s="250"/>
      <c r="AM76" s="250"/>
      <c r="AN76" s="250"/>
    </row>
    <row r="77" spans="1:40" ht="15" customHeight="1" x14ac:dyDescent="0.25">
      <c r="A77" s="247"/>
      <c r="B77" s="247"/>
      <c r="C77" s="247"/>
      <c r="D77" s="296"/>
      <c r="E77" s="296"/>
      <c r="F77" s="296"/>
      <c r="G77" s="296"/>
      <c r="H77" s="296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50"/>
      <c r="AJ77" s="250"/>
      <c r="AK77" s="250"/>
      <c r="AL77" s="250"/>
      <c r="AM77" s="250"/>
      <c r="AN77" s="250"/>
    </row>
    <row r="78" spans="1:40" ht="15" customHeight="1" x14ac:dyDescent="0.25">
      <c r="A78" s="247"/>
      <c r="B78" s="247"/>
      <c r="C78" s="247"/>
      <c r="D78" s="296"/>
      <c r="E78" s="296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50"/>
      <c r="AJ78" s="250"/>
      <c r="AK78" s="250"/>
      <c r="AL78" s="250"/>
      <c r="AM78" s="250"/>
      <c r="AN78" s="250"/>
    </row>
    <row r="79" spans="1:40" ht="15" customHeight="1" x14ac:dyDescent="0.25">
      <c r="A79" s="247"/>
      <c r="B79" s="247"/>
      <c r="C79" s="247"/>
      <c r="D79" s="296"/>
      <c r="E79" s="296"/>
      <c r="F79" s="296"/>
      <c r="G79" s="296"/>
      <c r="H79" s="296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50"/>
      <c r="AJ79" s="250"/>
      <c r="AK79" s="250"/>
      <c r="AL79" s="250"/>
      <c r="AM79" s="250"/>
      <c r="AN79" s="250"/>
    </row>
    <row r="80" spans="1:40" ht="15.75" customHeight="1" x14ac:dyDescent="0.25">
      <c r="A80" s="247"/>
      <c r="B80" s="247"/>
      <c r="C80" s="247"/>
      <c r="D80" s="296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50"/>
      <c r="AJ80" s="250"/>
      <c r="AK80" s="250"/>
      <c r="AL80" s="250"/>
      <c r="AM80" s="250"/>
      <c r="AN80" s="250"/>
    </row>
    <row r="81" spans="1:40" ht="15.75" customHeight="1" x14ac:dyDescent="0.25">
      <c r="A81" s="247"/>
      <c r="B81" s="247"/>
      <c r="C81" s="247"/>
      <c r="D81" s="296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50"/>
      <c r="AJ81" s="250"/>
      <c r="AK81" s="250"/>
      <c r="AL81" s="250"/>
      <c r="AM81" s="250"/>
      <c r="AN81" s="250"/>
    </row>
    <row r="82" spans="1:40" ht="15" customHeight="1" x14ac:dyDescent="0.25">
      <c r="A82" s="247"/>
      <c r="B82" s="247"/>
      <c r="C82" s="247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50"/>
      <c r="AJ82" s="250"/>
      <c r="AK82" s="250"/>
      <c r="AL82" s="250"/>
      <c r="AM82" s="250"/>
      <c r="AN82" s="250"/>
    </row>
    <row r="83" spans="1:40" ht="15.75" customHeight="1" x14ac:dyDescent="0.25">
      <c r="A83" s="247"/>
      <c r="B83" s="247"/>
      <c r="C83" s="247"/>
      <c r="D83" s="296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50"/>
      <c r="AJ83" s="250"/>
      <c r="AK83" s="250"/>
      <c r="AL83" s="250"/>
      <c r="AM83" s="250"/>
      <c r="AN83" s="250"/>
    </row>
    <row r="84" spans="1:40" ht="15.75" customHeight="1" x14ac:dyDescent="0.25">
      <c r="A84" s="247"/>
      <c r="B84" s="247"/>
      <c r="C84" s="247"/>
      <c r="D84" s="296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50"/>
      <c r="AJ84" s="250"/>
      <c r="AK84" s="250"/>
      <c r="AL84" s="250"/>
      <c r="AM84" s="250"/>
      <c r="AN84" s="250"/>
    </row>
    <row r="85" spans="1:40" ht="15" customHeight="1" x14ac:dyDescent="0.25">
      <c r="A85" s="247"/>
      <c r="B85" s="247"/>
      <c r="C85" s="247"/>
      <c r="D85" s="296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50"/>
      <c r="AJ85" s="250"/>
      <c r="AK85" s="250"/>
      <c r="AL85" s="250"/>
      <c r="AM85" s="250"/>
      <c r="AN85" s="250"/>
    </row>
    <row r="86" spans="1:40" ht="15" customHeight="1" x14ac:dyDescent="0.25">
      <c r="A86" s="247"/>
      <c r="B86" s="247"/>
      <c r="C86" s="247"/>
      <c r="D86" s="296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50"/>
      <c r="AJ86" s="250"/>
      <c r="AK86" s="250"/>
      <c r="AL86" s="250"/>
      <c r="AM86" s="250"/>
      <c r="AN86" s="250"/>
    </row>
    <row r="87" spans="1:40" ht="15.75" x14ac:dyDescent="0.25">
      <c r="A87" s="247"/>
      <c r="B87" s="247"/>
      <c r="C87" s="247"/>
      <c r="D87" s="296"/>
      <c r="E87" s="296"/>
      <c r="F87" s="296"/>
      <c r="G87" s="296"/>
      <c r="H87" s="296"/>
      <c r="I87" s="296"/>
      <c r="J87" s="296"/>
      <c r="K87" s="296"/>
      <c r="L87" s="296"/>
      <c r="M87" s="296"/>
      <c r="N87" s="296"/>
      <c r="O87" s="296"/>
      <c r="P87" s="296"/>
      <c r="Q87" s="296"/>
      <c r="R87" s="296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50"/>
      <c r="AJ87" s="250"/>
      <c r="AK87" s="250"/>
      <c r="AL87" s="250"/>
      <c r="AM87" s="250"/>
      <c r="AN87" s="250"/>
    </row>
    <row r="88" spans="1:40" ht="15.75" x14ac:dyDescent="0.25">
      <c r="A88" s="247"/>
      <c r="B88" s="247"/>
      <c r="C88" s="247"/>
      <c r="D88" s="296"/>
      <c r="E88" s="296"/>
      <c r="F88" s="296"/>
      <c r="G88" s="296"/>
      <c r="H88" s="296"/>
      <c r="I88" s="296"/>
      <c r="J88" s="296"/>
      <c r="K88" s="296"/>
      <c r="L88" s="296"/>
      <c r="M88" s="296"/>
      <c r="N88" s="296"/>
      <c r="O88" s="296"/>
      <c r="P88" s="296"/>
      <c r="Q88" s="296"/>
      <c r="R88" s="296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50"/>
      <c r="AJ88" s="250"/>
      <c r="AK88" s="250"/>
      <c r="AL88" s="250"/>
      <c r="AM88" s="250"/>
      <c r="AN88" s="250"/>
    </row>
    <row r="89" spans="1:40" ht="15" customHeight="1" x14ac:dyDescent="0.25">
      <c r="A89" s="247"/>
      <c r="B89" s="247"/>
      <c r="C89" s="247"/>
      <c r="D89" s="296"/>
      <c r="E89" s="296"/>
      <c r="F89" s="296"/>
      <c r="G89" s="296"/>
      <c r="H89" s="296"/>
      <c r="I89" s="296"/>
      <c r="J89" s="296"/>
      <c r="K89" s="296"/>
      <c r="L89" s="296"/>
      <c r="M89" s="296"/>
      <c r="N89" s="296"/>
      <c r="O89" s="296"/>
      <c r="P89" s="296"/>
      <c r="Q89" s="296"/>
      <c r="R89" s="296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50"/>
      <c r="AJ89" s="250"/>
      <c r="AK89" s="250"/>
      <c r="AL89" s="250"/>
      <c r="AM89" s="250"/>
      <c r="AN89" s="250"/>
    </row>
    <row r="90" spans="1:40" ht="15" customHeight="1" x14ac:dyDescent="0.25">
      <c r="A90" s="247"/>
      <c r="B90" s="247"/>
      <c r="C90" s="247"/>
      <c r="D90" s="296"/>
      <c r="E90" s="296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96"/>
      <c r="Q90" s="296"/>
      <c r="R90" s="296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50"/>
      <c r="AJ90" s="250"/>
      <c r="AK90" s="250"/>
      <c r="AL90" s="250"/>
      <c r="AM90" s="250"/>
      <c r="AN90" s="250"/>
    </row>
    <row r="91" spans="1:40" ht="15" customHeight="1" x14ac:dyDescent="0.25">
      <c r="A91" s="247"/>
      <c r="B91" s="247"/>
      <c r="C91" s="247"/>
      <c r="D91" s="296"/>
      <c r="E91" s="296"/>
      <c r="F91" s="296"/>
      <c r="G91" s="296"/>
      <c r="H91" s="296"/>
      <c r="I91" s="296"/>
      <c r="J91" s="296"/>
      <c r="K91" s="296"/>
      <c r="L91" s="296"/>
      <c r="M91" s="296"/>
      <c r="N91" s="296"/>
      <c r="O91" s="296"/>
      <c r="P91" s="296"/>
      <c r="Q91" s="296"/>
      <c r="R91" s="296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50"/>
      <c r="AJ91" s="250"/>
      <c r="AK91" s="250"/>
      <c r="AL91" s="250"/>
      <c r="AM91" s="250"/>
      <c r="AN91" s="250"/>
    </row>
    <row r="92" spans="1:40" ht="15" customHeight="1" x14ac:dyDescent="0.25">
      <c r="A92" s="247"/>
      <c r="B92" s="247"/>
      <c r="C92" s="247"/>
      <c r="D92" s="296"/>
      <c r="E92" s="296"/>
      <c r="F92" s="296"/>
      <c r="G92" s="296"/>
      <c r="H92" s="296"/>
      <c r="I92" s="296"/>
      <c r="J92" s="296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50"/>
      <c r="AJ92" s="250"/>
      <c r="AK92" s="250"/>
      <c r="AL92" s="250"/>
      <c r="AM92" s="250"/>
      <c r="AN92" s="250"/>
    </row>
    <row r="93" spans="1:40" ht="15" customHeight="1" x14ac:dyDescent="0.25">
      <c r="A93" s="247"/>
      <c r="B93" s="247"/>
      <c r="C93" s="247"/>
      <c r="D93" s="296"/>
      <c r="E93" s="296"/>
      <c r="F93" s="296"/>
      <c r="G93" s="296"/>
      <c r="H93" s="296"/>
      <c r="I93" s="296"/>
      <c r="J93" s="296"/>
      <c r="K93" s="296"/>
      <c r="L93" s="296"/>
      <c r="M93" s="296"/>
      <c r="N93" s="296"/>
      <c r="O93" s="296"/>
      <c r="P93" s="296"/>
      <c r="Q93" s="296"/>
      <c r="R93" s="296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50"/>
      <c r="AJ93" s="250"/>
      <c r="AK93" s="250"/>
      <c r="AL93" s="250"/>
      <c r="AM93" s="250"/>
      <c r="AN93" s="250"/>
    </row>
    <row r="94" spans="1:40" ht="15" customHeight="1" x14ac:dyDescent="0.25">
      <c r="A94" s="247"/>
      <c r="B94" s="247"/>
      <c r="C94" s="247"/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50"/>
      <c r="AJ94" s="250"/>
      <c r="AK94" s="250"/>
      <c r="AL94" s="250"/>
      <c r="AM94" s="250"/>
      <c r="AN94" s="250"/>
    </row>
    <row r="95" spans="1:40" ht="15" customHeight="1" x14ac:dyDescent="0.25">
      <c r="A95" s="247"/>
      <c r="B95" s="247"/>
      <c r="C95" s="247"/>
      <c r="D95" s="296"/>
      <c r="E95" s="296"/>
      <c r="F95" s="296"/>
      <c r="G95" s="296"/>
      <c r="H95" s="296"/>
      <c r="I95" s="296"/>
      <c r="J95" s="296"/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50"/>
      <c r="AJ95" s="250"/>
      <c r="AK95" s="250"/>
      <c r="AL95" s="250"/>
      <c r="AM95" s="250"/>
      <c r="AN95" s="250"/>
    </row>
    <row r="96" spans="1:40" ht="15" customHeight="1" x14ac:dyDescent="0.25">
      <c r="A96" s="247"/>
      <c r="B96" s="247"/>
      <c r="C96" s="247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50"/>
      <c r="AJ96" s="250"/>
      <c r="AK96" s="250"/>
      <c r="AL96" s="250"/>
      <c r="AM96" s="250"/>
      <c r="AN96" s="250"/>
    </row>
    <row r="97" spans="1:40" ht="15" customHeight="1" x14ac:dyDescent="0.25">
      <c r="A97" s="247"/>
      <c r="B97" s="247"/>
      <c r="C97" s="247"/>
      <c r="D97" s="296"/>
      <c r="E97" s="296"/>
      <c r="F97" s="296"/>
      <c r="G97" s="296"/>
      <c r="H97" s="296"/>
      <c r="I97" s="296"/>
      <c r="J97" s="296"/>
      <c r="K97" s="296"/>
      <c r="L97" s="296"/>
      <c r="M97" s="296"/>
      <c r="N97" s="296"/>
      <c r="O97" s="296"/>
      <c r="P97" s="296"/>
      <c r="Q97" s="296"/>
      <c r="R97" s="296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50"/>
      <c r="AJ97" s="250"/>
      <c r="AK97" s="250"/>
      <c r="AL97" s="250"/>
      <c r="AM97" s="250"/>
      <c r="AN97" s="250"/>
    </row>
    <row r="98" spans="1:40" ht="15" customHeight="1" x14ac:dyDescent="0.25">
      <c r="A98" s="247"/>
      <c r="B98" s="247"/>
      <c r="C98" s="247"/>
      <c r="D98" s="296"/>
      <c r="E98" s="296"/>
      <c r="F98" s="296"/>
      <c r="G98" s="296"/>
      <c r="H98" s="296"/>
      <c r="I98" s="296"/>
      <c r="J98" s="296"/>
      <c r="K98" s="296"/>
      <c r="L98" s="296"/>
      <c r="M98" s="296"/>
      <c r="N98" s="296"/>
      <c r="O98" s="296"/>
      <c r="P98" s="296"/>
      <c r="Q98" s="296"/>
      <c r="R98" s="296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50"/>
      <c r="AJ98" s="250"/>
      <c r="AK98" s="250"/>
      <c r="AL98" s="250"/>
      <c r="AM98" s="250"/>
      <c r="AN98" s="250"/>
    </row>
    <row r="99" spans="1:40" ht="15" customHeight="1" x14ac:dyDescent="0.25">
      <c r="A99" s="247"/>
      <c r="B99" s="247"/>
      <c r="C99" s="247"/>
      <c r="D99" s="296"/>
      <c r="E99" s="296"/>
      <c r="F99" s="296"/>
      <c r="G99" s="296"/>
      <c r="H99" s="296"/>
      <c r="I99" s="296"/>
      <c r="J99" s="296"/>
      <c r="K99" s="296"/>
      <c r="L99" s="296"/>
      <c r="M99" s="296"/>
      <c r="N99" s="296"/>
      <c r="O99" s="296"/>
      <c r="P99" s="296"/>
      <c r="Q99" s="296"/>
      <c r="R99" s="296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50"/>
      <c r="AJ99" s="250"/>
      <c r="AK99" s="250"/>
      <c r="AL99" s="250"/>
      <c r="AM99" s="250"/>
      <c r="AN99" s="250"/>
    </row>
    <row r="100" spans="1:40" ht="15" customHeight="1" x14ac:dyDescent="0.25">
      <c r="A100" s="247"/>
      <c r="B100" s="247"/>
      <c r="C100" s="247"/>
      <c r="D100" s="296"/>
      <c r="E100" s="296"/>
      <c r="F100" s="296"/>
      <c r="G100" s="296"/>
      <c r="H100" s="296"/>
      <c r="I100" s="296"/>
      <c r="J100" s="296"/>
      <c r="K100" s="296"/>
      <c r="L100" s="296"/>
      <c r="M100" s="296"/>
      <c r="N100" s="296"/>
      <c r="O100" s="296"/>
      <c r="P100" s="296"/>
      <c r="Q100" s="296"/>
      <c r="R100" s="296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50"/>
      <c r="AJ100" s="250"/>
      <c r="AK100" s="250"/>
      <c r="AL100" s="250"/>
      <c r="AM100" s="250"/>
      <c r="AN100" s="250"/>
    </row>
    <row r="101" spans="1:40" ht="15" customHeight="1" x14ac:dyDescent="0.25">
      <c r="A101" s="247"/>
      <c r="B101" s="247"/>
      <c r="C101" s="247"/>
      <c r="D101" s="296"/>
      <c r="E101" s="296"/>
      <c r="F101" s="296"/>
      <c r="G101" s="296"/>
      <c r="H101" s="296"/>
      <c r="I101" s="296"/>
      <c r="J101" s="296"/>
      <c r="K101" s="296"/>
      <c r="L101" s="296"/>
      <c r="M101" s="296"/>
      <c r="N101" s="296"/>
      <c r="O101" s="296"/>
      <c r="P101" s="296"/>
      <c r="Q101" s="296"/>
      <c r="R101" s="296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50"/>
      <c r="AJ101" s="250"/>
      <c r="AK101" s="250"/>
      <c r="AL101" s="250"/>
      <c r="AM101" s="250"/>
      <c r="AN101" s="250"/>
    </row>
    <row r="102" spans="1:40" ht="15" customHeight="1" x14ac:dyDescent="0.25">
      <c r="A102" s="247"/>
      <c r="B102" s="247"/>
      <c r="C102" s="247"/>
      <c r="D102" s="296"/>
      <c r="E102" s="296"/>
      <c r="F102" s="296"/>
      <c r="G102" s="296"/>
      <c r="H102" s="296"/>
      <c r="I102" s="296"/>
      <c r="J102" s="296"/>
      <c r="K102" s="296"/>
      <c r="L102" s="296"/>
      <c r="M102" s="296"/>
      <c r="N102" s="296"/>
      <c r="O102" s="296"/>
      <c r="P102" s="296"/>
      <c r="Q102" s="296"/>
      <c r="R102" s="296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50"/>
      <c r="AJ102" s="250"/>
      <c r="AK102" s="250"/>
      <c r="AL102" s="250"/>
      <c r="AM102" s="250"/>
      <c r="AN102" s="250"/>
    </row>
    <row r="103" spans="1:40" ht="15" customHeight="1" x14ac:dyDescent="0.25">
      <c r="A103" s="247"/>
      <c r="B103" s="247"/>
      <c r="C103" s="247"/>
      <c r="D103" s="296"/>
      <c r="E103" s="296"/>
      <c r="F103" s="296"/>
      <c r="G103" s="296"/>
      <c r="H103" s="296"/>
      <c r="I103" s="296"/>
      <c r="J103" s="296"/>
      <c r="K103" s="296"/>
      <c r="L103" s="296"/>
      <c r="M103" s="296"/>
      <c r="N103" s="296"/>
      <c r="O103" s="296"/>
      <c r="P103" s="296"/>
      <c r="Q103" s="296"/>
      <c r="R103" s="296"/>
      <c r="S103" s="296"/>
      <c r="T103" s="296"/>
      <c r="U103" s="296"/>
      <c r="V103" s="296"/>
      <c r="W103" s="296"/>
      <c r="X103" s="296"/>
      <c r="Y103" s="296"/>
      <c r="Z103" s="296"/>
      <c r="AA103" s="296"/>
      <c r="AB103" s="296"/>
      <c r="AC103" s="296"/>
      <c r="AD103" s="296"/>
      <c r="AE103" s="296"/>
      <c r="AF103" s="296"/>
      <c r="AG103" s="296"/>
      <c r="AH103" s="296"/>
      <c r="AI103" s="250"/>
      <c r="AJ103" s="250"/>
      <c r="AK103" s="250"/>
      <c r="AL103" s="250"/>
      <c r="AM103" s="250"/>
      <c r="AN103" s="250"/>
    </row>
    <row r="104" spans="1:40" ht="15" customHeight="1" x14ac:dyDescent="0.25">
      <c r="A104" s="247"/>
      <c r="B104" s="247"/>
      <c r="C104" s="247"/>
      <c r="D104" s="296"/>
      <c r="E104" s="296"/>
      <c r="F104" s="296"/>
      <c r="G104" s="296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296"/>
      <c r="S104" s="296"/>
      <c r="T104" s="296"/>
      <c r="U104" s="296"/>
      <c r="V104" s="296"/>
      <c r="W104" s="296"/>
      <c r="X104" s="296"/>
      <c r="Y104" s="296"/>
      <c r="Z104" s="296"/>
      <c r="AA104" s="296"/>
      <c r="AB104" s="296"/>
      <c r="AC104" s="296"/>
      <c r="AD104" s="296"/>
      <c r="AE104" s="296"/>
      <c r="AF104" s="296"/>
      <c r="AG104" s="296"/>
      <c r="AH104" s="296"/>
      <c r="AI104" s="250"/>
      <c r="AJ104" s="250"/>
      <c r="AK104" s="250"/>
      <c r="AL104" s="250"/>
      <c r="AM104" s="250"/>
      <c r="AN104" s="250"/>
    </row>
    <row r="105" spans="1:40" ht="15" customHeight="1" x14ac:dyDescent="0.25">
      <c r="A105" s="247"/>
      <c r="B105" s="247"/>
      <c r="C105" s="247"/>
      <c r="D105" s="296"/>
      <c r="E105" s="296"/>
      <c r="F105" s="296"/>
      <c r="G105" s="296"/>
      <c r="H105" s="296"/>
      <c r="I105" s="296"/>
      <c r="J105" s="296"/>
      <c r="K105" s="296"/>
      <c r="L105" s="296"/>
      <c r="M105" s="296"/>
      <c r="N105" s="296"/>
      <c r="O105" s="296"/>
      <c r="P105" s="296"/>
      <c r="Q105" s="296"/>
      <c r="R105" s="296"/>
      <c r="S105" s="296"/>
      <c r="T105" s="296"/>
      <c r="U105" s="296"/>
      <c r="V105" s="296"/>
      <c r="W105" s="296"/>
      <c r="X105" s="296"/>
      <c r="Y105" s="296"/>
      <c r="Z105" s="296"/>
      <c r="AA105" s="296"/>
      <c r="AB105" s="296"/>
      <c r="AC105" s="296"/>
      <c r="AD105" s="296"/>
      <c r="AE105" s="296"/>
      <c r="AF105" s="296"/>
      <c r="AG105" s="296"/>
      <c r="AH105" s="296"/>
      <c r="AI105" s="250"/>
      <c r="AJ105" s="250"/>
      <c r="AK105" s="250"/>
      <c r="AL105" s="250"/>
      <c r="AM105" s="250"/>
      <c r="AN105" s="250"/>
    </row>
    <row r="106" spans="1:40" ht="15" customHeight="1" x14ac:dyDescent="0.25">
      <c r="A106" s="247"/>
      <c r="B106" s="247"/>
      <c r="C106" s="247"/>
      <c r="D106" s="296"/>
      <c r="E106" s="296"/>
      <c r="F106" s="296"/>
      <c r="G106" s="296"/>
      <c r="H106" s="296"/>
      <c r="I106" s="296"/>
      <c r="J106" s="296"/>
      <c r="K106" s="296"/>
      <c r="L106" s="296"/>
      <c r="M106" s="296"/>
      <c r="N106" s="296"/>
      <c r="O106" s="296"/>
      <c r="P106" s="296"/>
      <c r="Q106" s="296"/>
      <c r="R106" s="296"/>
      <c r="S106" s="296"/>
      <c r="T106" s="296"/>
      <c r="U106" s="296"/>
      <c r="V106" s="296"/>
      <c r="W106" s="296"/>
      <c r="X106" s="296"/>
      <c r="Y106" s="296"/>
      <c r="Z106" s="296"/>
      <c r="AA106" s="296"/>
      <c r="AB106" s="296"/>
      <c r="AC106" s="296"/>
      <c r="AD106" s="296"/>
      <c r="AE106" s="296"/>
      <c r="AF106" s="296"/>
      <c r="AG106" s="296"/>
      <c r="AH106" s="296"/>
      <c r="AI106" s="250"/>
      <c r="AJ106" s="250"/>
      <c r="AK106" s="250"/>
      <c r="AL106" s="250"/>
      <c r="AM106" s="250"/>
      <c r="AN106" s="250"/>
    </row>
    <row r="107" spans="1:40" ht="15" customHeight="1" x14ac:dyDescent="0.25">
      <c r="A107" s="247"/>
      <c r="B107" s="247"/>
      <c r="C107" s="247"/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6"/>
      <c r="O107" s="296"/>
      <c r="P107" s="296"/>
      <c r="Q107" s="296"/>
      <c r="R107" s="296"/>
      <c r="S107" s="296"/>
      <c r="T107" s="296"/>
      <c r="U107" s="296"/>
      <c r="V107" s="296"/>
      <c r="W107" s="296"/>
      <c r="X107" s="296"/>
      <c r="Y107" s="296"/>
      <c r="Z107" s="296"/>
      <c r="AA107" s="296"/>
      <c r="AB107" s="296"/>
      <c r="AC107" s="296"/>
      <c r="AD107" s="296"/>
      <c r="AE107" s="296"/>
      <c r="AF107" s="296"/>
      <c r="AG107" s="296"/>
      <c r="AH107" s="296"/>
      <c r="AI107" s="250"/>
      <c r="AJ107" s="250"/>
      <c r="AK107" s="250"/>
      <c r="AL107" s="250"/>
      <c r="AM107" s="250"/>
      <c r="AN107" s="250"/>
    </row>
    <row r="108" spans="1:40" ht="15" customHeight="1" x14ac:dyDescent="0.25">
      <c r="A108" s="247"/>
      <c r="B108" s="247"/>
      <c r="C108" s="247"/>
      <c r="D108" s="296"/>
      <c r="E108" s="296"/>
      <c r="F108" s="296"/>
      <c r="G108" s="296"/>
      <c r="H108" s="296"/>
      <c r="I108" s="296"/>
      <c r="J108" s="296"/>
      <c r="K108" s="296"/>
      <c r="L108" s="296"/>
      <c r="M108" s="296"/>
      <c r="N108" s="296"/>
      <c r="O108" s="296"/>
      <c r="P108" s="296"/>
      <c r="Q108" s="296"/>
      <c r="R108" s="296"/>
      <c r="S108" s="296"/>
      <c r="T108" s="296"/>
      <c r="U108" s="296"/>
      <c r="V108" s="296"/>
      <c r="W108" s="296"/>
      <c r="X108" s="296"/>
      <c r="Y108" s="296"/>
      <c r="Z108" s="296"/>
      <c r="AA108" s="296"/>
      <c r="AB108" s="296"/>
      <c r="AC108" s="296"/>
      <c r="AD108" s="296"/>
      <c r="AE108" s="296"/>
      <c r="AF108" s="296"/>
      <c r="AG108" s="296"/>
      <c r="AH108" s="296"/>
      <c r="AI108" s="250"/>
      <c r="AJ108" s="250"/>
      <c r="AK108" s="250"/>
      <c r="AL108" s="250"/>
      <c r="AM108" s="250"/>
      <c r="AN108" s="250"/>
    </row>
    <row r="109" spans="1:40" ht="15" customHeight="1" x14ac:dyDescent="0.25">
      <c r="A109" s="247"/>
      <c r="B109" s="247"/>
      <c r="C109" s="247"/>
      <c r="D109" s="296"/>
      <c r="E109" s="296"/>
      <c r="F109" s="296"/>
      <c r="G109" s="296"/>
      <c r="H109" s="296"/>
      <c r="I109" s="296"/>
      <c r="J109" s="296"/>
      <c r="K109" s="296"/>
      <c r="L109" s="296"/>
      <c r="M109" s="296"/>
      <c r="N109" s="296"/>
      <c r="O109" s="296"/>
      <c r="P109" s="296"/>
      <c r="Q109" s="296"/>
      <c r="R109" s="296"/>
      <c r="S109" s="296"/>
      <c r="T109" s="296"/>
      <c r="U109" s="296"/>
      <c r="V109" s="296"/>
      <c r="W109" s="296"/>
      <c r="X109" s="296"/>
      <c r="Y109" s="296"/>
      <c r="Z109" s="296"/>
      <c r="AA109" s="296"/>
      <c r="AB109" s="296"/>
      <c r="AC109" s="296"/>
      <c r="AD109" s="296"/>
      <c r="AE109" s="296"/>
      <c r="AF109" s="296"/>
      <c r="AG109" s="296"/>
      <c r="AH109" s="296"/>
      <c r="AI109" s="250"/>
      <c r="AJ109" s="250"/>
      <c r="AK109" s="250"/>
      <c r="AL109" s="250"/>
      <c r="AM109" s="250"/>
      <c r="AN109" s="250"/>
    </row>
    <row r="110" spans="1:40" ht="15.75" customHeight="1" x14ac:dyDescent="0.25">
      <c r="A110" s="247"/>
      <c r="B110" s="247"/>
      <c r="C110" s="247"/>
      <c r="D110" s="296"/>
      <c r="E110" s="296"/>
      <c r="F110" s="296"/>
      <c r="G110" s="296"/>
      <c r="H110" s="296"/>
      <c r="I110" s="296"/>
      <c r="J110" s="296"/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6"/>
      <c r="AE110" s="296"/>
      <c r="AF110" s="296"/>
      <c r="AG110" s="296"/>
      <c r="AH110" s="296"/>
      <c r="AI110" s="250"/>
      <c r="AJ110" s="250"/>
      <c r="AK110" s="250"/>
      <c r="AL110" s="250"/>
      <c r="AM110" s="250"/>
      <c r="AN110" s="250"/>
    </row>
    <row r="111" spans="1:40" ht="15.75" customHeight="1" x14ac:dyDescent="0.25">
      <c r="A111" s="247"/>
      <c r="B111" s="247"/>
      <c r="C111" s="247"/>
      <c r="D111" s="296"/>
      <c r="E111" s="296"/>
      <c r="F111" s="296"/>
      <c r="G111" s="296"/>
      <c r="H111" s="296"/>
      <c r="I111" s="296"/>
      <c r="J111" s="296"/>
      <c r="K111" s="296"/>
      <c r="L111" s="296"/>
      <c r="M111" s="296"/>
      <c r="N111" s="296"/>
      <c r="O111" s="296"/>
      <c r="P111" s="296"/>
      <c r="Q111" s="296"/>
      <c r="R111" s="296"/>
      <c r="S111" s="296"/>
      <c r="T111" s="296"/>
      <c r="U111" s="296"/>
      <c r="V111" s="296"/>
      <c r="W111" s="296"/>
      <c r="X111" s="296"/>
      <c r="Y111" s="296"/>
      <c r="Z111" s="296"/>
      <c r="AA111" s="296"/>
      <c r="AB111" s="296"/>
      <c r="AC111" s="296"/>
      <c r="AD111" s="296"/>
      <c r="AE111" s="296"/>
      <c r="AF111" s="296"/>
      <c r="AG111" s="296"/>
      <c r="AH111" s="296"/>
      <c r="AI111" s="250"/>
      <c r="AJ111" s="250"/>
      <c r="AK111" s="250"/>
      <c r="AL111" s="250"/>
      <c r="AM111" s="250"/>
      <c r="AN111" s="250"/>
    </row>
    <row r="112" spans="1:40" ht="15" customHeight="1" x14ac:dyDescent="0.25">
      <c r="A112" s="247"/>
      <c r="B112" s="247"/>
      <c r="C112" s="247"/>
      <c r="D112" s="296"/>
      <c r="E112" s="296"/>
      <c r="F112" s="296"/>
      <c r="G112" s="296"/>
      <c r="H112" s="296"/>
      <c r="I112" s="296"/>
      <c r="J112" s="296"/>
      <c r="K112" s="296"/>
      <c r="L112" s="296"/>
      <c r="M112" s="296"/>
      <c r="N112" s="296"/>
      <c r="O112" s="296"/>
      <c r="P112" s="296"/>
      <c r="Q112" s="296"/>
      <c r="R112" s="296"/>
      <c r="S112" s="296"/>
      <c r="T112" s="296"/>
      <c r="U112" s="296"/>
      <c r="V112" s="296"/>
      <c r="W112" s="296"/>
      <c r="X112" s="296"/>
      <c r="Y112" s="296"/>
      <c r="Z112" s="296"/>
      <c r="AA112" s="296"/>
      <c r="AB112" s="296"/>
      <c r="AC112" s="296"/>
      <c r="AD112" s="296"/>
      <c r="AE112" s="296"/>
      <c r="AF112" s="296"/>
      <c r="AG112" s="296"/>
      <c r="AH112" s="296"/>
      <c r="AI112" s="250"/>
      <c r="AJ112" s="250"/>
      <c r="AK112" s="250"/>
      <c r="AL112" s="250"/>
      <c r="AM112" s="250"/>
      <c r="AN112" s="250"/>
    </row>
    <row r="113" spans="1:40" ht="15" customHeight="1" x14ac:dyDescent="0.25">
      <c r="A113" s="247"/>
      <c r="B113" s="247"/>
      <c r="C113" s="247"/>
      <c r="D113" s="296"/>
      <c r="E113" s="296"/>
      <c r="F113" s="296"/>
      <c r="G113" s="296"/>
      <c r="H113" s="296"/>
      <c r="I113" s="296"/>
      <c r="J113" s="296"/>
      <c r="K113" s="296"/>
      <c r="L113" s="296"/>
      <c r="M113" s="296"/>
      <c r="N113" s="296"/>
      <c r="O113" s="296"/>
      <c r="P113" s="296"/>
      <c r="Q113" s="296"/>
      <c r="R113" s="296"/>
      <c r="S113" s="296"/>
      <c r="T113" s="296"/>
      <c r="U113" s="296"/>
      <c r="V113" s="296"/>
      <c r="W113" s="296"/>
      <c r="X113" s="296"/>
      <c r="Y113" s="296"/>
      <c r="Z113" s="296"/>
      <c r="AA113" s="296"/>
      <c r="AB113" s="296"/>
      <c r="AC113" s="296"/>
      <c r="AD113" s="296"/>
      <c r="AE113" s="296"/>
      <c r="AF113" s="296"/>
      <c r="AG113" s="296"/>
      <c r="AH113" s="296"/>
      <c r="AI113" s="250"/>
      <c r="AJ113" s="250"/>
      <c r="AK113" s="250"/>
      <c r="AL113" s="250"/>
      <c r="AM113" s="250"/>
      <c r="AN113" s="250"/>
    </row>
    <row r="114" spans="1:40" ht="15" customHeight="1" x14ac:dyDescent="0.25">
      <c r="A114" s="247"/>
      <c r="B114" s="247"/>
      <c r="C114" s="247"/>
      <c r="D114" s="296"/>
      <c r="E114" s="296"/>
      <c r="F114" s="296"/>
      <c r="G114" s="296"/>
      <c r="H114" s="296"/>
      <c r="I114" s="296"/>
      <c r="J114" s="296"/>
      <c r="K114" s="296"/>
      <c r="L114" s="296"/>
      <c r="M114" s="296"/>
      <c r="N114" s="296"/>
      <c r="O114" s="296"/>
      <c r="P114" s="296"/>
      <c r="Q114" s="296"/>
      <c r="R114" s="296"/>
      <c r="S114" s="296"/>
      <c r="T114" s="296"/>
      <c r="U114" s="296"/>
      <c r="V114" s="296"/>
      <c r="W114" s="296"/>
      <c r="X114" s="296"/>
      <c r="Y114" s="296"/>
      <c r="Z114" s="296"/>
      <c r="AA114" s="296"/>
      <c r="AB114" s="296"/>
      <c r="AC114" s="296"/>
      <c r="AD114" s="296"/>
      <c r="AE114" s="296"/>
      <c r="AF114" s="296"/>
      <c r="AG114" s="296"/>
      <c r="AH114" s="296"/>
      <c r="AI114" s="250"/>
      <c r="AJ114" s="250"/>
      <c r="AK114" s="250"/>
      <c r="AL114" s="250"/>
      <c r="AM114" s="250"/>
      <c r="AN114" s="250"/>
    </row>
    <row r="115" spans="1:40" ht="15" customHeight="1" x14ac:dyDescent="0.25">
      <c r="A115" s="247"/>
      <c r="B115" s="247"/>
      <c r="C115" s="247"/>
      <c r="D115" s="296"/>
      <c r="E115" s="296"/>
      <c r="F115" s="296"/>
      <c r="G115" s="296"/>
      <c r="H115" s="296"/>
      <c r="I115" s="296"/>
      <c r="J115" s="296"/>
      <c r="K115" s="296"/>
      <c r="L115" s="296"/>
      <c r="M115" s="296"/>
      <c r="N115" s="296"/>
      <c r="O115" s="296"/>
      <c r="P115" s="296"/>
      <c r="Q115" s="296"/>
      <c r="R115" s="296"/>
      <c r="S115" s="296"/>
      <c r="T115" s="296"/>
      <c r="U115" s="296"/>
      <c r="V115" s="296"/>
      <c r="W115" s="296"/>
      <c r="X115" s="296"/>
      <c r="Y115" s="296"/>
      <c r="Z115" s="296"/>
      <c r="AA115" s="296"/>
      <c r="AB115" s="296"/>
      <c r="AC115" s="296"/>
      <c r="AD115" s="296"/>
      <c r="AE115" s="296"/>
      <c r="AF115" s="296"/>
      <c r="AG115" s="296"/>
      <c r="AH115" s="296"/>
      <c r="AI115" s="250"/>
      <c r="AJ115" s="250"/>
      <c r="AK115" s="250"/>
      <c r="AL115" s="250"/>
      <c r="AM115" s="250"/>
      <c r="AN115" s="250"/>
    </row>
    <row r="116" spans="1:40" ht="15" customHeight="1" x14ac:dyDescent="0.25">
      <c r="A116" s="247"/>
      <c r="B116" s="247"/>
      <c r="C116" s="247"/>
      <c r="D116" s="296"/>
      <c r="E116" s="296"/>
      <c r="F116" s="296"/>
      <c r="G116" s="296"/>
      <c r="H116" s="296"/>
      <c r="I116" s="296"/>
      <c r="J116" s="296"/>
      <c r="K116" s="296"/>
      <c r="L116" s="296"/>
      <c r="M116" s="296"/>
      <c r="N116" s="296"/>
      <c r="O116" s="296"/>
      <c r="P116" s="296"/>
      <c r="Q116" s="296"/>
      <c r="R116" s="296"/>
      <c r="S116" s="296"/>
      <c r="T116" s="296"/>
      <c r="U116" s="296"/>
      <c r="V116" s="296"/>
      <c r="W116" s="296"/>
      <c r="X116" s="296"/>
      <c r="Y116" s="296"/>
      <c r="Z116" s="296"/>
      <c r="AA116" s="296"/>
      <c r="AB116" s="296"/>
      <c r="AC116" s="296"/>
      <c r="AD116" s="296"/>
      <c r="AE116" s="296"/>
      <c r="AF116" s="296"/>
      <c r="AG116" s="296"/>
      <c r="AH116" s="296"/>
      <c r="AI116" s="250"/>
      <c r="AJ116" s="250"/>
      <c r="AK116" s="250"/>
      <c r="AL116" s="250"/>
      <c r="AM116" s="250"/>
      <c r="AN116" s="250"/>
    </row>
    <row r="117" spans="1:40" ht="15" customHeight="1" x14ac:dyDescent="0.25">
      <c r="A117" s="247"/>
      <c r="B117" s="247"/>
      <c r="C117" s="247"/>
      <c r="D117" s="296"/>
      <c r="E117" s="296"/>
      <c r="F117" s="296"/>
      <c r="G117" s="296"/>
      <c r="H117" s="296"/>
      <c r="I117" s="296"/>
      <c r="J117" s="296"/>
      <c r="K117" s="296"/>
      <c r="L117" s="296"/>
      <c r="M117" s="296"/>
      <c r="N117" s="296"/>
      <c r="O117" s="296"/>
      <c r="P117" s="296"/>
      <c r="Q117" s="296"/>
      <c r="R117" s="296"/>
      <c r="S117" s="296"/>
      <c r="T117" s="296"/>
      <c r="U117" s="296"/>
      <c r="V117" s="296"/>
      <c r="W117" s="296"/>
      <c r="X117" s="296"/>
      <c r="Y117" s="296"/>
      <c r="Z117" s="296"/>
      <c r="AA117" s="296"/>
      <c r="AB117" s="296"/>
      <c r="AC117" s="296"/>
      <c r="AD117" s="296"/>
      <c r="AE117" s="296"/>
      <c r="AF117" s="296"/>
      <c r="AG117" s="296"/>
      <c r="AH117" s="296"/>
      <c r="AI117" s="250"/>
      <c r="AJ117" s="250"/>
      <c r="AK117" s="250"/>
      <c r="AL117" s="250"/>
      <c r="AM117" s="250"/>
      <c r="AN117" s="250"/>
    </row>
    <row r="118" spans="1:40" ht="15.75" customHeight="1" x14ac:dyDescent="0.25">
      <c r="A118" s="247"/>
      <c r="B118" s="247"/>
      <c r="C118" s="247"/>
      <c r="D118" s="296"/>
      <c r="E118" s="296"/>
      <c r="F118" s="296"/>
      <c r="G118" s="296"/>
      <c r="H118" s="296"/>
      <c r="I118" s="296"/>
      <c r="J118" s="296"/>
      <c r="K118" s="296"/>
      <c r="L118" s="296"/>
      <c r="M118" s="296"/>
      <c r="N118" s="296"/>
      <c r="O118" s="296"/>
      <c r="P118" s="296"/>
      <c r="Q118" s="296"/>
      <c r="R118" s="296"/>
      <c r="S118" s="296"/>
      <c r="T118" s="296"/>
      <c r="U118" s="296"/>
      <c r="V118" s="296"/>
      <c r="W118" s="296"/>
      <c r="X118" s="296"/>
      <c r="Y118" s="296"/>
      <c r="Z118" s="296"/>
      <c r="AA118" s="296"/>
      <c r="AB118" s="296"/>
      <c r="AC118" s="296"/>
      <c r="AD118" s="296"/>
      <c r="AE118" s="296"/>
      <c r="AF118" s="296"/>
      <c r="AG118" s="296"/>
      <c r="AH118" s="296"/>
      <c r="AI118" s="250"/>
      <c r="AJ118" s="250"/>
      <c r="AK118" s="250"/>
      <c r="AL118" s="250"/>
      <c r="AM118" s="250"/>
      <c r="AN118" s="250"/>
    </row>
    <row r="119" spans="1:40" ht="15.75" customHeight="1" x14ac:dyDescent="0.25">
      <c r="A119" s="247"/>
      <c r="B119" s="247"/>
      <c r="C119" s="247"/>
      <c r="D119" s="296"/>
      <c r="E119" s="296"/>
      <c r="F119" s="296"/>
      <c r="G119" s="296"/>
      <c r="H119" s="296"/>
      <c r="I119" s="296"/>
      <c r="J119" s="296"/>
      <c r="K119" s="296"/>
      <c r="L119" s="296"/>
      <c r="M119" s="296"/>
      <c r="N119" s="296"/>
      <c r="O119" s="296"/>
      <c r="P119" s="296"/>
      <c r="Q119" s="296"/>
      <c r="R119" s="296"/>
      <c r="S119" s="296"/>
      <c r="T119" s="296"/>
      <c r="U119" s="296"/>
      <c r="V119" s="296"/>
      <c r="W119" s="296"/>
      <c r="X119" s="296"/>
      <c r="Y119" s="296"/>
      <c r="Z119" s="296"/>
      <c r="AA119" s="296"/>
      <c r="AB119" s="296"/>
      <c r="AC119" s="296"/>
      <c r="AD119" s="296"/>
      <c r="AE119" s="296"/>
      <c r="AF119" s="296"/>
      <c r="AG119" s="296"/>
      <c r="AH119" s="296"/>
      <c r="AI119" s="250"/>
      <c r="AJ119" s="250"/>
      <c r="AK119" s="250"/>
      <c r="AL119" s="250"/>
      <c r="AM119" s="250"/>
      <c r="AN119" s="250"/>
    </row>
    <row r="120" spans="1:40" ht="15" customHeight="1" x14ac:dyDescent="0.25">
      <c r="A120" s="247"/>
      <c r="B120" s="247"/>
      <c r="C120" s="247"/>
      <c r="D120" s="296"/>
      <c r="E120" s="296"/>
      <c r="F120" s="296"/>
      <c r="G120" s="296"/>
      <c r="H120" s="296"/>
      <c r="I120" s="296"/>
      <c r="J120" s="296"/>
      <c r="K120" s="296"/>
      <c r="L120" s="296"/>
      <c r="M120" s="296"/>
      <c r="N120" s="296"/>
      <c r="O120" s="296"/>
      <c r="P120" s="296"/>
      <c r="Q120" s="296"/>
      <c r="R120" s="296"/>
      <c r="S120" s="296"/>
      <c r="T120" s="296"/>
      <c r="U120" s="296"/>
      <c r="V120" s="296"/>
      <c r="W120" s="296"/>
      <c r="X120" s="296"/>
      <c r="Y120" s="296"/>
      <c r="Z120" s="296"/>
      <c r="AA120" s="296"/>
      <c r="AB120" s="296"/>
      <c r="AC120" s="296"/>
      <c r="AD120" s="296"/>
      <c r="AE120" s="296"/>
      <c r="AF120" s="296"/>
      <c r="AG120" s="296"/>
      <c r="AH120" s="296"/>
      <c r="AI120" s="250"/>
      <c r="AJ120" s="250"/>
      <c r="AK120" s="250"/>
      <c r="AL120" s="250"/>
      <c r="AM120" s="250"/>
      <c r="AN120" s="250"/>
    </row>
    <row r="121" spans="1:40" ht="15" customHeight="1" x14ac:dyDescent="0.25">
      <c r="A121" s="247"/>
      <c r="B121" s="247"/>
      <c r="C121" s="247"/>
      <c r="D121" s="296"/>
      <c r="E121" s="296"/>
      <c r="F121" s="296"/>
      <c r="G121" s="296"/>
      <c r="H121" s="296"/>
      <c r="I121" s="296"/>
      <c r="J121" s="296"/>
      <c r="K121" s="296"/>
      <c r="L121" s="296"/>
      <c r="M121" s="296"/>
      <c r="N121" s="296"/>
      <c r="O121" s="296"/>
      <c r="P121" s="296"/>
      <c r="Q121" s="296"/>
      <c r="R121" s="296"/>
      <c r="S121" s="296"/>
      <c r="T121" s="296"/>
      <c r="U121" s="296"/>
      <c r="V121" s="296"/>
      <c r="W121" s="296"/>
      <c r="X121" s="296"/>
      <c r="Y121" s="296"/>
      <c r="Z121" s="296"/>
      <c r="AA121" s="296"/>
      <c r="AB121" s="296"/>
      <c r="AC121" s="296"/>
      <c r="AD121" s="296"/>
      <c r="AE121" s="296"/>
      <c r="AF121" s="296"/>
      <c r="AG121" s="296"/>
      <c r="AH121" s="296"/>
    </row>
    <row r="122" spans="1:40" ht="15" customHeight="1" x14ac:dyDescent="0.25">
      <c r="A122" s="247"/>
      <c r="B122" s="247"/>
      <c r="C122" s="247"/>
      <c r="D122" s="296"/>
      <c r="E122" s="296"/>
      <c r="F122" s="296"/>
      <c r="G122" s="296"/>
      <c r="H122" s="296"/>
      <c r="I122" s="296"/>
      <c r="J122" s="296"/>
      <c r="K122" s="296"/>
      <c r="L122" s="296"/>
      <c r="M122" s="296"/>
      <c r="N122" s="296"/>
      <c r="O122" s="296"/>
      <c r="P122" s="296"/>
      <c r="Q122" s="296"/>
      <c r="R122" s="296"/>
      <c r="S122" s="296"/>
      <c r="T122" s="296"/>
      <c r="U122" s="296"/>
      <c r="V122" s="296"/>
      <c r="W122" s="296"/>
      <c r="X122" s="296"/>
      <c r="Y122" s="296"/>
      <c r="Z122" s="296"/>
      <c r="AA122" s="296"/>
      <c r="AB122" s="296"/>
      <c r="AC122" s="296"/>
      <c r="AD122" s="296"/>
      <c r="AE122" s="296"/>
      <c r="AF122" s="296"/>
      <c r="AG122" s="296"/>
      <c r="AH122" s="296"/>
    </row>
    <row r="123" spans="1:40" ht="15" customHeight="1" x14ac:dyDescent="0.25">
      <c r="A123" s="247"/>
      <c r="B123" s="247"/>
      <c r="C123" s="247"/>
      <c r="D123" s="296"/>
      <c r="E123" s="296"/>
      <c r="F123" s="296"/>
      <c r="G123" s="296"/>
      <c r="H123" s="296"/>
      <c r="I123" s="296"/>
      <c r="J123" s="296"/>
      <c r="K123" s="296"/>
      <c r="L123" s="296"/>
      <c r="M123" s="296"/>
      <c r="N123" s="296"/>
      <c r="O123" s="296"/>
      <c r="P123" s="296"/>
      <c r="Q123" s="296"/>
      <c r="R123" s="296"/>
      <c r="S123" s="296"/>
      <c r="T123" s="296"/>
      <c r="U123" s="296"/>
      <c r="V123" s="296"/>
      <c r="W123" s="296"/>
      <c r="X123" s="296"/>
      <c r="Y123" s="296"/>
      <c r="Z123" s="296"/>
      <c r="AA123" s="296"/>
      <c r="AB123" s="296"/>
      <c r="AC123" s="296"/>
      <c r="AD123" s="296"/>
      <c r="AE123" s="296"/>
      <c r="AF123" s="296"/>
      <c r="AG123" s="296"/>
      <c r="AH123" s="296"/>
    </row>
    <row r="124" spans="1:40" ht="15" customHeight="1" x14ac:dyDescent="0.25">
      <c r="A124" s="247"/>
      <c r="B124" s="247"/>
      <c r="C124" s="247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96"/>
      <c r="Q124" s="296"/>
      <c r="R124" s="296"/>
      <c r="S124" s="296"/>
      <c r="T124" s="296"/>
      <c r="U124" s="296"/>
      <c r="V124" s="296"/>
      <c r="W124" s="296"/>
      <c r="X124" s="296"/>
      <c r="Y124" s="296"/>
      <c r="Z124" s="296"/>
      <c r="AA124" s="296"/>
      <c r="AB124" s="296"/>
      <c r="AC124" s="296"/>
      <c r="AD124" s="296"/>
      <c r="AE124" s="296"/>
      <c r="AF124" s="296"/>
      <c r="AG124" s="296"/>
      <c r="AH124" s="296"/>
    </row>
    <row r="125" spans="1:40" ht="15" customHeight="1" x14ac:dyDescent="0.25">
      <c r="B125" s="296"/>
      <c r="C125" s="296"/>
      <c r="D125" s="296"/>
      <c r="E125" s="296"/>
      <c r="F125" s="296"/>
      <c r="G125" s="296"/>
      <c r="H125" s="296"/>
      <c r="I125" s="296"/>
      <c r="J125" s="296"/>
      <c r="K125" s="296"/>
      <c r="L125" s="296"/>
      <c r="M125" s="296"/>
      <c r="N125" s="296"/>
      <c r="O125" s="296"/>
      <c r="P125" s="296"/>
      <c r="Q125" s="296"/>
      <c r="R125" s="296"/>
      <c r="S125" s="296"/>
      <c r="T125" s="296"/>
      <c r="U125" s="296"/>
      <c r="V125" s="296"/>
      <c r="W125" s="296"/>
      <c r="X125" s="296"/>
      <c r="Y125" s="296"/>
      <c r="Z125" s="296"/>
      <c r="AA125" s="296"/>
      <c r="AB125" s="296"/>
      <c r="AC125" s="296"/>
      <c r="AD125" s="296"/>
      <c r="AE125" s="296"/>
      <c r="AF125" s="296"/>
      <c r="AG125" s="296"/>
      <c r="AH125" s="296"/>
    </row>
    <row r="126" spans="1:40" ht="15" customHeight="1" x14ac:dyDescent="0.25">
      <c r="B126" s="296"/>
      <c r="C126" s="296"/>
      <c r="D126" s="296"/>
      <c r="E126" s="296"/>
      <c r="F126" s="296"/>
      <c r="G126" s="296"/>
      <c r="H126" s="296"/>
      <c r="I126" s="296"/>
      <c r="J126" s="296"/>
      <c r="K126" s="296"/>
      <c r="L126" s="296"/>
      <c r="M126" s="296"/>
      <c r="N126" s="296"/>
      <c r="O126" s="296"/>
      <c r="P126" s="296"/>
      <c r="Q126" s="296"/>
      <c r="R126" s="296"/>
      <c r="S126" s="296"/>
      <c r="T126" s="296"/>
      <c r="U126" s="296"/>
      <c r="V126" s="296"/>
      <c r="W126" s="296"/>
      <c r="X126" s="296"/>
      <c r="Y126" s="296"/>
      <c r="Z126" s="296"/>
      <c r="AA126" s="296"/>
      <c r="AB126" s="296"/>
      <c r="AC126" s="296"/>
      <c r="AD126" s="296"/>
      <c r="AE126" s="296"/>
      <c r="AF126" s="296"/>
      <c r="AG126" s="296"/>
      <c r="AH126" s="296"/>
    </row>
    <row r="127" spans="1:40" ht="15" customHeight="1" x14ac:dyDescent="0.25">
      <c r="B127" s="296"/>
      <c r="C127" s="296"/>
      <c r="D127" s="296"/>
      <c r="E127" s="296"/>
      <c r="F127" s="296"/>
      <c r="G127" s="296"/>
      <c r="H127" s="296"/>
      <c r="I127" s="296"/>
      <c r="J127" s="296"/>
      <c r="K127" s="296"/>
      <c r="L127" s="296"/>
      <c r="M127" s="296"/>
      <c r="N127" s="296"/>
      <c r="O127" s="296"/>
      <c r="P127" s="296"/>
      <c r="Q127" s="296"/>
      <c r="R127" s="296"/>
      <c r="S127" s="296"/>
      <c r="T127" s="296"/>
      <c r="U127" s="296"/>
      <c r="V127" s="296"/>
      <c r="W127" s="296"/>
      <c r="X127" s="296"/>
      <c r="Y127" s="296"/>
      <c r="Z127" s="296"/>
      <c r="AA127" s="296"/>
      <c r="AB127" s="296"/>
      <c r="AC127" s="296"/>
      <c r="AD127" s="296"/>
      <c r="AE127" s="296"/>
      <c r="AF127" s="296"/>
      <c r="AG127" s="296"/>
      <c r="AH127" s="296"/>
    </row>
    <row r="128" spans="1:40" ht="15" customHeight="1" x14ac:dyDescent="0.25">
      <c r="B128" s="296"/>
      <c r="C128" s="296"/>
      <c r="D128" s="296"/>
      <c r="E128" s="296"/>
      <c r="F128" s="296"/>
      <c r="G128" s="296"/>
      <c r="H128" s="296"/>
      <c r="I128" s="296"/>
      <c r="J128" s="296"/>
      <c r="K128" s="296"/>
      <c r="L128" s="296"/>
      <c r="M128" s="296"/>
      <c r="N128" s="296"/>
      <c r="O128" s="296"/>
      <c r="P128" s="296"/>
      <c r="Q128" s="296"/>
      <c r="R128" s="296"/>
      <c r="S128" s="296"/>
      <c r="T128" s="296"/>
      <c r="U128" s="296"/>
      <c r="V128" s="296"/>
      <c r="W128" s="296"/>
      <c r="X128" s="296"/>
      <c r="Y128" s="296"/>
      <c r="Z128" s="296"/>
      <c r="AA128" s="296"/>
      <c r="AB128" s="296"/>
      <c r="AC128" s="296"/>
      <c r="AD128" s="296"/>
      <c r="AE128" s="296"/>
      <c r="AF128" s="296"/>
      <c r="AG128" s="296"/>
      <c r="AH128" s="296"/>
    </row>
    <row r="129" spans="2:34" ht="15" customHeight="1" x14ac:dyDescent="0.25">
      <c r="B129" s="296"/>
      <c r="C129" s="296"/>
      <c r="D129" s="296"/>
      <c r="E129" s="296"/>
      <c r="F129" s="296"/>
      <c r="G129" s="296"/>
      <c r="H129" s="296"/>
      <c r="I129" s="296"/>
      <c r="J129" s="296"/>
      <c r="K129" s="296"/>
      <c r="L129" s="296"/>
      <c r="M129" s="296"/>
      <c r="N129" s="296"/>
      <c r="O129" s="296"/>
      <c r="P129" s="296"/>
      <c r="Q129" s="296"/>
      <c r="R129" s="296"/>
      <c r="S129" s="296"/>
      <c r="T129" s="296"/>
      <c r="U129" s="296"/>
      <c r="V129" s="296"/>
      <c r="W129" s="296"/>
      <c r="X129" s="296"/>
      <c r="Y129" s="296"/>
      <c r="Z129" s="296"/>
      <c r="AA129" s="296"/>
      <c r="AB129" s="296"/>
      <c r="AC129" s="296"/>
      <c r="AD129" s="296"/>
      <c r="AE129" s="296"/>
      <c r="AF129" s="296"/>
      <c r="AG129" s="296"/>
      <c r="AH129" s="296"/>
    </row>
    <row r="130" spans="2:34" ht="15" customHeight="1" x14ac:dyDescent="0.25">
      <c r="B130" s="296"/>
      <c r="C130" s="296"/>
      <c r="D130" s="296"/>
      <c r="E130" s="296"/>
      <c r="F130" s="296"/>
      <c r="G130" s="296"/>
      <c r="H130" s="296"/>
      <c r="I130" s="296"/>
      <c r="J130" s="296"/>
      <c r="K130" s="296"/>
      <c r="L130" s="296"/>
      <c r="M130" s="296"/>
      <c r="N130" s="296"/>
      <c r="O130" s="296"/>
      <c r="P130" s="296"/>
      <c r="Q130" s="296"/>
      <c r="R130" s="296"/>
      <c r="S130" s="296"/>
      <c r="T130" s="296"/>
      <c r="U130" s="296"/>
      <c r="V130" s="296"/>
      <c r="W130" s="296"/>
      <c r="X130" s="296"/>
      <c r="Y130" s="296"/>
      <c r="Z130" s="296"/>
      <c r="AA130" s="296"/>
      <c r="AB130" s="296"/>
      <c r="AC130" s="296"/>
      <c r="AD130" s="296"/>
      <c r="AE130" s="296"/>
      <c r="AF130" s="296"/>
      <c r="AG130" s="296"/>
      <c r="AH130" s="296"/>
    </row>
    <row r="131" spans="2:34" ht="15" customHeight="1" x14ac:dyDescent="0.25">
      <c r="B131" s="296"/>
      <c r="C131" s="296"/>
      <c r="D131" s="296"/>
      <c r="E131" s="296"/>
      <c r="F131" s="296"/>
      <c r="G131" s="296"/>
      <c r="H131" s="296"/>
      <c r="I131" s="296"/>
      <c r="J131" s="296"/>
      <c r="K131" s="296"/>
      <c r="L131" s="296"/>
      <c r="M131" s="296"/>
      <c r="N131" s="296"/>
      <c r="O131" s="296"/>
      <c r="P131" s="296"/>
      <c r="Q131" s="296"/>
      <c r="R131" s="296"/>
      <c r="S131" s="296"/>
      <c r="T131" s="296"/>
      <c r="U131" s="296"/>
      <c r="V131" s="296"/>
      <c r="W131" s="296"/>
      <c r="X131" s="296"/>
      <c r="Y131" s="296"/>
      <c r="Z131" s="296"/>
      <c r="AA131" s="296"/>
      <c r="AB131" s="296"/>
      <c r="AC131" s="296"/>
      <c r="AD131" s="296"/>
      <c r="AE131" s="296"/>
      <c r="AF131" s="296"/>
      <c r="AG131" s="296"/>
      <c r="AH131" s="296"/>
    </row>
    <row r="132" spans="2:34" ht="15" customHeight="1" x14ac:dyDescent="0.25">
      <c r="B132" s="296"/>
      <c r="C132" s="296"/>
      <c r="D132" s="296"/>
      <c r="E132" s="296"/>
      <c r="F132" s="296"/>
      <c r="G132" s="296"/>
      <c r="H132" s="296"/>
      <c r="I132" s="296"/>
      <c r="J132" s="296"/>
      <c r="K132" s="296"/>
      <c r="L132" s="296"/>
      <c r="M132" s="296"/>
      <c r="N132" s="296"/>
      <c r="O132" s="296"/>
      <c r="P132" s="296"/>
      <c r="Q132" s="296"/>
      <c r="R132" s="296"/>
      <c r="S132" s="296"/>
      <c r="T132" s="296"/>
      <c r="U132" s="296"/>
      <c r="V132" s="296"/>
      <c r="W132" s="296"/>
      <c r="X132" s="296"/>
      <c r="Y132" s="296"/>
      <c r="Z132" s="296"/>
      <c r="AA132" s="296"/>
      <c r="AB132" s="296"/>
      <c r="AC132" s="296"/>
      <c r="AD132" s="296"/>
      <c r="AE132" s="296"/>
      <c r="AF132" s="296"/>
      <c r="AG132" s="296"/>
      <c r="AH132" s="296"/>
    </row>
    <row r="133" spans="2:34" ht="15" customHeight="1" x14ac:dyDescent="0.25">
      <c r="B133" s="296"/>
      <c r="C133" s="296"/>
      <c r="D133" s="296"/>
      <c r="E133" s="296"/>
      <c r="F133" s="296"/>
      <c r="G133" s="296"/>
      <c r="H133" s="296"/>
      <c r="I133" s="296"/>
      <c r="J133" s="296"/>
      <c r="K133" s="296"/>
      <c r="L133" s="296"/>
      <c r="M133" s="296"/>
      <c r="N133" s="296"/>
      <c r="O133" s="296"/>
      <c r="P133" s="296"/>
      <c r="Q133" s="296"/>
      <c r="R133" s="296"/>
      <c r="S133" s="296"/>
      <c r="T133" s="296"/>
      <c r="U133" s="296"/>
      <c r="V133" s="296"/>
      <c r="W133" s="296"/>
      <c r="X133" s="296"/>
      <c r="Y133" s="296"/>
      <c r="Z133" s="296"/>
      <c r="AA133" s="296"/>
      <c r="AB133" s="296"/>
      <c r="AC133" s="296"/>
      <c r="AD133" s="296"/>
      <c r="AE133" s="296"/>
      <c r="AF133" s="296"/>
      <c r="AG133" s="296"/>
      <c r="AH133" s="296"/>
    </row>
  </sheetData>
  <mergeCells count="67">
    <mergeCell ref="AY7:AY8"/>
    <mergeCell ref="AZ7:AZ8"/>
    <mergeCell ref="BA7:BA8"/>
    <mergeCell ref="BB7:BB8"/>
    <mergeCell ref="BC7:BC8"/>
    <mergeCell ref="AV7:AV8"/>
    <mergeCell ref="AW7:AW8"/>
    <mergeCell ref="AX7:AX8"/>
    <mergeCell ref="A7:A8"/>
    <mergeCell ref="B7:B8"/>
    <mergeCell ref="C7:C8"/>
    <mergeCell ref="D7:D8"/>
    <mergeCell ref="E7:E8"/>
    <mergeCell ref="F7:F8"/>
    <mergeCell ref="AF7:AF8"/>
    <mergeCell ref="AG7:AG8"/>
    <mergeCell ref="V7:V8"/>
    <mergeCell ref="W7:W8"/>
    <mergeCell ref="X7:X8"/>
    <mergeCell ref="Y7:Y8"/>
    <mergeCell ref="AP7:AP8"/>
    <mergeCell ref="AN7:AN8"/>
    <mergeCell ref="AO7:AO8"/>
    <mergeCell ref="AJ7:AJ8"/>
    <mergeCell ref="AK7:AK8"/>
    <mergeCell ref="AL7:AL8"/>
    <mergeCell ref="AM7:AM8"/>
    <mergeCell ref="AU7:AU8"/>
    <mergeCell ref="AQ7:AQ8"/>
    <mergeCell ref="AR7:AR8"/>
    <mergeCell ref="AS7:AS8"/>
    <mergeCell ref="AT7:AT8"/>
    <mergeCell ref="Z7:Z8"/>
    <mergeCell ref="AA7:AA8"/>
    <mergeCell ref="A23:A24"/>
    <mergeCell ref="B23:B24"/>
    <mergeCell ref="C23:C24"/>
    <mergeCell ref="D23:D24"/>
    <mergeCell ref="E23:E24"/>
    <mergeCell ref="G7:G8"/>
    <mergeCell ref="H7:H8"/>
    <mergeCell ref="I7:I8"/>
    <mergeCell ref="P7:Q7"/>
    <mergeCell ref="R7:S7"/>
    <mergeCell ref="T7:U7"/>
    <mergeCell ref="J7:K7"/>
    <mergeCell ref="L7:M7"/>
    <mergeCell ref="N7:O7"/>
    <mergeCell ref="AH7:AH8"/>
    <mergeCell ref="AI7:AI8"/>
    <mergeCell ref="AB7:AB8"/>
    <mergeCell ref="AC7:AC8"/>
    <mergeCell ref="AD7:AD8"/>
    <mergeCell ref="AE7:AE8"/>
    <mergeCell ref="A35:A36"/>
    <mergeCell ref="B35:B36"/>
    <mergeCell ref="C35:C36"/>
    <mergeCell ref="D35:D36"/>
    <mergeCell ref="E35:E36"/>
    <mergeCell ref="F35:F36"/>
    <mergeCell ref="I23:I24"/>
    <mergeCell ref="G35:G36"/>
    <mergeCell ref="H35:H36"/>
    <mergeCell ref="I35:I36"/>
    <mergeCell ref="F23:F24"/>
    <mergeCell ref="G23:G24"/>
    <mergeCell ref="H23:H24"/>
  </mergeCells>
  <pageMargins left="0.7" right="0.7" top="0.75" bottom="0.75" header="0.3" footer="0.3"/>
  <pageSetup paperSize="9" orientation="landscape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33"/>
  <sheetViews>
    <sheetView topLeftCell="AE1" zoomScaleNormal="100" workbookViewId="0">
      <selection activeCell="V7" sqref="V7:Y8"/>
    </sheetView>
  </sheetViews>
  <sheetFormatPr defaultRowHeight="15" x14ac:dyDescent="0.25"/>
  <cols>
    <col min="1" max="1" width="4.5703125" customWidth="1"/>
    <col min="2" max="2" width="9.7109375" customWidth="1"/>
    <col min="3" max="3" width="25.28515625" customWidth="1"/>
    <col min="4" max="4" width="8" customWidth="1"/>
    <col min="5" max="5" width="6.85546875" customWidth="1"/>
    <col min="6" max="6" width="7.7109375" customWidth="1"/>
    <col min="7" max="7" width="7" customWidth="1"/>
    <col min="8" max="8" width="9.85546875" customWidth="1"/>
    <col min="9" max="9" width="9.140625" customWidth="1"/>
    <col min="10" max="11" width="12.28515625" customWidth="1"/>
    <col min="12" max="12" width="11.42578125" customWidth="1"/>
    <col min="13" max="13" width="11.28515625" customWidth="1"/>
    <col min="14" max="14" width="12.28515625" customWidth="1"/>
    <col min="15" max="15" width="11.28515625" customWidth="1"/>
    <col min="16" max="16" width="11.42578125" customWidth="1"/>
    <col min="17" max="17" width="11.140625" customWidth="1"/>
    <col min="18" max="18" width="12" customWidth="1"/>
    <col min="19" max="19" width="13.28515625" customWidth="1"/>
    <col min="20" max="20" width="11.42578125" customWidth="1"/>
    <col min="21" max="21" width="12" customWidth="1"/>
    <col min="22" max="22" width="10.85546875" customWidth="1"/>
    <col min="23" max="23" width="10.5703125" customWidth="1"/>
    <col min="24" max="24" width="10.42578125" customWidth="1"/>
    <col min="25" max="25" width="11" customWidth="1"/>
    <col min="26" max="26" width="10.42578125" customWidth="1"/>
    <col min="27" max="27" width="11.28515625" customWidth="1"/>
    <col min="28" max="28" width="9.140625" customWidth="1"/>
    <col min="29" max="30" width="10.140625" customWidth="1"/>
    <col min="31" max="31" width="10" customWidth="1"/>
    <col min="32" max="32" width="9.140625" hidden="1" customWidth="1"/>
    <col min="33" max="33" width="11" customWidth="1"/>
    <col min="34" max="34" width="10.42578125" hidden="1" customWidth="1"/>
    <col min="35" max="35" width="9.140625" customWidth="1"/>
    <col min="36" max="36" width="10.42578125" customWidth="1"/>
    <col min="37" max="37" width="9.140625" hidden="1" customWidth="1"/>
    <col min="38" max="38" width="10.5703125" customWidth="1"/>
    <col min="39" max="39" width="9.140625" hidden="1" customWidth="1"/>
    <col min="40" max="40" width="9.85546875" customWidth="1"/>
    <col min="41" max="42" width="10.5703125" customWidth="1"/>
    <col min="43" max="44" width="9.140625" customWidth="1"/>
    <col min="45" max="45" width="10.7109375" customWidth="1"/>
    <col min="46" max="46" width="10.5703125" customWidth="1"/>
    <col min="47" max="47" width="9.85546875" customWidth="1"/>
  </cols>
  <sheetData>
    <row r="2" spans="1:49" ht="15.75" x14ac:dyDescent="0.25">
      <c r="A2" s="10"/>
      <c r="B2" s="10"/>
      <c r="C2" s="11" t="s">
        <v>792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AF2" s="250"/>
      <c r="AG2" s="250"/>
    </row>
    <row r="3" spans="1:49" ht="15.75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AF3" s="250"/>
      <c r="AG3" s="250"/>
    </row>
    <row r="4" spans="1:49" ht="15.75" x14ac:dyDescent="0.2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AF4" s="250"/>
      <c r="AG4" s="250"/>
    </row>
    <row r="5" spans="1:49" ht="15.75" x14ac:dyDescent="0.2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AF5" s="250"/>
      <c r="AG5" s="250"/>
    </row>
    <row r="6" spans="1:49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AF6" s="167"/>
      <c r="AG6" s="167"/>
      <c r="AU6" s="250"/>
      <c r="AV6" s="250"/>
      <c r="AW6" s="250"/>
    </row>
    <row r="7" spans="1:49" ht="37.5" customHeight="1" x14ac:dyDescent="0.25">
      <c r="A7" s="2017" t="s">
        <v>0</v>
      </c>
      <c r="B7" s="2020"/>
      <c r="C7" s="2017" t="s">
        <v>184</v>
      </c>
      <c r="D7" s="2017" t="s">
        <v>54</v>
      </c>
      <c r="E7" s="2017" t="s">
        <v>55</v>
      </c>
      <c r="F7" s="2017" t="s">
        <v>56</v>
      </c>
      <c r="G7" s="2017" t="s">
        <v>57</v>
      </c>
      <c r="H7" s="2017" t="s">
        <v>6</v>
      </c>
      <c r="I7" s="2020" t="s">
        <v>282</v>
      </c>
      <c r="J7" s="1989" t="s">
        <v>794</v>
      </c>
      <c r="K7" s="1990"/>
      <c r="L7" s="1989" t="s">
        <v>656</v>
      </c>
      <c r="M7" s="1990"/>
      <c r="N7" s="1989" t="s">
        <v>658</v>
      </c>
      <c r="O7" s="1990"/>
      <c r="P7" s="1989" t="s">
        <v>310</v>
      </c>
      <c r="Q7" s="1990"/>
      <c r="R7" s="2249" t="s">
        <v>593</v>
      </c>
      <c r="S7" s="2250"/>
      <c r="T7" s="2017" t="s">
        <v>726</v>
      </c>
      <c r="U7" s="2017"/>
      <c r="V7" s="2069" t="s">
        <v>747</v>
      </c>
      <c r="W7" s="2147" t="s">
        <v>370</v>
      </c>
      <c r="X7" s="2041" t="s">
        <v>333</v>
      </c>
      <c r="Y7" s="2274" t="s">
        <v>542</v>
      </c>
      <c r="Z7" s="2132" t="s">
        <v>578</v>
      </c>
      <c r="AA7" s="2132" t="s">
        <v>755</v>
      </c>
      <c r="AB7" s="2146" t="s">
        <v>503</v>
      </c>
      <c r="AC7" s="2147" t="s">
        <v>316</v>
      </c>
      <c r="AD7" s="2147" t="s">
        <v>369</v>
      </c>
      <c r="AE7" s="2132" t="s">
        <v>836</v>
      </c>
      <c r="AF7" s="2041"/>
      <c r="AG7" s="2069" t="s">
        <v>688</v>
      </c>
      <c r="AH7" s="2147" t="s">
        <v>727</v>
      </c>
      <c r="AI7" s="2147" t="s">
        <v>690</v>
      </c>
      <c r="AJ7" s="2041" t="s">
        <v>859</v>
      </c>
      <c r="AK7" s="2041"/>
      <c r="AL7" s="2069" t="s">
        <v>692</v>
      </c>
      <c r="AM7" s="2041" t="s">
        <v>693</v>
      </c>
      <c r="AN7" s="2041" t="s">
        <v>656</v>
      </c>
      <c r="AO7" s="2041" t="s">
        <v>694</v>
      </c>
      <c r="AP7" s="2041" t="s">
        <v>735</v>
      </c>
      <c r="AQ7" s="2134" t="s">
        <v>724</v>
      </c>
      <c r="AR7" s="2043" t="s">
        <v>182</v>
      </c>
      <c r="AS7" s="2043" t="s">
        <v>736</v>
      </c>
      <c r="AT7" s="2045" t="s">
        <v>830</v>
      </c>
      <c r="AU7" s="250"/>
      <c r="AV7" s="250"/>
      <c r="AW7" s="250"/>
    </row>
    <row r="8" spans="1:49" ht="58.5" customHeight="1" x14ac:dyDescent="0.25">
      <c r="A8" s="2017"/>
      <c r="B8" s="2021"/>
      <c r="C8" s="2017"/>
      <c r="D8" s="2017"/>
      <c r="E8" s="2017"/>
      <c r="F8" s="2017"/>
      <c r="G8" s="2017"/>
      <c r="H8" s="2017"/>
      <c r="I8" s="2021"/>
      <c r="J8" s="150" t="s">
        <v>15</v>
      </c>
      <c r="K8" s="1723" t="s">
        <v>16</v>
      </c>
      <c r="L8" s="150" t="s">
        <v>15</v>
      </c>
      <c r="M8" s="1625" t="s">
        <v>16</v>
      </c>
      <c r="N8" s="150" t="s">
        <v>15</v>
      </c>
      <c r="O8" s="1625" t="s">
        <v>16</v>
      </c>
      <c r="P8" s="150" t="s">
        <v>15</v>
      </c>
      <c r="Q8" s="1625" t="s">
        <v>16</v>
      </c>
      <c r="R8" s="51" t="s">
        <v>15</v>
      </c>
      <c r="S8" s="1624" t="s">
        <v>16</v>
      </c>
      <c r="T8" s="150" t="s">
        <v>15</v>
      </c>
      <c r="U8" s="1625" t="s">
        <v>16</v>
      </c>
      <c r="V8" s="2070"/>
      <c r="W8" s="2147"/>
      <c r="X8" s="2042"/>
      <c r="Y8" s="2274"/>
      <c r="Z8" s="2133"/>
      <c r="AA8" s="2133"/>
      <c r="AB8" s="2146"/>
      <c r="AC8" s="2147"/>
      <c r="AD8" s="2148"/>
      <c r="AE8" s="2133"/>
      <c r="AF8" s="2042"/>
      <c r="AG8" s="2070"/>
      <c r="AH8" s="2147"/>
      <c r="AI8" s="2147"/>
      <c r="AJ8" s="2042"/>
      <c r="AK8" s="2042"/>
      <c r="AL8" s="2070"/>
      <c r="AM8" s="2042"/>
      <c r="AN8" s="2042"/>
      <c r="AO8" s="2042"/>
      <c r="AP8" s="2042"/>
      <c r="AQ8" s="2135"/>
      <c r="AR8" s="2044"/>
      <c r="AS8" s="2044"/>
      <c r="AT8" s="2046"/>
      <c r="AU8" s="250"/>
      <c r="AV8" s="250"/>
      <c r="AW8" s="250"/>
    </row>
    <row r="9" spans="1:49" x14ac:dyDescent="0.25">
      <c r="A9" s="13">
        <v>1</v>
      </c>
      <c r="B9" s="1294">
        <v>42401</v>
      </c>
      <c r="C9" s="42" t="s">
        <v>228</v>
      </c>
      <c r="D9" s="705">
        <v>1967</v>
      </c>
      <c r="E9" s="705">
        <v>2</v>
      </c>
      <c r="F9" s="705">
        <v>12</v>
      </c>
      <c r="G9" s="705">
        <v>32</v>
      </c>
      <c r="H9" s="707">
        <v>506.67</v>
      </c>
      <c r="I9" s="707">
        <v>24.4</v>
      </c>
      <c r="J9" s="707">
        <v>6244.66</v>
      </c>
      <c r="K9" s="707">
        <v>5917.51</v>
      </c>
      <c r="L9" s="1092">
        <v>487.46</v>
      </c>
      <c r="M9" s="1092">
        <v>461.97</v>
      </c>
      <c r="N9" s="707">
        <v>5422.02</v>
      </c>
      <c r="O9" s="707">
        <v>5137.93</v>
      </c>
      <c r="P9" s="707">
        <v>68784.86</v>
      </c>
      <c r="Q9" s="707">
        <v>51582.7</v>
      </c>
      <c r="R9" s="1092">
        <v>606.61</v>
      </c>
      <c r="S9" s="1092">
        <v>500.59</v>
      </c>
      <c r="T9" s="1092">
        <f>J9+L9+N9+P9+R9</f>
        <v>81545.61</v>
      </c>
      <c r="U9" s="1092">
        <f>K9+M9+O9+Q9+S9</f>
        <v>63600.7</v>
      </c>
      <c r="V9" s="655">
        <f>AG9+AL9+AM9+AN9+AO9</f>
        <v>69438.328721926679</v>
      </c>
      <c r="W9" s="656">
        <v>339.88</v>
      </c>
      <c r="X9" s="660"/>
      <c r="Y9" s="660">
        <v>1084.8599999999999</v>
      </c>
      <c r="Z9" s="660">
        <f>2377.16/4685.84*H9</f>
        <v>257.03729901148995</v>
      </c>
      <c r="AA9" s="660">
        <f>2726/4685.84*H9</f>
        <v>294.75663274887751</v>
      </c>
      <c r="AB9" s="660">
        <f>16731.59/4685.84*H9</f>
        <v>1809.1515513333788</v>
      </c>
      <c r="AC9" s="660">
        <f>172426.17/4685.84*H9</f>
        <v>18644.078234404078</v>
      </c>
      <c r="AD9" s="659">
        <f>58753.76/4685.84*H9</f>
        <v>6352.920197702013</v>
      </c>
      <c r="AE9" s="1093">
        <f>161404.61/4685.84*H9</f>
        <v>17452.340188461407</v>
      </c>
      <c r="AF9" s="1122"/>
      <c r="AG9" s="1122">
        <f t="shared" ref="AG9:AG16" si="0">AF9+AE9+AD9+AC9+AB9+AA9+Z9+Y9+X9+W9</f>
        <v>46235.024103661242</v>
      </c>
      <c r="AH9" s="47"/>
      <c r="AI9" s="47"/>
      <c r="AJ9" s="47">
        <f>104211.93/4473.24*H9</f>
        <v>11803.761607492555</v>
      </c>
      <c r="AK9" s="47"/>
      <c r="AL9" s="47">
        <f>AK9+AJ9+AI9+AH9</f>
        <v>11803.761607492555</v>
      </c>
      <c r="AM9" s="47"/>
      <c r="AN9" s="47">
        <f>7477.09/4685.84*H9</f>
        <v>808.48197768169632</v>
      </c>
      <c r="AO9" s="47">
        <f>97949.39/4685.84*H9</f>
        <v>10591.061033091186</v>
      </c>
      <c r="AP9" s="47">
        <f>T9-V9</f>
        <v>12107.281278073322</v>
      </c>
      <c r="AQ9" s="47">
        <f>U9/T9*100</f>
        <v>77.994020769481025</v>
      </c>
      <c r="AR9" s="47">
        <f>V9/H9/12</f>
        <v>11.420702614115479</v>
      </c>
      <c r="AS9" s="47">
        <f>T9-U9</f>
        <v>17944.910000000003</v>
      </c>
      <c r="AT9" s="47">
        <v>13.63</v>
      </c>
      <c r="AU9" s="250"/>
      <c r="AV9" s="250"/>
      <c r="AW9" s="250"/>
    </row>
    <row r="10" spans="1:49" x14ac:dyDescent="0.25">
      <c r="A10" s="13">
        <v>2</v>
      </c>
      <c r="B10" s="1294">
        <v>42767</v>
      </c>
      <c r="C10" s="42" t="s">
        <v>229</v>
      </c>
      <c r="D10" s="705">
        <v>1967</v>
      </c>
      <c r="E10" s="705">
        <v>2</v>
      </c>
      <c r="F10" s="705">
        <v>12</v>
      </c>
      <c r="G10" s="705">
        <v>38</v>
      </c>
      <c r="H10" s="707">
        <v>538.85</v>
      </c>
      <c r="I10" s="707">
        <v>24.4</v>
      </c>
      <c r="J10" s="707">
        <v>6216.18</v>
      </c>
      <c r="K10" s="707">
        <v>7400.5</v>
      </c>
      <c r="L10" s="1092">
        <v>487.62</v>
      </c>
      <c r="M10" s="1092">
        <v>580.53</v>
      </c>
      <c r="N10" s="707">
        <v>5424.06</v>
      </c>
      <c r="O10" s="707">
        <v>6411.23</v>
      </c>
      <c r="P10" s="707">
        <v>68745.240000000005</v>
      </c>
      <c r="Q10" s="707">
        <v>63272.1</v>
      </c>
      <c r="R10" s="1092">
        <v>572.28</v>
      </c>
      <c r="S10" s="1092">
        <v>518.48</v>
      </c>
      <c r="T10" s="1092">
        <f t="shared" ref="T10:T16" si="1">J10+L10+N10+P10+R10</f>
        <v>81445.38</v>
      </c>
      <c r="U10" s="1092">
        <f t="shared" ref="U10:U16" si="2">K10+M10+O10+Q10+S10</f>
        <v>78182.84</v>
      </c>
      <c r="V10" s="655">
        <f t="shared" ref="V10:V16" si="3">AG10+AL10+AM10+AN10+AO10</f>
        <v>73557.788102137871</v>
      </c>
      <c r="W10" s="656">
        <v>139.61000000000001</v>
      </c>
      <c r="X10" s="660"/>
      <c r="Y10" s="660">
        <v>1084.8599999999999</v>
      </c>
      <c r="Z10" s="660">
        <f t="shared" ref="Z10:Z16" si="4">2377.16/4685.84*H10</f>
        <v>273.36244216618582</v>
      </c>
      <c r="AA10" s="660">
        <f t="shared" ref="AA10:AA16" si="5">2726/4685.84*H10</f>
        <v>313.47743414201085</v>
      </c>
      <c r="AB10" s="660">
        <f t="shared" ref="AB10:AB16" si="6">16731.59/4685.84*H10</f>
        <v>1924.0557235202227</v>
      </c>
      <c r="AC10" s="660">
        <f t="shared" ref="AC10:AC16" si="7">172426.17/4685.84*H10</f>
        <v>19828.214728735937</v>
      </c>
      <c r="AD10" s="659">
        <f t="shared" ref="AD10:AD16" si="8">58753.76/4685.84*H10</f>
        <v>6756.411566762843</v>
      </c>
      <c r="AE10" s="1093">
        <f t="shared" ref="AE10:AE16" si="9">161404.61/4685.84*H10</f>
        <v>18560.786134076279</v>
      </c>
      <c r="AF10" s="1122"/>
      <c r="AG10" s="1122">
        <f t="shared" si="0"/>
        <v>48880.778029403482</v>
      </c>
      <c r="AH10" s="47"/>
      <c r="AI10" s="47"/>
      <c r="AJ10" s="47">
        <f>104211.93/4473.24*H10</f>
        <v>12553.450850054993</v>
      </c>
      <c r="AK10" s="47"/>
      <c r="AL10" s="47">
        <f t="shared" ref="AL10:AL16" si="10">AK10+AJ10+AI10+AH10</f>
        <v>12553.450850054993</v>
      </c>
      <c r="AM10" s="47"/>
      <c r="AN10" s="47">
        <f t="shared" ref="AN10:AN16" si="11">7477.09/4685.84*H10</f>
        <v>859.8308833634951</v>
      </c>
      <c r="AO10" s="47">
        <f t="shared" ref="AO10:AO16" si="12">97949.39/4685.84*H10</f>
        <v>11263.728339315896</v>
      </c>
      <c r="AP10" s="47">
        <f t="shared" ref="AP10:AP16" si="13">T10-V10</f>
        <v>7887.5918978621339</v>
      </c>
      <c r="AQ10" s="47">
        <f t="shared" ref="AQ10:AQ17" si="14">U10/T10*100</f>
        <v>95.994198811522509</v>
      </c>
      <c r="AR10" s="47">
        <f t="shared" ref="AR10:AR17" si="15">V10/H10/12</f>
        <v>11.375736615344076</v>
      </c>
      <c r="AS10" s="47">
        <f t="shared" ref="AS10:AS16" si="16">T10-U10</f>
        <v>3262.5400000000081</v>
      </c>
      <c r="AT10" s="47">
        <v>13.62</v>
      </c>
      <c r="AU10" s="250"/>
      <c r="AV10" s="250"/>
      <c r="AW10" s="250"/>
    </row>
    <row r="11" spans="1:49" x14ac:dyDescent="0.25">
      <c r="A11" s="13">
        <v>3</v>
      </c>
      <c r="B11" s="1954" t="s">
        <v>647</v>
      </c>
      <c r="C11" s="45" t="s">
        <v>231</v>
      </c>
      <c r="D11" s="690">
        <v>1990</v>
      </c>
      <c r="E11" s="690">
        <v>1</v>
      </c>
      <c r="F11" s="690">
        <v>1</v>
      </c>
      <c r="G11" s="690">
        <v>6</v>
      </c>
      <c r="H11" s="707">
        <v>63.7</v>
      </c>
      <c r="I11" s="707"/>
      <c r="J11" s="707"/>
      <c r="K11" s="707"/>
      <c r="L11" s="1092">
        <v>61.14</v>
      </c>
      <c r="M11" s="1092">
        <v>71.33</v>
      </c>
      <c r="N11" s="707">
        <v>680.34</v>
      </c>
      <c r="O11" s="707">
        <v>793.74</v>
      </c>
      <c r="P11" s="707">
        <v>4689.6000000000004</v>
      </c>
      <c r="Q11" s="707">
        <v>4542.4799999999996</v>
      </c>
      <c r="R11" s="1092">
        <v>0</v>
      </c>
      <c r="S11" s="1092">
        <v>0</v>
      </c>
      <c r="T11" s="1092">
        <f t="shared" si="1"/>
        <v>5431.08</v>
      </c>
      <c r="U11" s="1092">
        <f t="shared" si="2"/>
        <v>5407.5499999999993</v>
      </c>
      <c r="V11" s="655">
        <f t="shared" si="3"/>
        <v>7066.8600611629936</v>
      </c>
      <c r="W11" s="662"/>
      <c r="X11" s="660"/>
      <c r="Y11" s="1096"/>
      <c r="Z11" s="660">
        <f t="shared" si="4"/>
        <v>32.315463609512918</v>
      </c>
      <c r="AA11" s="660">
        <f t="shared" si="5"/>
        <v>37.05764601437523</v>
      </c>
      <c r="AB11" s="660">
        <f t="shared" si="6"/>
        <v>227.45170193604562</v>
      </c>
      <c r="AC11" s="660">
        <f t="shared" si="7"/>
        <v>2343.9867833728854</v>
      </c>
      <c r="AD11" s="659">
        <f t="shared" si="8"/>
        <v>798.70727809741697</v>
      </c>
      <c r="AE11" s="1093">
        <f t="shared" si="9"/>
        <v>2194.15807133833</v>
      </c>
      <c r="AF11" s="1122"/>
      <c r="AG11" s="1122">
        <f t="shared" si="0"/>
        <v>5633.6769443685662</v>
      </c>
      <c r="AH11" s="47"/>
      <c r="AI11" s="47"/>
      <c r="AJ11" s="47"/>
      <c r="AK11" s="47"/>
      <c r="AL11" s="47">
        <f t="shared" si="10"/>
        <v>0</v>
      </c>
      <c r="AM11" s="47"/>
      <c r="AN11" s="47">
        <f t="shared" si="11"/>
        <v>101.64466413705973</v>
      </c>
      <c r="AO11" s="47">
        <f t="shared" si="12"/>
        <v>1331.5384526573678</v>
      </c>
      <c r="AP11" s="47">
        <f t="shared" si="13"/>
        <v>-1635.7800611629937</v>
      </c>
      <c r="AQ11" s="47">
        <f t="shared" si="14"/>
        <v>99.566752837373031</v>
      </c>
      <c r="AR11" s="47">
        <f t="shared" si="15"/>
        <v>9.2449765321336912</v>
      </c>
      <c r="AS11" s="47">
        <f t="shared" si="16"/>
        <v>23.530000000000655</v>
      </c>
      <c r="AT11" s="47">
        <v>7.29</v>
      </c>
      <c r="AU11" s="250"/>
      <c r="AV11" s="250"/>
      <c r="AW11" s="250"/>
    </row>
    <row r="12" spans="1:49" x14ac:dyDescent="0.25">
      <c r="A12" s="13">
        <v>4</v>
      </c>
      <c r="B12" s="1555" t="s">
        <v>648</v>
      </c>
      <c r="C12" s="45" t="s">
        <v>230</v>
      </c>
      <c r="D12" s="690">
        <v>1967</v>
      </c>
      <c r="E12" s="690">
        <v>2</v>
      </c>
      <c r="F12" s="690">
        <v>2</v>
      </c>
      <c r="G12" s="690">
        <v>12</v>
      </c>
      <c r="H12" s="707">
        <v>530.91999999999996</v>
      </c>
      <c r="I12" s="707"/>
      <c r="J12" s="707">
        <v>9244.7000000000007</v>
      </c>
      <c r="K12" s="707">
        <v>7647.97</v>
      </c>
      <c r="L12" s="1092">
        <v>488.04</v>
      </c>
      <c r="M12" s="1092">
        <v>518.04</v>
      </c>
      <c r="N12" s="707">
        <v>5429.16</v>
      </c>
      <c r="O12" s="707">
        <v>5763.29</v>
      </c>
      <c r="P12" s="707">
        <v>81888.240000000005</v>
      </c>
      <c r="Q12" s="707">
        <v>61193.4</v>
      </c>
      <c r="R12" s="1092">
        <v>598.76</v>
      </c>
      <c r="S12" s="1092">
        <v>495</v>
      </c>
      <c r="T12" s="1092">
        <f t="shared" si="1"/>
        <v>97648.900000000009</v>
      </c>
      <c r="U12" s="1092">
        <f t="shared" si="2"/>
        <v>75617.7</v>
      </c>
      <c r="V12" s="655">
        <f t="shared" si="3"/>
        <v>73070.962950333182</v>
      </c>
      <c r="W12" s="662">
        <v>344.32</v>
      </c>
      <c r="X12" s="660"/>
      <c r="Y12" s="1096">
        <v>1457.82</v>
      </c>
      <c r="Z12" s="660">
        <f t="shared" si="4"/>
        <v>269.33949669643005</v>
      </c>
      <c r="AA12" s="660">
        <f t="shared" si="5"/>
        <v>308.86413535246612</v>
      </c>
      <c r="AB12" s="660">
        <f t="shared" si="6"/>
        <v>1895.7403075649188</v>
      </c>
      <c r="AC12" s="660">
        <f t="shared" si="7"/>
        <v>19536.412292438494</v>
      </c>
      <c r="AD12" s="659">
        <f t="shared" si="8"/>
        <v>6656.9806607139808</v>
      </c>
      <c r="AE12" s="1093">
        <f t="shared" si="9"/>
        <v>18287.63584356273</v>
      </c>
      <c r="AF12" s="1122"/>
      <c r="AG12" s="1122">
        <f t="shared" si="0"/>
        <v>48757.112736329022</v>
      </c>
      <c r="AH12" s="47"/>
      <c r="AI12" s="47"/>
      <c r="AJ12" s="47">
        <f>104211.93/4473.24*H12</f>
        <v>12368.707665048152</v>
      </c>
      <c r="AK12" s="47"/>
      <c r="AL12" s="47">
        <f t="shared" si="10"/>
        <v>12368.707665048152</v>
      </c>
      <c r="AM12" s="47"/>
      <c r="AN12" s="47">
        <f t="shared" si="11"/>
        <v>847.1771598688814</v>
      </c>
      <c r="AO12" s="47">
        <f t="shared" si="12"/>
        <v>11097.965389087121</v>
      </c>
      <c r="AP12" s="47">
        <f t="shared" si="13"/>
        <v>24577.937049666827</v>
      </c>
      <c r="AQ12" s="47">
        <f t="shared" si="14"/>
        <v>77.438353120209229</v>
      </c>
      <c r="AR12" s="47">
        <f t="shared" si="15"/>
        <v>11.469236255043633</v>
      </c>
      <c r="AS12" s="47">
        <f t="shared" si="16"/>
        <v>22031.200000000012</v>
      </c>
      <c r="AT12" s="47">
        <v>13.63</v>
      </c>
      <c r="AU12" s="250"/>
      <c r="AV12" s="250"/>
      <c r="AW12" s="250"/>
    </row>
    <row r="13" spans="1:49" x14ac:dyDescent="0.25">
      <c r="A13" s="571">
        <v>5</v>
      </c>
      <c r="B13" s="1555" t="s">
        <v>647</v>
      </c>
      <c r="C13" s="45" t="s">
        <v>232</v>
      </c>
      <c r="D13" s="690">
        <v>1990</v>
      </c>
      <c r="E13" s="690">
        <v>1</v>
      </c>
      <c r="F13" s="690">
        <v>1</v>
      </c>
      <c r="G13" s="690">
        <v>9</v>
      </c>
      <c r="H13" s="707">
        <v>72.5</v>
      </c>
      <c r="I13" s="707">
        <v>24.08</v>
      </c>
      <c r="J13" s="707"/>
      <c r="K13" s="707"/>
      <c r="L13" s="707">
        <v>69.599999999999994</v>
      </c>
      <c r="M13" s="707">
        <v>79.55</v>
      </c>
      <c r="N13" s="707">
        <v>774.3</v>
      </c>
      <c r="O13" s="707">
        <v>797.22</v>
      </c>
      <c r="P13" s="707">
        <v>5176.5</v>
      </c>
      <c r="Q13" s="707">
        <v>3219.3</v>
      </c>
      <c r="R13" s="1092">
        <v>0</v>
      </c>
      <c r="S13" s="1092">
        <v>0</v>
      </c>
      <c r="T13" s="1092">
        <f t="shared" si="1"/>
        <v>6020.4</v>
      </c>
      <c r="U13" s="1092">
        <f t="shared" si="2"/>
        <v>4096.07</v>
      </c>
      <c r="V13" s="655">
        <f t="shared" si="3"/>
        <v>8043.1295829563105</v>
      </c>
      <c r="W13" s="662"/>
      <c r="X13" s="660"/>
      <c r="Y13" s="1096"/>
      <c r="Z13" s="660">
        <f t="shared" si="4"/>
        <v>36.779766274563364</v>
      </c>
      <c r="AA13" s="660">
        <f t="shared" si="5"/>
        <v>42.17706963959504</v>
      </c>
      <c r="AB13" s="660">
        <f t="shared" si="6"/>
        <v>258.87360110460452</v>
      </c>
      <c r="AC13" s="660">
        <f t="shared" si="7"/>
        <v>2667.8028539173342</v>
      </c>
      <c r="AD13" s="659">
        <f t="shared" si="8"/>
        <v>909.04674508732694</v>
      </c>
      <c r="AE13" s="1093">
        <f t="shared" si="9"/>
        <v>2497.2756698905637</v>
      </c>
      <c r="AF13" s="1122"/>
      <c r="AG13" s="1122">
        <f t="shared" si="0"/>
        <v>6411.9557059139879</v>
      </c>
      <c r="AH13" s="47"/>
      <c r="AI13" s="47"/>
      <c r="AJ13" s="47"/>
      <c r="AK13" s="47"/>
      <c r="AL13" s="47">
        <f t="shared" si="10"/>
        <v>0</v>
      </c>
      <c r="AM13" s="47"/>
      <c r="AN13" s="47">
        <f t="shared" si="11"/>
        <v>115.68662715756406</v>
      </c>
      <c r="AO13" s="47">
        <f t="shared" si="12"/>
        <v>1515.4872498847592</v>
      </c>
      <c r="AP13" s="47">
        <f t="shared" si="13"/>
        <v>-2022.7295829563109</v>
      </c>
      <c r="AQ13" s="47">
        <f t="shared" si="14"/>
        <v>68.036509202046375</v>
      </c>
      <c r="AR13" s="47">
        <f t="shared" si="15"/>
        <v>9.2449765321336894</v>
      </c>
      <c r="AS13" s="47">
        <f t="shared" si="16"/>
        <v>1924.33</v>
      </c>
      <c r="AT13" s="47">
        <v>6.92</v>
      </c>
      <c r="AU13" s="250"/>
      <c r="AV13" s="250"/>
      <c r="AW13" s="250"/>
    </row>
    <row r="14" spans="1:49" x14ac:dyDescent="0.25">
      <c r="A14" s="13">
        <v>6</v>
      </c>
      <c r="B14" s="1294">
        <v>42401</v>
      </c>
      <c r="C14" s="42" t="s">
        <v>233</v>
      </c>
      <c r="D14" s="705">
        <v>1994</v>
      </c>
      <c r="E14" s="705">
        <v>3</v>
      </c>
      <c r="F14" s="705">
        <v>24</v>
      </c>
      <c r="G14" s="705">
        <v>65</v>
      </c>
      <c r="H14" s="707">
        <v>1442.3</v>
      </c>
      <c r="I14" s="707">
        <v>129.6</v>
      </c>
      <c r="J14" s="707">
        <v>17480.580000000002</v>
      </c>
      <c r="K14" s="707">
        <v>20885.599999999999</v>
      </c>
      <c r="L14" s="1092">
        <v>1384.62</v>
      </c>
      <c r="M14" s="1092">
        <v>1654.33</v>
      </c>
      <c r="N14" s="707">
        <v>14968.14</v>
      </c>
      <c r="O14" s="707">
        <v>17870.18</v>
      </c>
      <c r="P14" s="707">
        <v>194450.88</v>
      </c>
      <c r="Q14" s="707">
        <v>187084.43</v>
      </c>
      <c r="R14" s="1092">
        <v>3513.24</v>
      </c>
      <c r="S14" s="1092">
        <v>3378.35</v>
      </c>
      <c r="T14" s="1092">
        <f t="shared" si="1"/>
        <v>231797.46</v>
      </c>
      <c r="U14" s="1092">
        <f t="shared" si="2"/>
        <v>230872.88999999998</v>
      </c>
      <c r="V14" s="655">
        <f t="shared" si="3"/>
        <v>201590.36062394624</v>
      </c>
      <c r="W14" s="656">
        <v>2584.08</v>
      </c>
      <c r="X14" s="660"/>
      <c r="Y14" s="660">
        <v>5189.03</v>
      </c>
      <c r="Z14" s="660">
        <f t="shared" si="4"/>
        <v>731.68906065934812</v>
      </c>
      <c r="AA14" s="660">
        <f t="shared" si="5"/>
        <v>839.06189711983336</v>
      </c>
      <c r="AB14" s="660">
        <f t="shared" si="6"/>
        <v>5149.9778603196009</v>
      </c>
      <c r="AC14" s="660">
        <f t="shared" si="7"/>
        <v>53072.718016620289</v>
      </c>
      <c r="AD14" s="659">
        <f t="shared" si="8"/>
        <v>18084.387868130369</v>
      </c>
      <c r="AE14" s="1093">
        <f t="shared" si="9"/>
        <v>49680.285499078069</v>
      </c>
      <c r="AF14" s="1122"/>
      <c r="AG14" s="1122">
        <f t="shared" si="0"/>
        <v>135331.23020192751</v>
      </c>
      <c r="AH14" s="47"/>
      <c r="AI14" s="47">
        <v>208</v>
      </c>
      <c r="AJ14" s="47">
        <f>104211.93/4473.24*H14</f>
        <v>33600.894796389191</v>
      </c>
      <c r="AK14" s="47"/>
      <c r="AL14" s="47">
        <f t="shared" si="10"/>
        <v>33808.894796389191</v>
      </c>
      <c r="AM14" s="47"/>
      <c r="AN14" s="47">
        <f t="shared" si="11"/>
        <v>2301.4458255083396</v>
      </c>
      <c r="AO14" s="47">
        <f t="shared" si="12"/>
        <v>30148.789800121212</v>
      </c>
      <c r="AP14" s="47">
        <f t="shared" si="13"/>
        <v>30207.099376053753</v>
      </c>
      <c r="AQ14" s="47">
        <f t="shared" si="14"/>
        <v>99.601130228087925</v>
      </c>
      <c r="AR14" s="47">
        <f t="shared" si="15"/>
        <v>11.647505178300067</v>
      </c>
      <c r="AS14" s="47">
        <f t="shared" si="16"/>
        <v>924.57000000000698</v>
      </c>
      <c r="AT14" s="47">
        <v>13.56</v>
      </c>
      <c r="AU14" s="250"/>
      <c r="AV14" s="250"/>
      <c r="AW14" s="250"/>
    </row>
    <row r="15" spans="1:49" x14ac:dyDescent="0.25">
      <c r="A15" s="13">
        <v>7</v>
      </c>
      <c r="B15" s="1294">
        <v>42401</v>
      </c>
      <c r="C15" s="42" t="s">
        <v>234</v>
      </c>
      <c r="D15" s="705">
        <v>1989</v>
      </c>
      <c r="E15" s="705">
        <v>3</v>
      </c>
      <c r="F15" s="705">
        <v>24</v>
      </c>
      <c r="G15" s="705">
        <v>61</v>
      </c>
      <c r="H15" s="707">
        <v>1454.5</v>
      </c>
      <c r="I15" s="707">
        <v>129.6</v>
      </c>
      <c r="J15" s="707">
        <v>17628.599999999999</v>
      </c>
      <c r="K15" s="707">
        <v>20409.900000000001</v>
      </c>
      <c r="L15" s="1092">
        <v>1396.26</v>
      </c>
      <c r="M15" s="1092">
        <v>1609.02</v>
      </c>
      <c r="N15" s="707">
        <v>15534</v>
      </c>
      <c r="O15" s="707">
        <v>17906.400000000001</v>
      </c>
      <c r="P15" s="707">
        <v>196095.54</v>
      </c>
      <c r="Q15" s="707">
        <v>180610.13</v>
      </c>
      <c r="R15" s="1092">
        <v>3513.27</v>
      </c>
      <c r="S15" s="1092">
        <v>3311.78</v>
      </c>
      <c r="T15" s="1092">
        <f t="shared" si="1"/>
        <v>234167.67</v>
      </c>
      <c r="U15" s="1092">
        <f t="shared" si="2"/>
        <v>223847.23</v>
      </c>
      <c r="V15" s="655">
        <f t="shared" si="3"/>
        <v>210904.94547287657</v>
      </c>
      <c r="W15" s="656">
        <v>1872.97</v>
      </c>
      <c r="X15" s="660"/>
      <c r="Y15" s="660">
        <v>13568.03</v>
      </c>
      <c r="Z15" s="660">
        <f t="shared" si="4"/>
        <v>737.8782075358954</v>
      </c>
      <c r="AA15" s="660">
        <f t="shared" si="5"/>
        <v>846.15927987297903</v>
      </c>
      <c r="AB15" s="660">
        <f t="shared" si="6"/>
        <v>5193.5400387123755</v>
      </c>
      <c r="AC15" s="660">
        <f t="shared" si="7"/>
        <v>53521.644841693276</v>
      </c>
      <c r="AD15" s="659">
        <f t="shared" si="8"/>
        <v>18237.358492820924</v>
      </c>
      <c r="AE15" s="1093">
        <f t="shared" si="9"/>
        <v>50100.516715252757</v>
      </c>
      <c r="AF15" s="1122"/>
      <c r="AG15" s="1122">
        <f t="shared" si="0"/>
        <v>144078.09757588821</v>
      </c>
      <c r="AH15" s="47"/>
      <c r="AI15" s="47">
        <v>217.01</v>
      </c>
      <c r="AJ15" s="47">
        <f>104211.93/4473.24*H15</f>
        <v>33885.115081015101</v>
      </c>
      <c r="AK15" s="47"/>
      <c r="AL15" s="47">
        <f t="shared" si="10"/>
        <v>34102.125081015103</v>
      </c>
      <c r="AM15" s="47"/>
      <c r="AN15" s="47">
        <f t="shared" si="11"/>
        <v>2320.9130924231299</v>
      </c>
      <c r="AO15" s="47">
        <f t="shared" si="12"/>
        <v>30403.809723550097</v>
      </c>
      <c r="AP15" s="47">
        <f t="shared" si="13"/>
        <v>23262.724527123442</v>
      </c>
      <c r="AQ15" s="47">
        <f t="shared" si="14"/>
        <v>95.592713545811009</v>
      </c>
      <c r="AR15" s="47">
        <f t="shared" si="15"/>
        <v>12.083473442928645</v>
      </c>
      <c r="AS15" s="47">
        <f t="shared" si="16"/>
        <v>10320.440000000002</v>
      </c>
      <c r="AT15" s="47">
        <v>13.56</v>
      </c>
      <c r="AU15" s="250"/>
      <c r="AV15" s="250"/>
      <c r="AW15" s="250"/>
    </row>
    <row r="16" spans="1:49" x14ac:dyDescent="0.25">
      <c r="A16" s="187">
        <v>8</v>
      </c>
      <c r="B16" s="1955">
        <v>42401</v>
      </c>
      <c r="C16" s="188" t="s">
        <v>235</v>
      </c>
      <c r="D16" s="709">
        <v>1961</v>
      </c>
      <c r="E16" s="709">
        <v>1</v>
      </c>
      <c r="F16" s="709">
        <v>2</v>
      </c>
      <c r="G16" s="709">
        <v>0</v>
      </c>
      <c r="H16" s="1099">
        <v>76.400000000000006</v>
      </c>
      <c r="I16" s="1098"/>
      <c r="J16" s="1098"/>
      <c r="K16" s="1098"/>
      <c r="L16" s="1099">
        <v>73.319999999999993</v>
      </c>
      <c r="M16" s="1099">
        <v>91.62</v>
      </c>
      <c r="N16" s="1099">
        <v>522.6</v>
      </c>
      <c r="O16" s="1099">
        <v>653.02</v>
      </c>
      <c r="P16" s="1099">
        <v>5372.46</v>
      </c>
      <c r="Q16" s="1099">
        <v>5438.69</v>
      </c>
      <c r="R16" s="1548">
        <v>0</v>
      </c>
      <c r="S16" s="1548">
        <v>0</v>
      </c>
      <c r="T16" s="1092">
        <f t="shared" si="1"/>
        <v>5968.38</v>
      </c>
      <c r="U16" s="1092">
        <f t="shared" si="2"/>
        <v>6183.33</v>
      </c>
      <c r="V16" s="655">
        <f t="shared" si="3"/>
        <v>8475.7944846601695</v>
      </c>
      <c r="W16" s="1100"/>
      <c r="X16" s="1549"/>
      <c r="Y16" s="1102"/>
      <c r="Z16" s="1550">
        <f t="shared" si="4"/>
        <v>38.758264046574361</v>
      </c>
      <c r="AA16" s="660">
        <f t="shared" si="5"/>
        <v>44.445905109862913</v>
      </c>
      <c r="AB16" s="660">
        <f t="shared" si="6"/>
        <v>272.79921550885223</v>
      </c>
      <c r="AC16" s="660">
        <f t="shared" si="7"/>
        <v>2811.312248817715</v>
      </c>
      <c r="AD16" s="659">
        <f t="shared" si="8"/>
        <v>957.94719068512802</v>
      </c>
      <c r="AE16" s="1093">
        <f t="shared" si="9"/>
        <v>2631.6118783398497</v>
      </c>
      <c r="AF16" s="1122"/>
      <c r="AG16" s="1122">
        <f t="shared" si="0"/>
        <v>6756.8747025079829</v>
      </c>
      <c r="AH16" s="1133"/>
      <c r="AI16" s="47"/>
      <c r="AJ16" s="47"/>
      <c r="AK16" s="47"/>
      <c r="AL16" s="47">
        <f t="shared" si="10"/>
        <v>0</v>
      </c>
      <c r="AM16" s="47"/>
      <c r="AN16" s="47">
        <f t="shared" si="11"/>
        <v>121.90976985983303</v>
      </c>
      <c r="AO16" s="47">
        <f t="shared" si="12"/>
        <v>1597.0100122923532</v>
      </c>
      <c r="AP16" s="47">
        <f t="shared" si="13"/>
        <v>-2507.4144846601694</v>
      </c>
      <c r="AQ16" s="47">
        <f t="shared" si="14"/>
        <v>103.60147979853829</v>
      </c>
      <c r="AR16" s="47">
        <f t="shared" si="15"/>
        <v>9.244976532133693</v>
      </c>
      <c r="AS16" s="47">
        <f t="shared" si="16"/>
        <v>-214.94999999999982</v>
      </c>
      <c r="AT16" s="47">
        <v>6.68</v>
      </c>
      <c r="AU16" s="250"/>
      <c r="AV16" s="250"/>
      <c r="AW16" s="250"/>
    </row>
    <row r="17" spans="1:50" x14ac:dyDescent="0.25">
      <c r="A17" s="13"/>
      <c r="B17" s="13"/>
      <c r="C17" s="417" t="s">
        <v>297</v>
      </c>
      <c r="D17" s="690"/>
      <c r="E17" s="690"/>
      <c r="F17" s="1144">
        <f t="shared" ref="F17:AT17" si="17">SUM(F9:F16)</f>
        <v>78</v>
      </c>
      <c r="G17" s="1144">
        <f t="shared" si="17"/>
        <v>223</v>
      </c>
      <c r="H17" s="1652">
        <f t="shared" si="17"/>
        <v>4685.8399999999992</v>
      </c>
      <c r="I17" s="1652">
        <f t="shared" si="17"/>
        <v>332.08</v>
      </c>
      <c r="J17" s="1652">
        <f t="shared" si="17"/>
        <v>56814.720000000001</v>
      </c>
      <c r="K17" s="1652">
        <f t="shared" si="17"/>
        <v>62261.48</v>
      </c>
      <c r="L17" s="1652">
        <f t="shared" si="17"/>
        <v>4448.0599999999995</v>
      </c>
      <c r="M17" s="1652">
        <f t="shared" si="17"/>
        <v>5066.3900000000003</v>
      </c>
      <c r="N17" s="1652">
        <f t="shared" si="17"/>
        <v>48754.62</v>
      </c>
      <c r="O17" s="1652">
        <f t="shared" si="17"/>
        <v>55333.009999999995</v>
      </c>
      <c r="P17" s="1652">
        <f t="shared" si="17"/>
        <v>625203.31999999995</v>
      </c>
      <c r="Q17" s="1652">
        <f t="shared" si="17"/>
        <v>556943.23</v>
      </c>
      <c r="R17" s="1652">
        <f t="shared" si="17"/>
        <v>8804.16</v>
      </c>
      <c r="S17" s="1652">
        <f t="shared" si="17"/>
        <v>8204.2000000000007</v>
      </c>
      <c r="T17" s="1652">
        <f t="shared" si="17"/>
        <v>744024.88</v>
      </c>
      <c r="U17" s="1652">
        <f t="shared" si="17"/>
        <v>687808.30999999994</v>
      </c>
      <c r="V17" s="1653">
        <f t="shared" si="17"/>
        <v>652148.17000000004</v>
      </c>
      <c r="W17" s="1653">
        <f t="shared" si="17"/>
        <v>5280.86</v>
      </c>
      <c r="X17" s="1682">
        <f t="shared" si="17"/>
        <v>0</v>
      </c>
      <c r="Y17" s="1682">
        <f t="shared" si="17"/>
        <v>22384.6</v>
      </c>
      <c r="Z17" s="1682">
        <f t="shared" si="17"/>
        <v>2377.16</v>
      </c>
      <c r="AA17" s="1682">
        <f t="shared" si="17"/>
        <v>2726</v>
      </c>
      <c r="AB17" s="1682">
        <f t="shared" si="17"/>
        <v>16731.589999999997</v>
      </c>
      <c r="AC17" s="1682">
        <f t="shared" si="17"/>
        <v>172426.17</v>
      </c>
      <c r="AD17" s="1682">
        <f t="shared" si="17"/>
        <v>58753.760000000002</v>
      </c>
      <c r="AE17" s="1682">
        <f t="shared" si="17"/>
        <v>161404.60999999999</v>
      </c>
      <c r="AF17" s="1682">
        <f t="shared" si="17"/>
        <v>0</v>
      </c>
      <c r="AG17" s="1682">
        <f t="shared" si="17"/>
        <v>442084.74999999994</v>
      </c>
      <c r="AH17" s="1682">
        <f t="shared" si="17"/>
        <v>0</v>
      </c>
      <c r="AI17" s="1682">
        <f t="shared" si="17"/>
        <v>425.01</v>
      </c>
      <c r="AJ17" s="1682">
        <f t="shared" si="17"/>
        <v>104211.93</v>
      </c>
      <c r="AK17" s="1682"/>
      <c r="AL17" s="1682">
        <f t="shared" si="17"/>
        <v>104636.94</v>
      </c>
      <c r="AM17" s="1682">
        <f t="shared" si="17"/>
        <v>0</v>
      </c>
      <c r="AN17" s="1682">
        <f t="shared" si="17"/>
        <v>7477.0899999999992</v>
      </c>
      <c r="AO17" s="1682">
        <f t="shared" si="17"/>
        <v>97949.39</v>
      </c>
      <c r="AP17" s="1682">
        <f t="shared" si="17"/>
        <v>91876.71</v>
      </c>
      <c r="AQ17" s="495">
        <f t="shared" si="14"/>
        <v>92.444262078977772</v>
      </c>
      <c r="AR17" s="495">
        <f t="shared" si="15"/>
        <v>11.597852430585199</v>
      </c>
      <c r="AS17" s="1682">
        <f>SUM(AS9:AS16)</f>
        <v>56216.570000000036</v>
      </c>
      <c r="AT17" s="1682">
        <f t="shared" si="17"/>
        <v>88.890000000000015</v>
      </c>
      <c r="AU17" s="250"/>
      <c r="AV17" s="250"/>
      <c r="AW17" s="250"/>
    </row>
    <row r="18" spans="1:50" x14ac:dyDescent="0.25">
      <c r="A18" s="247"/>
      <c r="B18" s="247"/>
      <c r="C18" s="596" t="s">
        <v>756</v>
      </c>
      <c r="D18" s="596"/>
      <c r="E18" s="596"/>
      <c r="F18" s="596"/>
      <c r="G18" s="596"/>
      <c r="H18" s="1557">
        <f>H9+H10+H12+H14+H15</f>
        <v>4473.24</v>
      </c>
      <c r="I18" s="247"/>
      <c r="J18" s="247"/>
      <c r="K18" s="247"/>
      <c r="L18" s="247" t="s">
        <v>180</v>
      </c>
      <c r="M18" s="247"/>
      <c r="N18" s="247" t="s">
        <v>180</v>
      </c>
      <c r="O18" s="247"/>
      <c r="P18" s="247" t="s">
        <v>180</v>
      </c>
      <c r="Q18" s="247"/>
      <c r="R18" s="247" t="s">
        <v>180</v>
      </c>
      <c r="S18" s="247"/>
      <c r="T18" s="247"/>
      <c r="U18" s="247"/>
      <c r="V18" s="247"/>
      <c r="W18" s="247" t="s">
        <v>180</v>
      </c>
      <c r="X18" s="247"/>
      <c r="Y18" s="247" t="s">
        <v>180</v>
      </c>
      <c r="Z18" s="247" t="s">
        <v>180</v>
      </c>
      <c r="AA18" s="247" t="s">
        <v>180</v>
      </c>
      <c r="AB18" s="247" t="s">
        <v>180</v>
      </c>
      <c r="AC18" s="247" t="s">
        <v>180</v>
      </c>
      <c r="AD18" s="247" t="s">
        <v>180</v>
      </c>
      <c r="AE18" s="1552"/>
      <c r="AF18" s="247"/>
      <c r="AG18" s="1552" t="s">
        <v>180</v>
      </c>
      <c r="AI18" s="93"/>
      <c r="AJ18" s="1484"/>
      <c r="AL18" t="s">
        <v>180</v>
      </c>
      <c r="AN18" t="s">
        <v>180</v>
      </c>
      <c r="AO18" t="s">
        <v>180</v>
      </c>
      <c r="AU18" s="250"/>
      <c r="AV18" s="250"/>
      <c r="AW18" s="250"/>
    </row>
    <row r="19" spans="1:50" x14ac:dyDescent="0.25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</row>
    <row r="20" spans="1:50" ht="15" customHeight="1" x14ac:dyDescent="0.25">
      <c r="A20" s="247"/>
      <c r="B20" s="247"/>
      <c r="C20" s="548" t="s">
        <v>793</v>
      </c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</row>
    <row r="21" spans="1:50" x14ac:dyDescent="0.25">
      <c r="A21" s="247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</row>
    <row r="22" spans="1:50" ht="15" customHeight="1" x14ac:dyDescent="0.25">
      <c r="A22" s="247"/>
      <c r="B22" s="247"/>
      <c r="C22" s="247"/>
      <c r="D22" s="247"/>
      <c r="E22" s="247"/>
      <c r="F22" s="247"/>
      <c r="G22" s="247"/>
      <c r="H22" s="247"/>
      <c r="I22" s="248"/>
      <c r="J22" s="248"/>
      <c r="K22" s="248"/>
      <c r="L22" s="248"/>
      <c r="M22" s="248"/>
      <c r="N22" s="248"/>
      <c r="O22" s="248"/>
      <c r="P22" s="248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  <c r="AI22" s="247"/>
      <c r="AJ22" s="247"/>
    </row>
    <row r="23" spans="1:50" ht="15" customHeight="1" x14ac:dyDescent="0.25">
      <c r="A23" s="2017" t="s">
        <v>0</v>
      </c>
      <c r="B23" s="2020"/>
      <c r="C23" s="2017" t="s">
        <v>184</v>
      </c>
      <c r="D23" s="2017" t="s">
        <v>54</v>
      </c>
      <c r="E23" s="2017" t="s">
        <v>55</v>
      </c>
      <c r="F23" s="2017" t="s">
        <v>56</v>
      </c>
      <c r="G23" s="2017" t="s">
        <v>57</v>
      </c>
      <c r="H23" s="2017" t="s">
        <v>6</v>
      </c>
      <c r="I23" s="2017" t="s">
        <v>282</v>
      </c>
      <c r="J23" s="1855"/>
      <c r="K23" s="1855"/>
      <c r="L23" s="2249" t="s">
        <v>284</v>
      </c>
      <c r="M23" s="2250"/>
      <c r="N23" s="1997" t="s">
        <v>863</v>
      </c>
      <c r="O23" s="2009" t="s">
        <v>370</v>
      </c>
      <c r="P23" s="1987" t="s">
        <v>333</v>
      </c>
      <c r="Q23" s="2177" t="s">
        <v>314</v>
      </c>
      <c r="R23" s="2177" t="s">
        <v>375</v>
      </c>
      <c r="S23" s="1987" t="s">
        <v>735</v>
      </c>
      <c r="T23" s="2005" t="s">
        <v>724</v>
      </c>
      <c r="U23" s="2001" t="s">
        <v>182</v>
      </c>
      <c r="V23" s="2001" t="s">
        <v>846</v>
      </c>
      <c r="W23" s="1999" t="s">
        <v>830</v>
      </c>
      <c r="X23" s="1997"/>
      <c r="Y23" s="2009"/>
      <c r="Z23" s="1987"/>
      <c r="AA23" s="2102"/>
      <c r="AB23" s="2003"/>
      <c r="AC23" s="2003"/>
      <c r="AD23" s="2107"/>
      <c r="AE23" s="2009"/>
      <c r="AF23" s="1987"/>
      <c r="AG23" s="2003"/>
      <c r="AH23" s="1987"/>
      <c r="AI23" s="2024"/>
      <c r="AJ23" s="2009"/>
      <c r="AK23" s="2009"/>
      <c r="AL23" s="1987"/>
      <c r="AM23" s="1987"/>
      <c r="AN23" s="2022"/>
      <c r="AO23" s="1987"/>
      <c r="AP23" s="1987"/>
      <c r="AQ23" s="1987"/>
      <c r="AR23" s="1987"/>
      <c r="AS23" s="2005"/>
      <c r="AT23" s="2001"/>
      <c r="AU23" s="2001"/>
      <c r="AV23" s="1999"/>
      <c r="AW23" s="1999"/>
    </row>
    <row r="24" spans="1:50" ht="50.25" customHeight="1" x14ac:dyDescent="0.25">
      <c r="A24" s="2017"/>
      <c r="B24" s="2021"/>
      <c r="C24" s="2017"/>
      <c r="D24" s="2017"/>
      <c r="E24" s="2017"/>
      <c r="F24" s="2017"/>
      <c r="G24" s="2017"/>
      <c r="H24" s="2017"/>
      <c r="I24" s="2017"/>
      <c r="J24" s="1833"/>
      <c r="K24" s="1833"/>
      <c r="L24" s="150" t="s">
        <v>15</v>
      </c>
      <c r="M24" s="1625" t="s">
        <v>16</v>
      </c>
      <c r="N24" s="1998"/>
      <c r="O24" s="2009"/>
      <c r="P24" s="1988"/>
      <c r="Q24" s="2178"/>
      <c r="R24" s="2178"/>
      <c r="S24" s="1988"/>
      <c r="T24" s="2006"/>
      <c r="U24" s="2002"/>
      <c r="V24" s="2002"/>
      <c r="W24" s="2000"/>
      <c r="X24" s="1998"/>
      <c r="Y24" s="2009"/>
      <c r="Z24" s="1988"/>
      <c r="AA24" s="2102"/>
      <c r="AB24" s="2004"/>
      <c r="AC24" s="2004"/>
      <c r="AD24" s="2107"/>
      <c r="AE24" s="2009"/>
      <c r="AF24" s="1988"/>
      <c r="AG24" s="2004"/>
      <c r="AH24" s="1988"/>
      <c r="AI24" s="2025"/>
      <c r="AJ24" s="2009"/>
      <c r="AK24" s="2009"/>
      <c r="AL24" s="1988"/>
      <c r="AM24" s="1988"/>
      <c r="AN24" s="2023"/>
      <c r="AO24" s="1988"/>
      <c r="AP24" s="1988"/>
      <c r="AQ24" s="1988"/>
      <c r="AR24" s="1988"/>
      <c r="AS24" s="2006"/>
      <c r="AT24" s="2002"/>
      <c r="AU24" s="2002"/>
      <c r="AV24" s="2000"/>
      <c r="AW24" s="2000"/>
    </row>
    <row r="25" spans="1:50" x14ac:dyDescent="0.25">
      <c r="A25" s="13">
        <v>1</v>
      </c>
      <c r="B25" s="13"/>
      <c r="C25" s="42" t="s">
        <v>228</v>
      </c>
      <c r="D25" s="705">
        <v>1967</v>
      </c>
      <c r="E25" s="705">
        <v>2</v>
      </c>
      <c r="F25" s="705">
        <v>12</v>
      </c>
      <c r="G25" s="705">
        <v>32</v>
      </c>
      <c r="H25" s="707">
        <v>506.67</v>
      </c>
      <c r="I25" s="706">
        <v>24.4</v>
      </c>
      <c r="J25" s="1856"/>
      <c r="K25" s="1856"/>
      <c r="L25" s="707">
        <v>14324.04</v>
      </c>
      <c r="M25" s="707">
        <v>10730.13</v>
      </c>
      <c r="N25" s="1699">
        <f>O25+P25+Q25+R25</f>
        <v>0</v>
      </c>
      <c r="O25" s="1699"/>
      <c r="P25" s="707"/>
      <c r="Q25" s="707"/>
      <c r="R25" s="707"/>
      <c r="S25" s="707">
        <f>L25-N25</f>
        <v>14324.04</v>
      </c>
      <c r="T25" s="1699">
        <f>M25/L25*100</f>
        <v>74.909941608652304</v>
      </c>
      <c r="U25" s="1699"/>
      <c r="V25" s="1092">
        <f>L25-M25</f>
        <v>3593.9100000000017</v>
      </c>
      <c r="W25" s="47">
        <v>2.85</v>
      </c>
      <c r="X25" s="655"/>
      <c r="Y25" s="656"/>
      <c r="Z25" s="660"/>
      <c r="AA25" s="660"/>
      <c r="AB25" s="660"/>
      <c r="AC25" s="660"/>
      <c r="AD25" s="660"/>
      <c r="AE25" s="660"/>
      <c r="AF25" s="659"/>
      <c r="AG25" s="1093"/>
      <c r="AH25" s="1095"/>
      <c r="AI25" s="1129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</row>
    <row r="26" spans="1:50" x14ac:dyDescent="0.25">
      <c r="A26" s="13">
        <v>2</v>
      </c>
      <c r="B26" s="13"/>
      <c r="C26" s="42" t="s">
        <v>229</v>
      </c>
      <c r="D26" s="705">
        <v>1967</v>
      </c>
      <c r="E26" s="705">
        <v>2</v>
      </c>
      <c r="F26" s="705">
        <v>12</v>
      </c>
      <c r="G26" s="705">
        <v>38</v>
      </c>
      <c r="H26" s="707">
        <v>538.85</v>
      </c>
      <c r="I26" s="706">
        <v>24.4</v>
      </c>
      <c r="J26" s="1856"/>
      <c r="K26" s="1856"/>
      <c r="L26" s="707">
        <v>14382.66</v>
      </c>
      <c r="M26" s="707">
        <v>13223.34</v>
      </c>
      <c r="N26" s="1699">
        <f t="shared" ref="N26:N29" si="18">O26+P26+Q26+R26</f>
        <v>66391.09</v>
      </c>
      <c r="O26" s="1699"/>
      <c r="P26" s="707">
        <v>19377.09</v>
      </c>
      <c r="Q26" s="707"/>
      <c r="R26" s="707">
        <v>47014</v>
      </c>
      <c r="S26" s="707">
        <f t="shared" ref="S26:S29" si="19">L26-N26</f>
        <v>-52008.429999999993</v>
      </c>
      <c r="T26" s="1699">
        <f t="shared" ref="T26:T30" si="20">M26/L26*100</f>
        <v>91.939460433605475</v>
      </c>
      <c r="U26" s="1699"/>
      <c r="V26" s="1092">
        <f t="shared" ref="V26:V29" si="21">L26-M26</f>
        <v>1159.3199999999997</v>
      </c>
      <c r="W26" s="47">
        <v>2.86</v>
      </c>
      <c r="X26" s="655"/>
      <c r="Y26" s="656"/>
      <c r="Z26" s="660"/>
      <c r="AA26" s="660"/>
      <c r="AB26" s="660"/>
      <c r="AC26" s="660"/>
      <c r="AD26" s="660"/>
      <c r="AE26" s="660"/>
      <c r="AF26" s="659"/>
      <c r="AG26" s="1093"/>
      <c r="AH26" s="1095"/>
      <c r="AI26" s="1129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</row>
    <row r="27" spans="1:50" x14ac:dyDescent="0.25">
      <c r="A27" s="13">
        <v>4</v>
      </c>
      <c r="B27" s="13"/>
      <c r="C27" s="42" t="s">
        <v>230</v>
      </c>
      <c r="D27" s="705">
        <v>1967</v>
      </c>
      <c r="E27" s="705">
        <v>2</v>
      </c>
      <c r="F27" s="705">
        <v>12</v>
      </c>
      <c r="G27" s="705">
        <v>38</v>
      </c>
      <c r="H27" s="707">
        <v>508.35</v>
      </c>
      <c r="I27" s="706">
        <v>24.4</v>
      </c>
      <c r="J27" s="1856"/>
      <c r="K27" s="1856"/>
      <c r="L27" s="707">
        <v>18300.599999999999</v>
      </c>
      <c r="M27" s="707">
        <v>15848.69</v>
      </c>
      <c r="N27" s="1699">
        <f t="shared" si="18"/>
        <v>0</v>
      </c>
      <c r="O27" s="1699"/>
      <c r="P27" s="707"/>
      <c r="Q27" s="707"/>
      <c r="R27" s="707"/>
      <c r="S27" s="707">
        <f t="shared" si="19"/>
        <v>18300.599999999999</v>
      </c>
      <c r="T27" s="1699">
        <f t="shared" si="20"/>
        <v>86.602023977355941</v>
      </c>
      <c r="U27" s="1699"/>
      <c r="V27" s="1092">
        <f t="shared" si="21"/>
        <v>2451.909999999998</v>
      </c>
      <c r="W27" s="47">
        <v>3</v>
      </c>
      <c r="X27" s="655"/>
      <c r="Y27" s="662"/>
      <c r="Z27" s="660"/>
      <c r="AA27" s="1096"/>
      <c r="AB27" s="660"/>
      <c r="AC27" s="660"/>
      <c r="AD27" s="660"/>
      <c r="AE27" s="660"/>
      <c r="AF27" s="659"/>
      <c r="AG27" s="1093"/>
      <c r="AH27" s="1095"/>
      <c r="AI27" s="1129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</row>
    <row r="28" spans="1:50" x14ac:dyDescent="0.25">
      <c r="A28" s="13">
        <v>6</v>
      </c>
      <c r="B28" s="13"/>
      <c r="C28" s="42" t="s">
        <v>233</v>
      </c>
      <c r="D28" s="705">
        <v>1994</v>
      </c>
      <c r="E28" s="705">
        <v>3</v>
      </c>
      <c r="F28" s="705">
        <v>24</v>
      </c>
      <c r="G28" s="705">
        <v>65</v>
      </c>
      <c r="H28" s="707">
        <v>1442.3</v>
      </c>
      <c r="I28" s="706">
        <v>129.6</v>
      </c>
      <c r="J28" s="1856"/>
      <c r="K28" s="1856"/>
      <c r="L28" s="707">
        <v>41538.239999999998</v>
      </c>
      <c r="M28" s="707">
        <v>39953.480000000003</v>
      </c>
      <c r="N28" s="1699">
        <f t="shared" si="18"/>
        <v>18333.03</v>
      </c>
      <c r="O28" s="1699"/>
      <c r="P28" s="707">
        <v>4826.57</v>
      </c>
      <c r="Q28" s="707">
        <v>13506.46</v>
      </c>
      <c r="R28" s="707"/>
      <c r="S28" s="707">
        <f t="shared" si="19"/>
        <v>23205.21</v>
      </c>
      <c r="T28" s="1699">
        <f t="shared" si="20"/>
        <v>96.184816689392733</v>
      </c>
      <c r="U28" s="1699"/>
      <c r="V28" s="1092">
        <f t="shared" si="21"/>
        <v>1584.7599999999948</v>
      </c>
      <c r="W28" s="47">
        <v>2.9</v>
      </c>
      <c r="X28" s="655"/>
      <c r="Y28" s="662"/>
      <c r="Z28" s="660"/>
      <c r="AA28" s="1096"/>
      <c r="AB28" s="660"/>
      <c r="AC28" s="660"/>
      <c r="AD28" s="660"/>
      <c r="AE28" s="660"/>
      <c r="AF28" s="659"/>
      <c r="AG28" s="1093"/>
      <c r="AH28" s="1095"/>
      <c r="AI28" s="1129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</row>
    <row r="29" spans="1:50" x14ac:dyDescent="0.25">
      <c r="A29" s="187">
        <v>7</v>
      </c>
      <c r="B29" s="187"/>
      <c r="C29" s="202" t="s">
        <v>234</v>
      </c>
      <c r="D29" s="1859">
        <v>1989</v>
      </c>
      <c r="E29" s="1859">
        <v>3</v>
      </c>
      <c r="F29" s="1859">
        <v>24</v>
      </c>
      <c r="G29" s="1859">
        <v>61</v>
      </c>
      <c r="H29" s="1099">
        <v>1454.5</v>
      </c>
      <c r="I29" s="710">
        <v>129.6</v>
      </c>
      <c r="J29" s="1856"/>
      <c r="K29" s="1856"/>
      <c r="L29" s="707">
        <v>41889.599999999999</v>
      </c>
      <c r="M29" s="707">
        <v>38567.360000000001</v>
      </c>
      <c r="N29" s="1699">
        <f t="shared" si="18"/>
        <v>21843.309999999998</v>
      </c>
      <c r="O29" s="707"/>
      <c r="P29" s="707">
        <v>9035.4599999999991</v>
      </c>
      <c r="Q29" s="707">
        <v>12807.85</v>
      </c>
      <c r="R29" s="707"/>
      <c r="S29" s="707">
        <f t="shared" si="19"/>
        <v>20046.29</v>
      </c>
      <c r="T29" s="1699">
        <f t="shared" si="20"/>
        <v>92.069057713609112</v>
      </c>
      <c r="U29" s="1699"/>
      <c r="V29" s="1092">
        <f t="shared" si="21"/>
        <v>3322.239999999998</v>
      </c>
      <c r="W29" s="47">
        <v>2.9</v>
      </c>
      <c r="X29" s="655"/>
      <c r="Y29" s="662"/>
      <c r="Z29" s="660"/>
      <c r="AA29" s="1096"/>
      <c r="AB29" s="660"/>
      <c r="AC29" s="660"/>
      <c r="AD29" s="660"/>
      <c r="AE29" s="660"/>
      <c r="AF29" s="659"/>
      <c r="AG29" s="1093"/>
      <c r="AH29" s="1095"/>
      <c r="AI29" s="1129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</row>
    <row r="30" spans="1:50" x14ac:dyDescent="0.25">
      <c r="A30" s="13"/>
      <c r="B30" s="13"/>
      <c r="C30" s="417" t="s">
        <v>297</v>
      </c>
      <c r="D30" s="690"/>
      <c r="E30" s="690"/>
      <c r="F30" s="691">
        <f t="shared" ref="F30:I30" si="22">SUM(F25:F29)</f>
        <v>84</v>
      </c>
      <c r="G30" s="691">
        <f t="shared" si="22"/>
        <v>234</v>
      </c>
      <c r="H30" s="653">
        <f t="shared" si="22"/>
        <v>4450.67</v>
      </c>
      <c r="I30" s="653">
        <f t="shared" si="22"/>
        <v>332.4</v>
      </c>
      <c r="J30" s="1857"/>
      <c r="K30" s="1857"/>
      <c r="L30" s="1654">
        <f>SUM(L25:L29)</f>
        <v>130435.14000000001</v>
      </c>
      <c r="M30" s="1654">
        <f>SUM(M25:M29)</f>
        <v>118323.00000000001</v>
      </c>
      <c r="N30" s="1654">
        <f t="shared" ref="N30:V30" si="23">SUM(N25:N29)</f>
        <v>106567.43</v>
      </c>
      <c r="O30" s="1654">
        <f t="shared" si="23"/>
        <v>0</v>
      </c>
      <c r="P30" s="1654">
        <f t="shared" si="23"/>
        <v>33239.119999999995</v>
      </c>
      <c r="Q30" s="1654">
        <f t="shared" si="23"/>
        <v>26314.309999999998</v>
      </c>
      <c r="R30" s="1654">
        <f t="shared" si="23"/>
        <v>47014</v>
      </c>
      <c r="S30" s="1654">
        <f t="shared" si="23"/>
        <v>23867.710000000006</v>
      </c>
      <c r="T30" s="1858">
        <f t="shared" si="20"/>
        <v>90.714051443499045</v>
      </c>
      <c r="U30" s="1654">
        <f t="shared" si="23"/>
        <v>0</v>
      </c>
      <c r="V30" s="1654">
        <f t="shared" si="23"/>
        <v>12112.139999999992</v>
      </c>
      <c r="W30" s="47"/>
      <c r="X30" s="655"/>
      <c r="Y30" s="656"/>
      <c r="Z30" s="660"/>
      <c r="AA30" s="660"/>
      <c r="AB30" s="660"/>
      <c r="AC30" s="660"/>
      <c r="AD30" s="660"/>
      <c r="AE30" s="660"/>
      <c r="AF30" s="659"/>
      <c r="AG30" s="1093"/>
      <c r="AH30" s="1095"/>
      <c r="AI30" s="1129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</row>
    <row r="31" spans="1:50" ht="15.75" customHeight="1" x14ac:dyDescent="0.25">
      <c r="A31" s="296"/>
      <c r="B31" s="296"/>
      <c r="C31" s="296" t="s">
        <v>180</v>
      </c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  <c r="AU31" s="296"/>
      <c r="AV31" s="296"/>
      <c r="AW31" s="296"/>
      <c r="AX31" s="296"/>
    </row>
    <row r="32" spans="1:50" ht="15" customHeight="1" x14ac:dyDescent="0.25">
      <c r="A32" s="296"/>
      <c r="B32" s="296"/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  <c r="AV32" s="296"/>
      <c r="AW32" s="296"/>
      <c r="AX32" s="296"/>
    </row>
    <row r="33" spans="1:50" ht="15" customHeight="1" x14ac:dyDescent="0.25">
      <c r="A33" s="296"/>
      <c r="B33" s="296"/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  <c r="AU33" s="296"/>
      <c r="AV33" s="296"/>
      <c r="AW33" s="296"/>
      <c r="AX33" s="296"/>
    </row>
    <row r="34" spans="1:50" ht="15" customHeight="1" x14ac:dyDescent="0.25">
      <c r="A34" s="296"/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</row>
    <row r="35" spans="1:50" ht="26.25" customHeight="1" x14ac:dyDescent="0.25">
      <c r="A35" s="296"/>
      <c r="B35" s="296"/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296"/>
      <c r="AN35" s="296"/>
      <c r="AO35" s="296"/>
      <c r="AP35" s="296"/>
      <c r="AQ35" s="296"/>
      <c r="AR35" s="296"/>
      <c r="AS35" s="296"/>
      <c r="AT35" s="296"/>
      <c r="AU35" s="296"/>
      <c r="AV35" s="296"/>
      <c r="AW35" s="296"/>
      <c r="AX35" s="296"/>
    </row>
    <row r="36" spans="1:50" ht="30" customHeight="1" x14ac:dyDescent="0.25">
      <c r="A36" s="296"/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</row>
    <row r="37" spans="1:50" ht="15" customHeight="1" x14ac:dyDescent="0.25">
      <c r="A37" s="296"/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  <c r="AV37" s="296"/>
      <c r="AW37" s="296"/>
      <c r="AX37" s="296"/>
    </row>
    <row r="38" spans="1:50" ht="15" customHeight="1" x14ac:dyDescent="0.25">
      <c r="A38" s="296"/>
      <c r="B38" s="296"/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</row>
    <row r="39" spans="1:50" ht="15" customHeight="1" x14ac:dyDescent="0.25">
      <c r="A39" s="296"/>
      <c r="B39" s="296"/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  <c r="AU39" s="296"/>
      <c r="AV39" s="296"/>
      <c r="AW39" s="296"/>
      <c r="AX39" s="296"/>
    </row>
    <row r="40" spans="1:50" ht="15" customHeight="1" x14ac:dyDescent="0.25">
      <c r="A40" s="296"/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</row>
    <row r="41" spans="1:50" ht="15" customHeight="1" x14ac:dyDescent="0.25">
      <c r="A41" s="296"/>
      <c r="B41" s="296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  <c r="AV41" s="296"/>
      <c r="AW41" s="296"/>
      <c r="AX41" s="296"/>
    </row>
    <row r="42" spans="1:50" ht="15" customHeight="1" x14ac:dyDescent="0.25">
      <c r="A42" s="296"/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</row>
    <row r="43" spans="1:50" ht="15" customHeight="1" x14ac:dyDescent="0.25">
      <c r="A43" s="296"/>
      <c r="B43" s="296"/>
      <c r="C43" s="296"/>
      <c r="D43" s="296"/>
      <c r="E43" s="296"/>
      <c r="F43" s="296"/>
      <c r="G43" s="296"/>
      <c r="H43" s="296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296"/>
      <c r="AN43" s="296"/>
      <c r="AO43" s="296"/>
      <c r="AP43" s="296"/>
      <c r="AQ43" s="296"/>
      <c r="AR43" s="296"/>
      <c r="AS43" s="296"/>
      <c r="AT43" s="296"/>
      <c r="AU43" s="296"/>
      <c r="AV43" s="296"/>
      <c r="AW43" s="296"/>
      <c r="AX43" s="296"/>
    </row>
    <row r="44" spans="1:50" ht="15" customHeight="1" x14ac:dyDescent="0.25">
      <c r="A44" s="296"/>
      <c r="B44" s="296"/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</row>
    <row r="45" spans="1:50" ht="15" customHeight="1" x14ac:dyDescent="0.25">
      <c r="A45" s="296"/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296"/>
      <c r="AN45" s="296"/>
      <c r="AO45" s="296"/>
      <c r="AP45" s="296"/>
      <c r="AQ45" s="296"/>
      <c r="AR45" s="296"/>
      <c r="AS45" s="296"/>
      <c r="AT45" s="296"/>
      <c r="AU45" s="296"/>
      <c r="AV45" s="296"/>
      <c r="AW45" s="296"/>
      <c r="AX45" s="296"/>
    </row>
    <row r="46" spans="1:50" ht="15" customHeight="1" x14ac:dyDescent="0.25">
      <c r="A46" s="296"/>
      <c r="B46" s="296"/>
      <c r="C46" s="296"/>
      <c r="D46" s="296"/>
      <c r="E46" s="296"/>
      <c r="F46" s="296"/>
      <c r="G46" s="296"/>
      <c r="H46" s="296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50"/>
      <c r="AF46" s="250"/>
      <c r="AG46" s="250"/>
    </row>
    <row r="47" spans="1:50" ht="15" customHeight="1" x14ac:dyDescent="0.25">
      <c r="A47" s="296"/>
      <c r="B47" s="296"/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50"/>
      <c r="AF47" s="250"/>
      <c r="AG47" s="250"/>
    </row>
    <row r="48" spans="1:50" ht="15" customHeight="1" x14ac:dyDescent="0.25">
      <c r="A48" s="296"/>
      <c r="B48" s="296"/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50"/>
      <c r="AF48" s="250"/>
      <c r="AG48" s="250"/>
    </row>
    <row r="49" spans="1:33" ht="15" customHeight="1" x14ac:dyDescent="0.25">
      <c r="A49" s="296"/>
      <c r="B49" s="296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50"/>
      <c r="AF49" s="250"/>
      <c r="AG49" s="250"/>
    </row>
    <row r="50" spans="1:33" ht="15" customHeight="1" x14ac:dyDescent="0.25">
      <c r="A50" s="296"/>
      <c r="B50" s="296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50"/>
      <c r="AF50" s="250"/>
      <c r="AG50" s="250"/>
    </row>
    <row r="51" spans="1:33" ht="15" customHeight="1" x14ac:dyDescent="0.25">
      <c r="A51" s="296"/>
      <c r="B51" s="296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/>
      <c r="V51" s="296"/>
      <c r="W51" s="296"/>
      <c r="X51" s="296"/>
      <c r="Y51" s="296"/>
      <c r="Z51" s="296"/>
      <c r="AA51" s="296"/>
      <c r="AB51" s="296"/>
      <c r="AC51" s="296"/>
      <c r="AD51" s="296"/>
      <c r="AE51" s="250"/>
      <c r="AF51" s="250"/>
      <c r="AG51" s="250"/>
    </row>
    <row r="52" spans="1:33" ht="15" customHeight="1" x14ac:dyDescent="0.25">
      <c r="A52" s="296"/>
      <c r="B52" s="296"/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50"/>
      <c r="AF52" s="250"/>
      <c r="AG52" s="250"/>
    </row>
    <row r="53" spans="1:33" ht="15" customHeight="1" x14ac:dyDescent="0.25">
      <c r="A53" s="296"/>
      <c r="B53" s="296"/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50"/>
      <c r="AF53" s="250"/>
      <c r="AG53" s="250"/>
    </row>
    <row r="54" spans="1:33" ht="15" customHeight="1" x14ac:dyDescent="0.25">
      <c r="A54" s="296"/>
      <c r="B54" s="296"/>
      <c r="C54" s="296"/>
      <c r="D54" s="296"/>
      <c r="E54" s="296"/>
      <c r="F54" s="296"/>
      <c r="G54" s="296"/>
      <c r="H54" s="296"/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50"/>
      <c r="AF54" s="250"/>
      <c r="AG54" s="250"/>
    </row>
    <row r="55" spans="1:33" ht="15" customHeight="1" x14ac:dyDescent="0.25">
      <c r="A55" s="296"/>
      <c r="B55" s="296"/>
      <c r="C55" s="296"/>
      <c r="D55" s="296"/>
      <c r="E55" s="296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50"/>
      <c r="AF55" s="250"/>
      <c r="AG55" s="250"/>
    </row>
    <row r="56" spans="1:33" ht="15" customHeight="1" x14ac:dyDescent="0.25">
      <c r="A56" s="296"/>
      <c r="B56" s="296"/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50"/>
      <c r="AF56" s="250"/>
      <c r="AG56" s="250"/>
    </row>
    <row r="57" spans="1:33" ht="15" customHeight="1" x14ac:dyDescent="0.25">
      <c r="A57" s="296"/>
      <c r="B57" s="296"/>
      <c r="C57" s="296"/>
      <c r="D57" s="296"/>
      <c r="E57" s="296"/>
      <c r="F57" s="296"/>
      <c r="G57" s="296"/>
      <c r="H57" s="296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50"/>
      <c r="AF57" s="250"/>
      <c r="AG57" s="250"/>
    </row>
    <row r="58" spans="1:33" ht="15" customHeight="1" x14ac:dyDescent="0.25">
      <c r="A58" s="296"/>
      <c r="B58" s="296"/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50"/>
      <c r="AF58" s="250"/>
      <c r="AG58" s="250"/>
    </row>
    <row r="59" spans="1:33" ht="15" customHeight="1" x14ac:dyDescent="0.25">
      <c r="A59" s="296"/>
      <c r="B59" s="296"/>
      <c r="C59" s="296"/>
      <c r="D59" s="296"/>
      <c r="E59" s="296"/>
      <c r="F59" s="296"/>
      <c r="G59" s="296"/>
      <c r="H59" s="296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50"/>
      <c r="AF59" s="250"/>
      <c r="AG59" s="250"/>
    </row>
    <row r="60" spans="1:33" ht="15" customHeight="1" x14ac:dyDescent="0.25">
      <c r="A60" s="296"/>
      <c r="B60" s="296"/>
      <c r="C60" s="296"/>
      <c r="D60" s="296"/>
      <c r="E60" s="296"/>
      <c r="F60" s="296"/>
      <c r="G60" s="296"/>
      <c r="H60" s="296"/>
      <c r="I60" s="296"/>
      <c r="J60" s="296"/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50"/>
      <c r="AF60" s="250"/>
      <c r="AG60" s="250"/>
    </row>
    <row r="61" spans="1:33" ht="15" customHeight="1" x14ac:dyDescent="0.25">
      <c r="A61" s="296"/>
      <c r="B61" s="296"/>
      <c r="C61" s="296"/>
      <c r="D61" s="296"/>
      <c r="E61" s="296"/>
      <c r="F61" s="296"/>
      <c r="G61" s="296"/>
      <c r="H61" s="296"/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50"/>
      <c r="AF61" s="250"/>
      <c r="AG61" s="250"/>
    </row>
    <row r="62" spans="1:33" ht="15" customHeight="1" x14ac:dyDescent="0.25">
      <c r="A62" s="296"/>
      <c r="B62" s="296"/>
      <c r="C62" s="296"/>
      <c r="D62" s="296"/>
      <c r="E62" s="296"/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50"/>
      <c r="AF62" s="250"/>
      <c r="AG62" s="250"/>
    </row>
    <row r="63" spans="1:33" ht="15" customHeight="1" x14ac:dyDescent="0.25">
      <c r="A63" s="247"/>
      <c r="B63" s="247"/>
      <c r="C63" s="247"/>
      <c r="D63" s="296"/>
      <c r="E63" s="296"/>
      <c r="F63" s="296"/>
      <c r="G63" s="296"/>
      <c r="H63" s="296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50"/>
      <c r="AF63" s="250"/>
      <c r="AG63" s="250"/>
    </row>
    <row r="64" spans="1:33" ht="15" customHeight="1" x14ac:dyDescent="0.25">
      <c r="A64" s="247"/>
      <c r="B64" s="247"/>
      <c r="C64" s="247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</row>
    <row r="65" spans="1:33" ht="15" customHeight="1" x14ac:dyDescent="0.25">
      <c r="A65" s="247"/>
      <c r="B65" s="247"/>
      <c r="C65" s="247"/>
      <c r="D65" s="296"/>
      <c r="E65" s="296"/>
      <c r="F65" s="296"/>
      <c r="G65" s="296"/>
      <c r="H65" s="296"/>
      <c r="I65" s="1577"/>
      <c r="J65" s="1577"/>
      <c r="K65" s="1577"/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</row>
    <row r="66" spans="1:33" ht="15" customHeight="1" x14ac:dyDescent="0.25">
      <c r="A66" s="247"/>
      <c r="B66" s="247"/>
      <c r="C66" s="247"/>
      <c r="D66" s="296"/>
      <c r="E66" s="296"/>
      <c r="F66" s="296"/>
      <c r="G66" s="296"/>
      <c r="H66" s="296"/>
      <c r="I66" s="296"/>
      <c r="J66" s="296"/>
      <c r="K66" s="296"/>
      <c r="L66" s="296"/>
      <c r="M66" s="296"/>
      <c r="N66" s="296"/>
      <c r="O66" s="296"/>
      <c r="P66" s="296"/>
      <c r="Q66" s="296"/>
      <c r="R66" s="296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</row>
    <row r="67" spans="1:33" ht="15" customHeight="1" x14ac:dyDescent="0.25">
      <c r="A67" s="247"/>
      <c r="B67" s="247"/>
      <c r="C67" s="247"/>
      <c r="D67" s="296"/>
      <c r="E67" s="296"/>
      <c r="F67" s="296"/>
      <c r="G67" s="296"/>
      <c r="H67" s="296"/>
      <c r="I67" s="296"/>
      <c r="J67" s="296"/>
      <c r="K67" s="296"/>
      <c r="L67" s="296"/>
      <c r="M67" s="296"/>
      <c r="N67" s="296"/>
      <c r="O67" s="296"/>
      <c r="P67" s="296"/>
      <c r="Q67" s="296"/>
      <c r="R67" s="296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</row>
    <row r="68" spans="1:33" ht="15" customHeight="1" x14ac:dyDescent="0.25">
      <c r="A68" s="247"/>
      <c r="B68" s="247"/>
      <c r="C68" s="247"/>
      <c r="D68" s="296"/>
      <c r="E68" s="296"/>
      <c r="F68" s="296"/>
      <c r="G68" s="296"/>
      <c r="H68" s="296"/>
      <c r="I68" s="296"/>
      <c r="J68" s="296"/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</row>
    <row r="69" spans="1:33" ht="15" customHeight="1" x14ac:dyDescent="0.25">
      <c r="A69" s="247"/>
      <c r="B69" s="247"/>
      <c r="C69" s="247"/>
      <c r="D69" s="296"/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</row>
    <row r="70" spans="1:33" ht="15" customHeight="1" x14ac:dyDescent="0.25">
      <c r="A70" s="247"/>
      <c r="B70" s="247"/>
      <c r="C70" s="247"/>
      <c r="D70" s="296"/>
      <c r="E70" s="296"/>
      <c r="F70" s="296"/>
      <c r="G70" s="296"/>
      <c r="H70" s="296"/>
      <c r="I70" s="296"/>
      <c r="J70" s="296"/>
      <c r="K70" s="296"/>
      <c r="L70" s="296"/>
      <c r="M70" s="296"/>
      <c r="N70" s="296"/>
      <c r="O70" s="296"/>
      <c r="P70" s="296"/>
      <c r="Q70" s="296"/>
      <c r="R70" s="296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</row>
    <row r="71" spans="1:33" ht="15" customHeight="1" x14ac:dyDescent="0.25">
      <c r="A71" s="247"/>
      <c r="B71" s="247"/>
      <c r="C71" s="247"/>
      <c r="D71" s="296"/>
      <c r="E71" s="296"/>
      <c r="F71" s="296"/>
      <c r="G71" s="296"/>
      <c r="H71" s="296"/>
      <c r="I71" s="296"/>
      <c r="J71" s="296"/>
      <c r="K71" s="296"/>
      <c r="L71" s="296"/>
      <c r="M71" s="296"/>
      <c r="N71" s="296"/>
      <c r="O71" s="296"/>
      <c r="P71" s="296"/>
      <c r="Q71" s="296"/>
      <c r="R71" s="296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</row>
    <row r="72" spans="1:33" ht="15" customHeight="1" x14ac:dyDescent="0.25">
      <c r="A72" s="247"/>
      <c r="B72" s="247"/>
      <c r="C72" s="247"/>
      <c r="D72" s="296"/>
      <c r="E72" s="296"/>
      <c r="F72" s="296"/>
      <c r="G72" s="296"/>
      <c r="H72" s="296"/>
      <c r="I72" s="296"/>
      <c r="J72" s="296"/>
      <c r="K72" s="296"/>
      <c r="L72" s="296"/>
      <c r="M72" s="296"/>
      <c r="N72" s="296"/>
      <c r="O72" s="296"/>
      <c r="P72" s="296"/>
      <c r="Q72" s="296"/>
      <c r="R72" s="296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</row>
    <row r="73" spans="1:33" ht="15.75" customHeight="1" x14ac:dyDescent="0.25">
      <c r="A73" s="247"/>
      <c r="B73" s="247"/>
      <c r="C73" s="247"/>
      <c r="D73" s="296"/>
      <c r="E73" s="296"/>
      <c r="F73" s="296"/>
      <c r="G73" s="296"/>
      <c r="H73" s="296"/>
      <c r="I73" s="296"/>
      <c r="J73" s="296"/>
      <c r="K73" s="296"/>
      <c r="L73" s="296"/>
      <c r="M73" s="296"/>
      <c r="N73" s="296"/>
      <c r="O73" s="296"/>
      <c r="P73" s="296"/>
      <c r="Q73" s="296"/>
      <c r="R73" s="296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</row>
    <row r="74" spans="1:33" ht="15.75" customHeight="1" x14ac:dyDescent="0.25">
      <c r="A74" s="247"/>
      <c r="B74" s="247"/>
      <c r="C74" s="247"/>
      <c r="D74" s="296"/>
      <c r="E74" s="296"/>
      <c r="F74" s="296"/>
      <c r="G74" s="296"/>
      <c r="H74" s="296"/>
      <c r="I74" s="296"/>
      <c r="J74" s="296"/>
      <c r="K74" s="296"/>
      <c r="L74" s="296"/>
      <c r="M74" s="296"/>
      <c r="N74" s="296"/>
      <c r="O74" s="296"/>
      <c r="P74" s="296"/>
      <c r="Q74" s="296"/>
      <c r="R74" s="296"/>
      <c r="S74" s="296"/>
      <c r="T74" s="296"/>
      <c r="U74" s="296"/>
      <c r="V74" s="296"/>
      <c r="W74" s="296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</row>
    <row r="75" spans="1:33" ht="15" customHeight="1" x14ac:dyDescent="0.25">
      <c r="A75" s="247"/>
      <c r="B75" s="247"/>
      <c r="C75" s="247"/>
      <c r="D75" s="296"/>
      <c r="E75" s="296"/>
      <c r="F75" s="296"/>
      <c r="G75" s="296"/>
      <c r="H75" s="296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</row>
    <row r="76" spans="1:33" ht="15" customHeight="1" x14ac:dyDescent="0.25">
      <c r="A76" s="247"/>
      <c r="B76" s="247"/>
      <c r="C76" s="247"/>
      <c r="D76" s="296"/>
      <c r="E76" s="296"/>
      <c r="F76" s="296"/>
      <c r="G76" s="296"/>
      <c r="H76" s="296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</row>
    <row r="77" spans="1:33" ht="15" customHeight="1" x14ac:dyDescent="0.25">
      <c r="A77" s="247"/>
      <c r="B77" s="247"/>
      <c r="C77" s="247"/>
      <c r="D77" s="296"/>
      <c r="E77" s="296"/>
      <c r="F77" s="296"/>
      <c r="G77" s="296"/>
      <c r="H77" s="296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</row>
    <row r="78" spans="1:33" ht="15" customHeight="1" x14ac:dyDescent="0.25">
      <c r="A78" s="247"/>
      <c r="B78" s="247"/>
      <c r="C78" s="247"/>
      <c r="D78" s="296"/>
      <c r="E78" s="296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</row>
    <row r="79" spans="1:33" ht="15" customHeight="1" x14ac:dyDescent="0.25">
      <c r="A79" s="247"/>
      <c r="B79" s="247"/>
      <c r="C79" s="247"/>
      <c r="D79" s="296"/>
      <c r="E79" s="296"/>
      <c r="F79" s="296"/>
      <c r="G79" s="296"/>
      <c r="H79" s="296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</row>
    <row r="80" spans="1:33" ht="15.75" customHeight="1" x14ac:dyDescent="0.25">
      <c r="A80" s="247"/>
      <c r="B80" s="247"/>
      <c r="C80" s="247"/>
      <c r="D80" s="296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</row>
    <row r="81" spans="1:33" ht="15.75" customHeight="1" x14ac:dyDescent="0.25">
      <c r="A81" s="247"/>
      <c r="B81" s="247"/>
      <c r="C81" s="247"/>
      <c r="D81" s="296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</row>
    <row r="82" spans="1:33" ht="15" customHeight="1" x14ac:dyDescent="0.25">
      <c r="A82" s="247"/>
      <c r="B82" s="247"/>
      <c r="C82" s="247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</row>
    <row r="83" spans="1:33" ht="15.75" customHeight="1" x14ac:dyDescent="0.25">
      <c r="A83" s="247"/>
      <c r="B83" s="247"/>
      <c r="C83" s="247"/>
      <c r="D83" s="296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</row>
    <row r="84" spans="1:33" ht="15.75" customHeight="1" x14ac:dyDescent="0.25">
      <c r="A84" s="247"/>
      <c r="B84" s="247"/>
      <c r="C84" s="247"/>
      <c r="D84" s="296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</row>
    <row r="85" spans="1:33" ht="15" customHeight="1" x14ac:dyDescent="0.25">
      <c r="A85" s="247"/>
      <c r="B85" s="247"/>
      <c r="C85" s="247"/>
      <c r="D85" s="296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</row>
    <row r="86" spans="1:33" ht="15" customHeight="1" x14ac:dyDescent="0.25">
      <c r="A86" s="247"/>
      <c r="B86" s="247"/>
      <c r="C86" s="247"/>
      <c r="D86" s="296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</row>
    <row r="87" spans="1:33" ht="15.75" x14ac:dyDescent="0.25">
      <c r="A87" s="247"/>
      <c r="B87" s="247"/>
      <c r="C87" s="247"/>
      <c r="D87" s="296"/>
      <c r="E87" s="296"/>
      <c r="F87" s="296"/>
      <c r="G87" s="296"/>
      <c r="H87" s="296"/>
      <c r="I87" s="296"/>
      <c r="J87" s="296"/>
      <c r="K87" s="296"/>
      <c r="L87" s="296"/>
      <c r="M87" s="296"/>
      <c r="N87" s="296"/>
      <c r="O87" s="296"/>
      <c r="P87" s="296"/>
      <c r="Q87" s="296"/>
      <c r="R87" s="296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</row>
    <row r="88" spans="1:33" ht="15.75" x14ac:dyDescent="0.25">
      <c r="A88" s="247"/>
      <c r="B88" s="247"/>
      <c r="C88" s="247"/>
      <c r="D88" s="296"/>
      <c r="E88" s="296"/>
      <c r="F88" s="296"/>
      <c r="G88" s="296"/>
      <c r="H88" s="296"/>
      <c r="I88" s="296"/>
      <c r="J88" s="296"/>
      <c r="K88" s="296"/>
      <c r="L88" s="296"/>
      <c r="M88" s="296"/>
      <c r="N88" s="296"/>
      <c r="O88" s="296"/>
      <c r="P88" s="296"/>
      <c r="Q88" s="296"/>
      <c r="R88" s="296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</row>
    <row r="89" spans="1:33" ht="15" customHeight="1" x14ac:dyDescent="0.25">
      <c r="A89" s="247"/>
      <c r="B89" s="247"/>
      <c r="C89" s="247"/>
      <c r="D89" s="296"/>
      <c r="E89" s="296"/>
      <c r="F89" s="296"/>
      <c r="G89" s="296"/>
      <c r="H89" s="296"/>
      <c r="I89" s="296"/>
      <c r="J89" s="296"/>
      <c r="K89" s="296"/>
      <c r="L89" s="296"/>
      <c r="M89" s="296"/>
      <c r="N89" s="296"/>
      <c r="O89" s="296"/>
      <c r="P89" s="296"/>
      <c r="Q89" s="296"/>
      <c r="R89" s="296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</row>
    <row r="90" spans="1:33" ht="15" customHeight="1" x14ac:dyDescent="0.25">
      <c r="A90" s="247"/>
      <c r="B90" s="247"/>
      <c r="C90" s="247"/>
      <c r="D90" s="296"/>
      <c r="E90" s="296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96"/>
      <c r="Q90" s="296"/>
      <c r="R90" s="296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</row>
    <row r="91" spans="1:33" ht="15" customHeight="1" x14ac:dyDescent="0.25">
      <c r="A91" s="247"/>
      <c r="B91" s="247"/>
      <c r="C91" s="247"/>
      <c r="D91" s="296"/>
      <c r="E91" s="296"/>
      <c r="F91" s="296"/>
      <c r="G91" s="296"/>
      <c r="H91" s="296"/>
      <c r="I91" s="296"/>
      <c r="J91" s="296"/>
      <c r="K91" s="296"/>
      <c r="L91" s="296"/>
      <c r="M91" s="296"/>
      <c r="N91" s="296"/>
      <c r="O91" s="296"/>
      <c r="P91" s="296"/>
      <c r="Q91" s="296"/>
      <c r="R91" s="296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</row>
    <row r="92" spans="1:33" ht="15" customHeight="1" x14ac:dyDescent="0.25">
      <c r="A92" s="247"/>
      <c r="B92" s="247"/>
      <c r="C92" s="247"/>
      <c r="D92" s="296"/>
      <c r="E92" s="296"/>
      <c r="F92" s="296"/>
      <c r="G92" s="296"/>
      <c r="H92" s="296"/>
      <c r="I92" s="296"/>
      <c r="J92" s="296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</row>
    <row r="93" spans="1:33" ht="15" customHeight="1" x14ac:dyDescent="0.25">
      <c r="A93" s="247"/>
      <c r="B93" s="247"/>
      <c r="C93" s="247"/>
      <c r="D93" s="296"/>
      <c r="E93" s="296"/>
      <c r="F93" s="296"/>
      <c r="G93" s="296"/>
      <c r="H93" s="296"/>
      <c r="I93" s="296"/>
      <c r="J93" s="296"/>
      <c r="K93" s="296"/>
      <c r="L93" s="296"/>
      <c r="M93" s="296"/>
      <c r="N93" s="296"/>
      <c r="O93" s="296"/>
      <c r="P93" s="296"/>
      <c r="Q93" s="296"/>
      <c r="R93" s="296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</row>
    <row r="94" spans="1:33" ht="15" customHeight="1" x14ac:dyDescent="0.25">
      <c r="A94" s="247"/>
      <c r="B94" s="247"/>
      <c r="C94" s="247"/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</row>
    <row r="95" spans="1:33" ht="15" customHeight="1" x14ac:dyDescent="0.25">
      <c r="A95" s="247"/>
      <c r="B95" s="247"/>
      <c r="C95" s="247"/>
      <c r="D95" s="296"/>
      <c r="E95" s="296"/>
      <c r="F95" s="296"/>
      <c r="G95" s="296"/>
      <c r="H95" s="296"/>
      <c r="I95" s="296"/>
      <c r="J95" s="296"/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</row>
    <row r="96" spans="1:33" ht="15" customHeight="1" x14ac:dyDescent="0.25">
      <c r="A96" s="247"/>
      <c r="B96" s="247"/>
      <c r="C96" s="247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</row>
    <row r="97" spans="1:33" ht="15" customHeight="1" x14ac:dyDescent="0.25">
      <c r="A97" s="247"/>
      <c r="B97" s="247"/>
      <c r="C97" s="247"/>
      <c r="D97" s="296"/>
      <c r="E97" s="296"/>
      <c r="F97" s="296"/>
      <c r="G97" s="296"/>
      <c r="H97" s="296"/>
      <c r="I97" s="296"/>
      <c r="J97" s="296"/>
      <c r="K97" s="296"/>
      <c r="L97" s="296"/>
      <c r="M97" s="296"/>
      <c r="N97" s="296"/>
      <c r="O97" s="296"/>
      <c r="P97" s="296"/>
      <c r="Q97" s="296"/>
      <c r="R97" s="296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</row>
    <row r="98" spans="1:33" ht="15" customHeight="1" x14ac:dyDescent="0.25">
      <c r="A98" s="247"/>
      <c r="B98" s="247"/>
      <c r="C98" s="247"/>
      <c r="D98" s="296"/>
      <c r="E98" s="296"/>
      <c r="F98" s="296"/>
      <c r="G98" s="296"/>
      <c r="H98" s="296"/>
      <c r="I98" s="296"/>
      <c r="J98" s="296"/>
      <c r="K98" s="296"/>
      <c r="L98" s="296"/>
      <c r="M98" s="296"/>
      <c r="N98" s="296"/>
      <c r="O98" s="296"/>
      <c r="P98" s="296"/>
      <c r="Q98" s="296"/>
      <c r="R98" s="296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</row>
    <row r="99" spans="1:33" ht="15" customHeight="1" x14ac:dyDescent="0.25">
      <c r="A99" s="247"/>
      <c r="B99" s="247"/>
      <c r="C99" s="247"/>
      <c r="D99" s="296"/>
      <c r="E99" s="296"/>
      <c r="F99" s="296"/>
      <c r="G99" s="296"/>
      <c r="H99" s="296"/>
      <c r="I99" s="296"/>
      <c r="J99" s="296"/>
      <c r="K99" s="296"/>
      <c r="L99" s="296"/>
      <c r="M99" s="296"/>
      <c r="N99" s="296"/>
      <c r="O99" s="296"/>
      <c r="P99" s="296"/>
      <c r="Q99" s="296"/>
      <c r="R99" s="296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</row>
    <row r="100" spans="1:33" ht="15" customHeight="1" x14ac:dyDescent="0.25">
      <c r="A100" s="247"/>
      <c r="B100" s="247"/>
      <c r="C100" s="247"/>
      <c r="D100" s="296"/>
      <c r="E100" s="296"/>
      <c r="F100" s="296"/>
      <c r="G100" s="296"/>
      <c r="H100" s="296"/>
      <c r="I100" s="296"/>
      <c r="J100" s="296"/>
      <c r="K100" s="296"/>
      <c r="L100" s="296"/>
      <c r="M100" s="296"/>
      <c r="N100" s="296"/>
      <c r="O100" s="296"/>
      <c r="P100" s="296"/>
      <c r="Q100" s="296"/>
      <c r="R100" s="296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</row>
    <row r="101" spans="1:33" ht="15" customHeight="1" x14ac:dyDescent="0.25">
      <c r="A101" s="247"/>
      <c r="B101" s="247"/>
      <c r="C101" s="247"/>
      <c r="D101" s="296"/>
      <c r="E101" s="296"/>
      <c r="F101" s="296"/>
      <c r="G101" s="296"/>
      <c r="H101" s="296"/>
      <c r="I101" s="296"/>
      <c r="J101" s="296"/>
      <c r="K101" s="296"/>
      <c r="L101" s="296"/>
      <c r="M101" s="296"/>
      <c r="N101" s="296"/>
      <c r="O101" s="296"/>
      <c r="P101" s="296"/>
      <c r="Q101" s="296"/>
      <c r="R101" s="296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</row>
    <row r="102" spans="1:33" ht="15" customHeight="1" x14ac:dyDescent="0.25">
      <c r="A102" s="247"/>
      <c r="B102" s="247"/>
      <c r="C102" s="247"/>
      <c r="D102" s="296"/>
      <c r="E102" s="296"/>
      <c r="F102" s="296"/>
      <c r="G102" s="296"/>
      <c r="H102" s="296"/>
      <c r="I102" s="296"/>
      <c r="J102" s="296"/>
      <c r="K102" s="296"/>
      <c r="L102" s="296"/>
      <c r="M102" s="296"/>
      <c r="N102" s="296"/>
      <c r="O102" s="296"/>
      <c r="P102" s="296"/>
      <c r="Q102" s="296"/>
      <c r="R102" s="296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</row>
    <row r="103" spans="1:33" ht="15" customHeight="1" x14ac:dyDescent="0.25">
      <c r="A103" s="247"/>
      <c r="B103" s="247"/>
      <c r="C103" s="247"/>
      <c r="D103" s="296"/>
      <c r="E103" s="296"/>
      <c r="F103" s="296"/>
      <c r="G103" s="296"/>
      <c r="H103" s="296"/>
      <c r="I103" s="296"/>
      <c r="J103" s="296"/>
      <c r="K103" s="296"/>
      <c r="L103" s="296"/>
      <c r="M103" s="296"/>
      <c r="N103" s="296"/>
      <c r="O103" s="296"/>
      <c r="P103" s="296"/>
      <c r="Q103" s="296"/>
      <c r="R103" s="296"/>
      <c r="S103" s="296"/>
      <c r="T103" s="296"/>
      <c r="U103" s="296"/>
      <c r="V103" s="296"/>
      <c r="W103" s="296"/>
      <c r="X103" s="296"/>
      <c r="Y103" s="296"/>
      <c r="Z103" s="296"/>
      <c r="AA103" s="296"/>
      <c r="AB103" s="296"/>
      <c r="AC103" s="296"/>
      <c r="AD103" s="296"/>
      <c r="AE103" s="296"/>
      <c r="AF103" s="296"/>
      <c r="AG103" s="296"/>
    </row>
    <row r="104" spans="1:33" ht="15" customHeight="1" x14ac:dyDescent="0.25">
      <c r="A104" s="247"/>
      <c r="B104" s="247"/>
      <c r="C104" s="247"/>
      <c r="D104" s="296"/>
      <c r="E104" s="296"/>
      <c r="F104" s="296"/>
      <c r="G104" s="296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296"/>
      <c r="S104" s="296"/>
      <c r="T104" s="296"/>
      <c r="U104" s="296"/>
      <c r="V104" s="296"/>
      <c r="W104" s="296"/>
      <c r="X104" s="296"/>
      <c r="Y104" s="296"/>
      <c r="Z104" s="296"/>
      <c r="AA104" s="296"/>
      <c r="AB104" s="296"/>
      <c r="AC104" s="296"/>
      <c r="AD104" s="296"/>
      <c r="AE104" s="296"/>
      <c r="AF104" s="296"/>
      <c r="AG104" s="296"/>
    </row>
    <row r="105" spans="1:33" ht="15" customHeight="1" x14ac:dyDescent="0.25">
      <c r="A105" s="247"/>
      <c r="B105" s="247"/>
      <c r="C105" s="247"/>
      <c r="D105" s="296"/>
      <c r="E105" s="296"/>
      <c r="F105" s="296"/>
      <c r="G105" s="296"/>
      <c r="H105" s="296"/>
      <c r="I105" s="296"/>
      <c r="J105" s="296"/>
      <c r="K105" s="296"/>
      <c r="L105" s="296"/>
      <c r="M105" s="296"/>
      <c r="N105" s="296"/>
      <c r="O105" s="296"/>
      <c r="P105" s="296"/>
      <c r="Q105" s="296"/>
      <c r="R105" s="296"/>
      <c r="S105" s="296"/>
      <c r="T105" s="296"/>
      <c r="U105" s="296"/>
      <c r="V105" s="296"/>
      <c r="W105" s="296"/>
      <c r="X105" s="296"/>
      <c r="Y105" s="296"/>
      <c r="Z105" s="296"/>
      <c r="AA105" s="296"/>
      <c r="AB105" s="296"/>
      <c r="AC105" s="296"/>
      <c r="AD105" s="296"/>
      <c r="AE105" s="296"/>
      <c r="AF105" s="296"/>
      <c r="AG105" s="296"/>
    </row>
    <row r="106" spans="1:33" ht="15" customHeight="1" x14ac:dyDescent="0.25">
      <c r="A106" s="247"/>
      <c r="B106" s="247"/>
      <c r="C106" s="247"/>
      <c r="D106" s="296"/>
      <c r="E106" s="296"/>
      <c r="F106" s="296"/>
      <c r="G106" s="296"/>
      <c r="H106" s="296"/>
      <c r="I106" s="296"/>
      <c r="J106" s="296"/>
      <c r="K106" s="296"/>
      <c r="L106" s="296"/>
      <c r="M106" s="296"/>
      <c r="N106" s="296"/>
      <c r="O106" s="296"/>
      <c r="P106" s="296"/>
      <c r="Q106" s="296"/>
      <c r="R106" s="296"/>
      <c r="S106" s="296"/>
      <c r="T106" s="296"/>
      <c r="U106" s="296"/>
      <c r="V106" s="296"/>
      <c r="W106" s="296"/>
      <c r="X106" s="296"/>
      <c r="Y106" s="296"/>
      <c r="Z106" s="296"/>
      <c r="AA106" s="296"/>
      <c r="AB106" s="296"/>
      <c r="AC106" s="296"/>
      <c r="AD106" s="296"/>
      <c r="AE106" s="296"/>
      <c r="AF106" s="296"/>
      <c r="AG106" s="296"/>
    </row>
    <row r="107" spans="1:33" ht="15" customHeight="1" x14ac:dyDescent="0.25">
      <c r="A107" s="247"/>
      <c r="B107" s="247"/>
      <c r="C107" s="247"/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6"/>
      <c r="O107" s="296"/>
      <c r="P107" s="296"/>
      <c r="Q107" s="296"/>
      <c r="R107" s="296"/>
      <c r="S107" s="296"/>
      <c r="T107" s="296"/>
      <c r="U107" s="296"/>
      <c r="V107" s="296"/>
      <c r="W107" s="296"/>
      <c r="X107" s="296"/>
      <c r="Y107" s="296"/>
      <c r="Z107" s="296"/>
      <c r="AA107" s="296"/>
      <c r="AB107" s="296"/>
      <c r="AC107" s="296"/>
      <c r="AD107" s="296"/>
      <c r="AE107" s="296"/>
      <c r="AF107" s="296"/>
      <c r="AG107" s="296"/>
    </row>
    <row r="108" spans="1:33" ht="15" customHeight="1" x14ac:dyDescent="0.25">
      <c r="A108" s="247"/>
      <c r="B108" s="247"/>
      <c r="C108" s="247"/>
      <c r="D108" s="296"/>
      <c r="E108" s="296"/>
      <c r="F108" s="296"/>
      <c r="G108" s="296"/>
      <c r="H108" s="296"/>
      <c r="I108" s="296"/>
      <c r="J108" s="296"/>
      <c r="K108" s="296"/>
      <c r="L108" s="296"/>
      <c r="M108" s="296"/>
      <c r="N108" s="296"/>
      <c r="O108" s="296"/>
      <c r="P108" s="296"/>
      <c r="Q108" s="296"/>
      <c r="R108" s="296"/>
      <c r="S108" s="296"/>
      <c r="T108" s="296"/>
      <c r="U108" s="296"/>
      <c r="V108" s="296"/>
      <c r="W108" s="296"/>
      <c r="X108" s="296"/>
      <c r="Y108" s="296"/>
      <c r="Z108" s="296"/>
      <c r="AA108" s="296"/>
      <c r="AB108" s="296"/>
      <c r="AC108" s="296"/>
      <c r="AD108" s="296"/>
      <c r="AE108" s="296"/>
      <c r="AF108" s="296"/>
      <c r="AG108" s="296"/>
    </row>
    <row r="109" spans="1:33" ht="15" customHeight="1" x14ac:dyDescent="0.25">
      <c r="A109" s="247"/>
      <c r="B109" s="247"/>
      <c r="C109" s="247"/>
      <c r="D109" s="296"/>
      <c r="E109" s="296"/>
      <c r="F109" s="296"/>
      <c r="G109" s="296"/>
      <c r="H109" s="296"/>
      <c r="I109" s="296"/>
      <c r="J109" s="296"/>
      <c r="K109" s="296"/>
      <c r="L109" s="296"/>
      <c r="M109" s="296"/>
      <c r="N109" s="296"/>
      <c r="O109" s="296"/>
      <c r="P109" s="296"/>
      <c r="Q109" s="296"/>
      <c r="R109" s="296"/>
      <c r="S109" s="296"/>
      <c r="T109" s="296"/>
      <c r="U109" s="296"/>
      <c r="V109" s="296"/>
      <c r="W109" s="296"/>
      <c r="X109" s="296"/>
      <c r="Y109" s="296"/>
      <c r="Z109" s="296"/>
      <c r="AA109" s="296"/>
      <c r="AB109" s="296"/>
      <c r="AC109" s="296"/>
      <c r="AD109" s="296"/>
      <c r="AE109" s="296"/>
      <c r="AF109" s="296"/>
      <c r="AG109" s="296"/>
    </row>
    <row r="110" spans="1:33" ht="15.75" customHeight="1" x14ac:dyDescent="0.25">
      <c r="A110" s="247"/>
      <c r="B110" s="247"/>
      <c r="C110" s="247"/>
      <c r="D110" s="296"/>
      <c r="E110" s="296"/>
      <c r="F110" s="296"/>
      <c r="G110" s="296"/>
      <c r="H110" s="296"/>
      <c r="I110" s="296"/>
      <c r="J110" s="296"/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6"/>
      <c r="AE110" s="296"/>
      <c r="AF110" s="296"/>
      <c r="AG110" s="296"/>
    </row>
    <row r="111" spans="1:33" ht="15.75" customHeight="1" x14ac:dyDescent="0.25">
      <c r="A111" s="247"/>
      <c r="B111" s="247"/>
      <c r="C111" s="247"/>
      <c r="D111" s="296"/>
      <c r="E111" s="296"/>
      <c r="F111" s="296"/>
      <c r="G111" s="296"/>
      <c r="H111" s="296"/>
      <c r="I111" s="296"/>
      <c r="J111" s="296"/>
      <c r="K111" s="296"/>
      <c r="L111" s="296"/>
      <c r="M111" s="296"/>
      <c r="N111" s="296"/>
      <c r="O111" s="296"/>
      <c r="P111" s="296"/>
      <c r="Q111" s="296"/>
      <c r="R111" s="296"/>
      <c r="S111" s="296"/>
      <c r="T111" s="296"/>
      <c r="U111" s="296"/>
      <c r="V111" s="296"/>
      <c r="W111" s="296"/>
      <c r="X111" s="296"/>
      <c r="Y111" s="296"/>
      <c r="Z111" s="296"/>
      <c r="AA111" s="296"/>
      <c r="AB111" s="296"/>
      <c r="AC111" s="296"/>
      <c r="AD111" s="296"/>
      <c r="AE111" s="296"/>
      <c r="AF111" s="296"/>
      <c r="AG111" s="296"/>
    </row>
    <row r="112" spans="1:33" ht="15" customHeight="1" x14ac:dyDescent="0.25">
      <c r="A112" s="247"/>
      <c r="B112" s="247"/>
      <c r="C112" s="247"/>
      <c r="D112" s="296"/>
      <c r="E112" s="296"/>
      <c r="F112" s="296"/>
      <c r="G112" s="296"/>
      <c r="H112" s="296"/>
      <c r="I112" s="296"/>
      <c r="J112" s="296"/>
      <c r="K112" s="296"/>
      <c r="L112" s="296"/>
      <c r="M112" s="296"/>
      <c r="N112" s="296"/>
      <c r="O112" s="296"/>
      <c r="P112" s="296"/>
      <c r="Q112" s="296"/>
      <c r="R112" s="296"/>
      <c r="S112" s="296"/>
      <c r="T112" s="296"/>
      <c r="U112" s="296"/>
      <c r="V112" s="296"/>
      <c r="W112" s="296"/>
      <c r="X112" s="296"/>
      <c r="Y112" s="296"/>
      <c r="Z112" s="296"/>
      <c r="AA112" s="296"/>
      <c r="AB112" s="296"/>
      <c r="AC112" s="296"/>
      <c r="AD112" s="296"/>
      <c r="AE112" s="296"/>
      <c r="AF112" s="296"/>
      <c r="AG112" s="296"/>
    </row>
    <row r="113" spans="1:33" ht="15" customHeight="1" x14ac:dyDescent="0.25">
      <c r="A113" s="247"/>
      <c r="B113" s="247"/>
      <c r="C113" s="247"/>
      <c r="D113" s="296"/>
      <c r="E113" s="296"/>
      <c r="F113" s="296"/>
      <c r="G113" s="296"/>
      <c r="H113" s="296"/>
      <c r="I113" s="296"/>
      <c r="J113" s="296"/>
      <c r="K113" s="296"/>
      <c r="L113" s="296"/>
      <c r="M113" s="296"/>
      <c r="N113" s="296"/>
      <c r="O113" s="296"/>
      <c r="P113" s="296"/>
      <c r="Q113" s="296"/>
      <c r="R113" s="296"/>
      <c r="S113" s="296"/>
      <c r="T113" s="296"/>
      <c r="U113" s="296"/>
      <c r="V113" s="296"/>
      <c r="W113" s="296"/>
      <c r="X113" s="296"/>
      <c r="Y113" s="296"/>
      <c r="Z113" s="296"/>
      <c r="AA113" s="296"/>
      <c r="AB113" s="296"/>
      <c r="AC113" s="296"/>
      <c r="AD113" s="296"/>
      <c r="AE113" s="296"/>
      <c r="AF113" s="296"/>
      <c r="AG113" s="296"/>
    </row>
    <row r="114" spans="1:33" ht="15" customHeight="1" x14ac:dyDescent="0.25">
      <c r="A114" s="247"/>
      <c r="B114" s="247"/>
      <c r="C114" s="247"/>
      <c r="D114" s="296"/>
      <c r="E114" s="296"/>
      <c r="F114" s="296"/>
      <c r="G114" s="296"/>
      <c r="H114" s="296"/>
      <c r="I114" s="296"/>
      <c r="J114" s="296"/>
      <c r="K114" s="296"/>
      <c r="L114" s="296"/>
      <c r="M114" s="296"/>
      <c r="N114" s="296"/>
      <c r="O114" s="296"/>
      <c r="P114" s="296"/>
      <c r="Q114" s="296"/>
      <c r="R114" s="296"/>
      <c r="S114" s="296"/>
      <c r="T114" s="296"/>
      <c r="U114" s="296"/>
      <c r="V114" s="296"/>
      <c r="W114" s="296"/>
      <c r="X114" s="296"/>
      <c r="Y114" s="296"/>
      <c r="Z114" s="296"/>
      <c r="AA114" s="296"/>
      <c r="AB114" s="296"/>
      <c r="AC114" s="296"/>
      <c r="AD114" s="296"/>
      <c r="AE114" s="296"/>
      <c r="AF114" s="296"/>
      <c r="AG114" s="296"/>
    </row>
    <row r="115" spans="1:33" ht="15" customHeight="1" x14ac:dyDescent="0.25">
      <c r="A115" s="247"/>
      <c r="B115" s="247"/>
      <c r="C115" s="247"/>
      <c r="D115" s="296"/>
      <c r="E115" s="296"/>
      <c r="F115" s="296"/>
      <c r="G115" s="296"/>
      <c r="H115" s="296"/>
      <c r="I115" s="296"/>
      <c r="J115" s="296"/>
      <c r="K115" s="296"/>
      <c r="L115" s="296"/>
      <c r="M115" s="296"/>
      <c r="N115" s="296"/>
      <c r="O115" s="296"/>
      <c r="P115" s="296"/>
      <c r="Q115" s="296"/>
      <c r="R115" s="296"/>
      <c r="S115" s="296"/>
      <c r="T115" s="296"/>
      <c r="U115" s="296"/>
      <c r="V115" s="296"/>
      <c r="W115" s="296"/>
      <c r="X115" s="296"/>
      <c r="Y115" s="296"/>
      <c r="Z115" s="296"/>
      <c r="AA115" s="296"/>
      <c r="AB115" s="296"/>
      <c r="AC115" s="296"/>
      <c r="AD115" s="296"/>
      <c r="AE115" s="296"/>
      <c r="AF115" s="296"/>
      <c r="AG115" s="296"/>
    </row>
    <row r="116" spans="1:33" ht="15" customHeight="1" x14ac:dyDescent="0.25">
      <c r="A116" s="247"/>
      <c r="B116" s="247"/>
      <c r="C116" s="247"/>
      <c r="D116" s="296"/>
      <c r="E116" s="296"/>
      <c r="F116" s="296"/>
      <c r="G116" s="296"/>
      <c r="H116" s="296"/>
      <c r="I116" s="296"/>
      <c r="J116" s="296"/>
      <c r="K116" s="296"/>
      <c r="L116" s="296"/>
      <c r="M116" s="296"/>
      <c r="N116" s="296"/>
      <c r="O116" s="296"/>
      <c r="P116" s="296"/>
      <c r="Q116" s="296"/>
      <c r="R116" s="296"/>
      <c r="S116" s="296"/>
      <c r="T116" s="296"/>
      <c r="U116" s="296"/>
      <c r="V116" s="296"/>
      <c r="W116" s="296"/>
      <c r="X116" s="296"/>
      <c r="Y116" s="296"/>
      <c r="Z116" s="296"/>
      <c r="AA116" s="296"/>
      <c r="AB116" s="296"/>
      <c r="AC116" s="296"/>
      <c r="AD116" s="296"/>
      <c r="AE116" s="296"/>
      <c r="AF116" s="296"/>
      <c r="AG116" s="296"/>
    </row>
    <row r="117" spans="1:33" ht="15" customHeight="1" x14ac:dyDescent="0.25">
      <c r="A117" s="247"/>
      <c r="B117" s="247"/>
      <c r="C117" s="247"/>
      <c r="D117" s="296"/>
      <c r="E117" s="296"/>
      <c r="F117" s="296"/>
      <c r="G117" s="296"/>
      <c r="H117" s="296"/>
      <c r="I117" s="296"/>
      <c r="J117" s="296"/>
      <c r="K117" s="296"/>
      <c r="L117" s="296"/>
      <c r="M117" s="296"/>
      <c r="N117" s="296"/>
      <c r="O117" s="296"/>
      <c r="P117" s="296"/>
      <c r="Q117" s="296"/>
      <c r="R117" s="296"/>
      <c r="S117" s="296"/>
      <c r="T117" s="296"/>
      <c r="U117" s="296"/>
      <c r="V117" s="296"/>
      <c r="W117" s="296"/>
      <c r="X117" s="296"/>
      <c r="Y117" s="296"/>
      <c r="Z117" s="296"/>
      <c r="AA117" s="296"/>
      <c r="AB117" s="296"/>
      <c r="AC117" s="296"/>
      <c r="AD117" s="296"/>
      <c r="AE117" s="296"/>
      <c r="AF117" s="296"/>
      <c r="AG117" s="296"/>
    </row>
    <row r="118" spans="1:33" ht="15.75" customHeight="1" x14ac:dyDescent="0.25">
      <c r="A118" s="247"/>
      <c r="B118" s="247"/>
      <c r="C118" s="247"/>
      <c r="D118" s="296"/>
      <c r="E118" s="296"/>
      <c r="F118" s="296"/>
      <c r="G118" s="296"/>
      <c r="H118" s="296"/>
      <c r="I118" s="296"/>
      <c r="J118" s="296"/>
      <c r="K118" s="296"/>
      <c r="L118" s="296"/>
      <c r="M118" s="296"/>
      <c r="N118" s="296"/>
      <c r="O118" s="296"/>
      <c r="P118" s="296"/>
      <c r="Q118" s="296"/>
      <c r="R118" s="296"/>
      <c r="S118" s="296"/>
      <c r="T118" s="296"/>
      <c r="U118" s="296"/>
      <c r="V118" s="296"/>
      <c r="W118" s="296"/>
      <c r="X118" s="296"/>
      <c r="Y118" s="296"/>
      <c r="Z118" s="296"/>
      <c r="AA118" s="296"/>
      <c r="AB118" s="296"/>
      <c r="AC118" s="296"/>
      <c r="AD118" s="296"/>
      <c r="AE118" s="296"/>
      <c r="AF118" s="296"/>
      <c r="AG118" s="296"/>
    </row>
    <row r="119" spans="1:33" ht="15.75" customHeight="1" x14ac:dyDescent="0.25">
      <c r="A119" s="247"/>
      <c r="B119" s="247"/>
      <c r="C119" s="247"/>
      <c r="D119" s="296"/>
      <c r="E119" s="296"/>
      <c r="F119" s="296"/>
      <c r="G119" s="296"/>
      <c r="H119" s="296"/>
      <c r="I119" s="296"/>
      <c r="J119" s="296"/>
      <c r="K119" s="296"/>
      <c r="L119" s="296"/>
      <c r="M119" s="296"/>
      <c r="N119" s="296"/>
      <c r="O119" s="296"/>
      <c r="P119" s="296"/>
      <c r="Q119" s="296"/>
      <c r="R119" s="296"/>
      <c r="S119" s="296"/>
      <c r="T119" s="296"/>
      <c r="U119" s="296"/>
      <c r="V119" s="296"/>
      <c r="W119" s="296"/>
      <c r="X119" s="296"/>
      <c r="Y119" s="296"/>
      <c r="Z119" s="296"/>
      <c r="AA119" s="296"/>
      <c r="AB119" s="296"/>
      <c r="AC119" s="296"/>
      <c r="AD119" s="296"/>
      <c r="AE119" s="296"/>
      <c r="AF119" s="296"/>
      <c r="AG119" s="296"/>
    </row>
    <row r="120" spans="1:33" ht="15" customHeight="1" x14ac:dyDescent="0.25">
      <c r="A120" s="247"/>
      <c r="B120" s="247"/>
      <c r="C120" s="247"/>
      <c r="D120" s="296"/>
      <c r="E120" s="296"/>
      <c r="F120" s="296"/>
      <c r="G120" s="296"/>
      <c r="H120" s="296"/>
      <c r="I120" s="296"/>
      <c r="J120" s="296"/>
      <c r="K120" s="296"/>
      <c r="L120" s="296"/>
      <c r="M120" s="296"/>
      <c r="N120" s="296"/>
      <c r="O120" s="296"/>
      <c r="P120" s="296"/>
      <c r="Q120" s="296"/>
      <c r="R120" s="296"/>
      <c r="S120" s="296"/>
      <c r="T120" s="296"/>
      <c r="U120" s="296"/>
      <c r="V120" s="296"/>
      <c r="W120" s="296"/>
      <c r="X120" s="296"/>
      <c r="Y120" s="296"/>
      <c r="Z120" s="296"/>
      <c r="AA120" s="296"/>
      <c r="AB120" s="296"/>
      <c r="AC120" s="296"/>
      <c r="AD120" s="296"/>
      <c r="AE120" s="296"/>
      <c r="AF120" s="296"/>
      <c r="AG120" s="296"/>
    </row>
    <row r="121" spans="1:33" ht="15" customHeight="1" x14ac:dyDescent="0.25">
      <c r="A121" s="247"/>
      <c r="B121" s="247"/>
      <c r="C121" s="247"/>
      <c r="D121" s="296"/>
      <c r="E121" s="296"/>
      <c r="F121" s="296"/>
      <c r="G121" s="296"/>
      <c r="H121" s="296"/>
      <c r="I121" s="296"/>
      <c r="J121" s="296"/>
      <c r="K121" s="296"/>
      <c r="L121" s="296"/>
      <c r="M121" s="296"/>
      <c r="N121" s="296"/>
      <c r="O121" s="296"/>
      <c r="P121" s="296"/>
      <c r="Q121" s="296"/>
      <c r="R121" s="296"/>
      <c r="S121" s="296"/>
      <c r="T121" s="296"/>
      <c r="U121" s="296"/>
      <c r="V121" s="296"/>
      <c r="W121" s="296"/>
      <c r="X121" s="296"/>
      <c r="Y121" s="296"/>
      <c r="Z121" s="296"/>
      <c r="AA121" s="296"/>
      <c r="AB121" s="296"/>
      <c r="AC121" s="296"/>
      <c r="AD121" s="296"/>
      <c r="AE121" s="296"/>
      <c r="AF121" s="296"/>
      <c r="AG121" s="296"/>
    </row>
    <row r="122" spans="1:33" ht="15" customHeight="1" x14ac:dyDescent="0.25">
      <c r="A122" s="247"/>
      <c r="B122" s="247"/>
      <c r="C122" s="247"/>
      <c r="D122" s="296"/>
      <c r="E122" s="296"/>
      <c r="F122" s="296"/>
      <c r="G122" s="296"/>
      <c r="H122" s="296"/>
      <c r="I122" s="296"/>
      <c r="J122" s="296"/>
      <c r="K122" s="296"/>
      <c r="L122" s="296"/>
      <c r="M122" s="296"/>
      <c r="N122" s="296"/>
      <c r="O122" s="296"/>
      <c r="P122" s="296"/>
      <c r="Q122" s="296"/>
      <c r="R122" s="296"/>
      <c r="S122" s="296"/>
      <c r="T122" s="296"/>
      <c r="U122" s="296"/>
      <c r="V122" s="296"/>
      <c r="W122" s="296"/>
      <c r="X122" s="296"/>
      <c r="Y122" s="296"/>
      <c r="Z122" s="296"/>
      <c r="AA122" s="296"/>
      <c r="AB122" s="296"/>
      <c r="AC122" s="296"/>
      <c r="AD122" s="296"/>
      <c r="AE122" s="296"/>
      <c r="AF122" s="296"/>
      <c r="AG122" s="296"/>
    </row>
    <row r="123" spans="1:33" ht="15" customHeight="1" x14ac:dyDescent="0.25">
      <c r="A123" s="247"/>
      <c r="B123" s="247"/>
      <c r="C123" s="247"/>
      <c r="D123" s="296"/>
      <c r="E123" s="296"/>
      <c r="F123" s="296"/>
      <c r="G123" s="296"/>
      <c r="H123" s="296"/>
      <c r="I123" s="296"/>
      <c r="J123" s="296"/>
      <c r="K123" s="296"/>
      <c r="L123" s="296"/>
      <c r="M123" s="296"/>
      <c r="N123" s="296"/>
      <c r="O123" s="296"/>
      <c r="P123" s="296"/>
      <c r="Q123" s="296"/>
      <c r="R123" s="296"/>
      <c r="S123" s="296"/>
      <c r="T123" s="296"/>
      <c r="U123" s="296"/>
      <c r="V123" s="296"/>
      <c r="W123" s="296"/>
      <c r="X123" s="296"/>
      <c r="Y123" s="296"/>
      <c r="Z123" s="296"/>
      <c r="AA123" s="296"/>
      <c r="AB123" s="296"/>
      <c r="AC123" s="296"/>
      <c r="AD123" s="296"/>
      <c r="AE123" s="296"/>
      <c r="AF123" s="296"/>
      <c r="AG123" s="296"/>
    </row>
    <row r="124" spans="1:33" ht="15" customHeight="1" x14ac:dyDescent="0.25">
      <c r="A124" s="247"/>
      <c r="B124" s="247"/>
      <c r="C124" s="247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96"/>
      <c r="Q124" s="296"/>
      <c r="R124" s="296"/>
      <c r="S124" s="296"/>
      <c r="T124" s="296"/>
      <c r="U124" s="296"/>
      <c r="V124" s="296"/>
      <c r="W124" s="296"/>
      <c r="X124" s="296"/>
      <c r="Y124" s="296"/>
      <c r="Z124" s="296"/>
      <c r="AA124" s="296"/>
      <c r="AB124" s="296"/>
      <c r="AC124" s="296"/>
      <c r="AD124" s="296"/>
      <c r="AE124" s="296"/>
      <c r="AF124" s="296"/>
      <c r="AG124" s="296"/>
    </row>
    <row r="125" spans="1:33" ht="15" customHeight="1" x14ac:dyDescent="0.25">
      <c r="B125" s="296"/>
      <c r="C125" s="296"/>
      <c r="D125" s="296"/>
      <c r="E125" s="296"/>
      <c r="F125" s="296"/>
      <c r="G125" s="296"/>
      <c r="H125" s="296"/>
      <c r="I125" s="296"/>
      <c r="J125" s="296"/>
      <c r="K125" s="296"/>
      <c r="L125" s="296"/>
      <c r="M125" s="296"/>
      <c r="N125" s="296"/>
      <c r="O125" s="296"/>
      <c r="P125" s="296"/>
      <c r="Q125" s="296"/>
      <c r="R125" s="296"/>
      <c r="S125" s="296"/>
      <c r="T125" s="296"/>
      <c r="U125" s="296"/>
      <c r="V125" s="296"/>
      <c r="W125" s="296"/>
      <c r="X125" s="296"/>
      <c r="Y125" s="296"/>
      <c r="Z125" s="296"/>
      <c r="AA125" s="296"/>
      <c r="AB125" s="296"/>
      <c r="AC125" s="296"/>
      <c r="AD125" s="296"/>
      <c r="AE125" s="296"/>
      <c r="AF125" s="296"/>
      <c r="AG125" s="296"/>
    </row>
    <row r="126" spans="1:33" ht="15" customHeight="1" x14ac:dyDescent="0.25">
      <c r="B126" s="296"/>
      <c r="C126" s="296"/>
      <c r="D126" s="296"/>
      <c r="E126" s="296"/>
      <c r="F126" s="296"/>
      <c r="G126" s="296"/>
      <c r="H126" s="296"/>
      <c r="I126" s="296"/>
      <c r="J126" s="296"/>
      <c r="K126" s="296"/>
      <c r="L126" s="296"/>
      <c r="M126" s="296"/>
      <c r="N126" s="296"/>
      <c r="O126" s="296"/>
      <c r="P126" s="296"/>
      <c r="Q126" s="296"/>
      <c r="R126" s="296"/>
      <c r="S126" s="296"/>
      <c r="T126" s="296"/>
      <c r="U126" s="296"/>
      <c r="V126" s="296"/>
      <c r="W126" s="296"/>
      <c r="X126" s="296"/>
      <c r="Y126" s="296"/>
      <c r="Z126" s="296"/>
      <c r="AA126" s="296"/>
      <c r="AB126" s="296"/>
      <c r="AC126" s="296"/>
      <c r="AD126" s="296"/>
      <c r="AE126" s="296"/>
      <c r="AF126" s="296"/>
      <c r="AG126" s="296"/>
    </row>
    <row r="127" spans="1:33" ht="15" customHeight="1" x14ac:dyDescent="0.25">
      <c r="B127" s="296"/>
      <c r="C127" s="296"/>
      <c r="D127" s="296"/>
      <c r="E127" s="296"/>
      <c r="F127" s="296"/>
      <c r="G127" s="296"/>
      <c r="H127" s="296"/>
      <c r="I127" s="296"/>
      <c r="J127" s="296"/>
      <c r="K127" s="296"/>
      <c r="L127" s="296"/>
      <c r="M127" s="296"/>
      <c r="N127" s="296"/>
      <c r="O127" s="296"/>
      <c r="P127" s="296"/>
      <c r="Q127" s="296"/>
      <c r="R127" s="296"/>
      <c r="S127" s="296"/>
      <c r="T127" s="296"/>
      <c r="U127" s="296"/>
      <c r="V127" s="296"/>
      <c r="W127" s="296"/>
      <c r="X127" s="296"/>
      <c r="Y127" s="296"/>
      <c r="Z127" s="296"/>
      <c r="AA127" s="296"/>
      <c r="AB127" s="296"/>
      <c r="AC127" s="296"/>
      <c r="AD127" s="296"/>
      <c r="AE127" s="296"/>
      <c r="AF127" s="296"/>
      <c r="AG127" s="296"/>
    </row>
    <row r="128" spans="1:33" ht="15" customHeight="1" x14ac:dyDescent="0.25">
      <c r="B128" s="296"/>
      <c r="C128" s="296"/>
      <c r="D128" s="296"/>
      <c r="E128" s="296"/>
      <c r="F128" s="296"/>
      <c r="G128" s="296"/>
      <c r="H128" s="296"/>
      <c r="I128" s="296"/>
      <c r="J128" s="296"/>
      <c r="K128" s="296"/>
      <c r="L128" s="296"/>
      <c r="M128" s="296"/>
      <c r="N128" s="296"/>
      <c r="O128" s="296"/>
      <c r="P128" s="296"/>
      <c r="Q128" s="296"/>
      <c r="R128" s="296"/>
      <c r="S128" s="296"/>
      <c r="T128" s="296"/>
      <c r="U128" s="296"/>
      <c r="V128" s="296"/>
      <c r="W128" s="296"/>
      <c r="X128" s="296"/>
      <c r="Y128" s="296"/>
      <c r="Z128" s="296"/>
      <c r="AA128" s="296"/>
      <c r="AB128" s="296"/>
      <c r="AC128" s="296"/>
      <c r="AD128" s="296"/>
      <c r="AE128" s="296"/>
      <c r="AF128" s="296"/>
      <c r="AG128" s="296"/>
    </row>
    <row r="129" spans="2:33" ht="15" customHeight="1" x14ac:dyDescent="0.25">
      <c r="B129" s="296"/>
      <c r="C129" s="296"/>
      <c r="D129" s="296"/>
      <c r="E129" s="296"/>
      <c r="F129" s="296"/>
      <c r="G129" s="296"/>
      <c r="H129" s="296"/>
      <c r="I129" s="296"/>
      <c r="J129" s="296"/>
      <c r="K129" s="296"/>
      <c r="L129" s="296"/>
      <c r="M129" s="296"/>
      <c r="N129" s="296"/>
      <c r="O129" s="296"/>
      <c r="P129" s="296"/>
      <c r="Q129" s="296"/>
      <c r="R129" s="296"/>
      <c r="S129" s="296"/>
      <c r="T129" s="296"/>
      <c r="U129" s="296"/>
      <c r="V129" s="296"/>
      <c r="W129" s="296"/>
      <c r="X129" s="296"/>
      <c r="Y129" s="296"/>
      <c r="Z129" s="296"/>
      <c r="AA129" s="296"/>
      <c r="AB129" s="296"/>
      <c r="AC129" s="296"/>
      <c r="AD129" s="296"/>
      <c r="AE129" s="296"/>
      <c r="AF129" s="296"/>
      <c r="AG129" s="296"/>
    </row>
    <row r="130" spans="2:33" ht="15" customHeight="1" x14ac:dyDescent="0.25">
      <c r="B130" s="296"/>
      <c r="C130" s="296"/>
      <c r="D130" s="296"/>
      <c r="E130" s="296"/>
      <c r="F130" s="296"/>
      <c r="G130" s="296"/>
      <c r="H130" s="296"/>
      <c r="I130" s="296"/>
      <c r="J130" s="296"/>
      <c r="K130" s="296"/>
      <c r="L130" s="296"/>
      <c r="M130" s="296"/>
      <c r="N130" s="296"/>
      <c r="O130" s="296"/>
      <c r="P130" s="296"/>
      <c r="Q130" s="296"/>
      <c r="R130" s="296"/>
      <c r="S130" s="296"/>
      <c r="T130" s="296"/>
      <c r="U130" s="296"/>
      <c r="V130" s="296"/>
      <c r="W130" s="296"/>
      <c r="X130" s="296"/>
      <c r="Y130" s="296"/>
      <c r="Z130" s="296"/>
      <c r="AA130" s="296"/>
      <c r="AB130" s="296"/>
      <c r="AC130" s="296"/>
      <c r="AD130" s="296"/>
      <c r="AE130" s="296"/>
      <c r="AF130" s="296"/>
      <c r="AG130" s="296"/>
    </row>
    <row r="131" spans="2:33" ht="15" customHeight="1" x14ac:dyDescent="0.25">
      <c r="B131" s="296"/>
      <c r="C131" s="296"/>
      <c r="D131" s="296"/>
      <c r="E131" s="296"/>
      <c r="F131" s="296"/>
      <c r="G131" s="296"/>
      <c r="H131" s="296"/>
      <c r="I131" s="296"/>
      <c r="J131" s="296"/>
      <c r="K131" s="296"/>
      <c r="L131" s="296"/>
      <c r="M131" s="296"/>
      <c r="N131" s="296"/>
      <c r="O131" s="296"/>
      <c r="P131" s="296"/>
      <c r="Q131" s="296"/>
      <c r="R131" s="296"/>
      <c r="S131" s="296"/>
      <c r="T131" s="296"/>
      <c r="U131" s="296"/>
      <c r="V131" s="296"/>
      <c r="W131" s="296"/>
      <c r="X131" s="296"/>
      <c r="Y131" s="296"/>
      <c r="Z131" s="296"/>
      <c r="AA131" s="296"/>
      <c r="AB131" s="296"/>
      <c r="AC131" s="296"/>
      <c r="AD131" s="296"/>
      <c r="AE131" s="296"/>
      <c r="AF131" s="296"/>
      <c r="AG131" s="296"/>
    </row>
    <row r="132" spans="2:33" ht="15" customHeight="1" x14ac:dyDescent="0.25">
      <c r="B132" s="296"/>
      <c r="C132" s="296"/>
      <c r="D132" s="296"/>
      <c r="E132" s="296"/>
      <c r="F132" s="296"/>
      <c r="G132" s="296"/>
      <c r="H132" s="296"/>
      <c r="I132" s="296"/>
      <c r="J132" s="296"/>
      <c r="K132" s="296"/>
      <c r="L132" s="296"/>
      <c r="M132" s="296"/>
      <c r="N132" s="296"/>
      <c r="O132" s="296"/>
      <c r="P132" s="296"/>
      <c r="Q132" s="296"/>
      <c r="R132" s="296"/>
      <c r="S132" s="296"/>
      <c r="T132" s="296"/>
      <c r="U132" s="296"/>
      <c r="V132" s="296"/>
      <c r="W132" s="296"/>
      <c r="X132" s="296"/>
      <c r="Y132" s="296"/>
      <c r="Z132" s="296"/>
      <c r="AA132" s="296"/>
      <c r="AB132" s="296"/>
      <c r="AC132" s="296"/>
      <c r="AD132" s="296"/>
      <c r="AE132" s="296"/>
      <c r="AF132" s="296"/>
      <c r="AG132" s="296"/>
    </row>
    <row r="133" spans="2:33" ht="15" customHeight="1" x14ac:dyDescent="0.25">
      <c r="B133" s="296"/>
      <c r="C133" s="296"/>
      <c r="D133" s="296"/>
      <c r="E133" s="296"/>
      <c r="F133" s="296"/>
      <c r="G133" s="296"/>
      <c r="H133" s="296"/>
      <c r="I133" s="296"/>
      <c r="J133" s="296"/>
      <c r="K133" s="296"/>
      <c r="L133" s="296"/>
      <c r="M133" s="296"/>
      <c r="N133" s="296"/>
      <c r="O133" s="296"/>
      <c r="P133" s="296"/>
      <c r="Q133" s="296"/>
      <c r="R133" s="296"/>
      <c r="S133" s="296"/>
      <c r="T133" s="296"/>
      <c r="U133" s="296"/>
      <c r="V133" s="296"/>
      <c r="W133" s="296"/>
      <c r="X133" s="296"/>
      <c r="Y133" s="296"/>
      <c r="Z133" s="296"/>
      <c r="AA133" s="296"/>
      <c r="AB133" s="296"/>
      <c r="AC133" s="296"/>
      <c r="AD133" s="296"/>
      <c r="AE133" s="296"/>
      <c r="AF133" s="296"/>
      <c r="AG133" s="296"/>
    </row>
  </sheetData>
  <mergeCells count="86">
    <mergeCell ref="V23:V24"/>
    <mergeCell ref="W23:W24"/>
    <mergeCell ref="AN23:AN24"/>
    <mergeCell ref="AO23:AO24"/>
    <mergeCell ref="X23:X24"/>
    <mergeCell ref="AI23:AI24"/>
    <mergeCell ref="AE23:AE24"/>
    <mergeCell ref="AF23:AF24"/>
    <mergeCell ref="AH23:AH24"/>
    <mergeCell ref="AK23:AK24"/>
    <mergeCell ref="AJ23:AJ24"/>
    <mergeCell ref="AL23:AL24"/>
    <mergeCell ref="AM23:AM24"/>
    <mergeCell ref="AW23:AW24"/>
    <mergeCell ref="AU23:AU24"/>
    <mergeCell ref="AP23:AP24"/>
    <mergeCell ref="AQ23:AQ24"/>
    <mergeCell ref="AR23:AR24"/>
    <mergeCell ref="AS23:AS24"/>
    <mergeCell ref="AT23:AT24"/>
    <mergeCell ref="AV23:AV24"/>
    <mergeCell ref="L23:M23"/>
    <mergeCell ref="AG23:AG24"/>
    <mergeCell ref="Y23:Y24"/>
    <mergeCell ref="Z23:Z24"/>
    <mergeCell ref="AA23:AA24"/>
    <mergeCell ref="AB23:AB24"/>
    <mergeCell ref="AC23:AC24"/>
    <mergeCell ref="AD23:AD24"/>
    <mergeCell ref="N23:N24"/>
    <mergeCell ref="O23:O24"/>
    <mergeCell ref="P23:P24"/>
    <mergeCell ref="Q23:Q24"/>
    <mergeCell ref="R23:R24"/>
    <mergeCell ref="S23:S24"/>
    <mergeCell ref="T23:T24"/>
    <mergeCell ref="U23:U24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P7:AP8"/>
    <mergeCell ref="AE7:AE8"/>
    <mergeCell ref="AF7:AF8"/>
    <mergeCell ref="AG7:AG8"/>
    <mergeCell ref="AB7:AB8"/>
    <mergeCell ref="AC7:AC8"/>
    <mergeCell ref="AD7:AD8"/>
    <mergeCell ref="P7:Q7"/>
    <mergeCell ref="R7:S7"/>
    <mergeCell ref="T7:U7"/>
    <mergeCell ref="V7:V8"/>
    <mergeCell ref="W7:W8"/>
    <mergeCell ref="AR7:AR8"/>
    <mergeCell ref="AS7:AS8"/>
    <mergeCell ref="AT7:AT8"/>
    <mergeCell ref="AH7:AH8"/>
    <mergeCell ref="AI7:AI8"/>
    <mergeCell ref="AO7:AO8"/>
    <mergeCell ref="AN7:AN8"/>
    <mergeCell ref="AJ7:AJ8"/>
    <mergeCell ref="AK7:AK8"/>
    <mergeCell ref="AL7:AL8"/>
    <mergeCell ref="AM7:AM8"/>
    <mergeCell ref="F7:F8"/>
    <mergeCell ref="J7:K7"/>
    <mergeCell ref="Y7:Y8"/>
    <mergeCell ref="Z7:Z8"/>
    <mergeCell ref="AQ7:AQ8"/>
    <mergeCell ref="AA7:AA8"/>
    <mergeCell ref="G7:G8"/>
    <mergeCell ref="H7:H8"/>
    <mergeCell ref="I7:I8"/>
    <mergeCell ref="L7:M7"/>
    <mergeCell ref="N7:O7"/>
    <mergeCell ref="X7:X8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landscape" verticalDpi="0" r:id="rId1"/>
  <ignoredErrors>
    <ignoredError sqref="T30" formula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selection activeCell="A32" sqref="A32"/>
    </sheetView>
  </sheetViews>
  <sheetFormatPr defaultRowHeight="15" x14ac:dyDescent="0.25"/>
  <cols>
    <col min="1" max="1" width="6.42578125" customWidth="1"/>
    <col min="2" max="2" width="28.5703125" customWidth="1"/>
    <col min="3" max="3" width="7.85546875" customWidth="1"/>
    <col min="4" max="4" width="7.5703125" customWidth="1"/>
    <col min="5" max="5" width="8" customWidth="1"/>
    <col min="6" max="6" width="8.42578125" customWidth="1"/>
    <col min="7" max="7" width="9.140625" customWidth="1"/>
    <col min="8" max="8" width="11" hidden="1" customWidth="1"/>
    <col min="9" max="9" width="11.5703125" hidden="1" customWidth="1"/>
    <col min="10" max="10" width="11.140625" customWidth="1"/>
    <col min="11" max="11" width="13.28515625" customWidth="1"/>
    <col min="12" max="12" width="11.28515625" hidden="1" customWidth="1"/>
    <col min="13" max="13" width="10.42578125" hidden="1" customWidth="1"/>
    <col min="14" max="14" width="11.140625" customWidth="1"/>
    <col min="15" max="15" width="11.42578125" hidden="1" customWidth="1"/>
    <col min="16" max="16" width="10.140625" hidden="1" customWidth="1"/>
    <col min="17" max="17" width="12.7109375" hidden="1" customWidth="1"/>
    <col min="18" max="18" width="10" hidden="1" customWidth="1"/>
    <col min="19" max="22" width="9.140625" hidden="1" customWidth="1"/>
    <col min="23" max="23" width="10" hidden="1" customWidth="1"/>
    <col min="24" max="24" width="0" hidden="1" customWidth="1"/>
    <col min="25" max="27" width="9.140625" hidden="1" customWidth="1"/>
    <col min="28" max="28" width="10.28515625" customWidth="1"/>
    <col min="30" max="30" width="0" hidden="1" customWidth="1"/>
    <col min="32" max="33" width="10.140625" customWidth="1"/>
  </cols>
  <sheetData>
    <row r="1" spans="1:33" ht="1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x14ac:dyDescent="0.25">
      <c r="A2" s="15"/>
      <c r="B2" s="493" t="s">
        <v>623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5" customHeight="1" x14ac:dyDescent="0.25">
      <c r="A3" s="15"/>
      <c r="B3" s="493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x14ac:dyDescent="0.25">
      <c r="A4" s="15"/>
      <c r="B4" s="493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5" customHeight="1" x14ac:dyDescent="0.25">
      <c r="A5" s="15"/>
      <c r="B5" s="493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 x14ac:dyDescent="0.25">
      <c r="A6" s="15"/>
      <c r="B6" s="49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5" customHeight="1" x14ac:dyDescent="0.25">
      <c r="A7" s="15"/>
      <c r="B7" s="493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ht="39" customHeight="1" x14ac:dyDescent="0.25">
      <c r="A8" s="2017" t="s">
        <v>0</v>
      </c>
      <c r="B8" s="2017" t="s">
        <v>184</v>
      </c>
      <c r="C8" s="2017" t="s">
        <v>54</v>
      </c>
      <c r="D8" s="2017" t="s">
        <v>55</v>
      </c>
      <c r="E8" s="2017" t="s">
        <v>56</v>
      </c>
      <c r="F8" s="2017" t="s">
        <v>57</v>
      </c>
      <c r="G8" s="2017" t="s">
        <v>6</v>
      </c>
      <c r="H8" s="2097" t="s">
        <v>593</v>
      </c>
      <c r="I8" s="2060"/>
      <c r="J8" s="2249" t="s">
        <v>310</v>
      </c>
      <c r="K8" s="2250"/>
      <c r="L8" s="2017" t="s">
        <v>598</v>
      </c>
      <c r="M8" s="2017"/>
      <c r="N8" s="1987" t="s">
        <v>457</v>
      </c>
      <c r="O8" s="2009" t="s">
        <v>370</v>
      </c>
      <c r="P8" s="1987" t="s">
        <v>333</v>
      </c>
      <c r="Q8" s="2003" t="s">
        <v>578</v>
      </c>
      <c r="R8" s="2003" t="s">
        <v>430</v>
      </c>
      <c r="S8" s="2003" t="s">
        <v>10</v>
      </c>
      <c r="T8" s="2003" t="s">
        <v>476</v>
      </c>
      <c r="U8" s="2003" t="s">
        <v>309</v>
      </c>
      <c r="V8" s="2003" t="s">
        <v>319</v>
      </c>
      <c r="W8" s="2194" t="s">
        <v>461</v>
      </c>
      <c r="X8" s="2107" t="s">
        <v>338</v>
      </c>
      <c r="Y8" s="2009" t="s">
        <v>321</v>
      </c>
      <c r="Z8" s="2005" t="s">
        <v>569</v>
      </c>
      <c r="AA8" s="1987" t="s">
        <v>369</v>
      </c>
      <c r="AB8" s="1987" t="s">
        <v>175</v>
      </c>
      <c r="AC8" s="2005" t="s">
        <v>610</v>
      </c>
      <c r="AD8" s="2005" t="s">
        <v>611</v>
      </c>
      <c r="AE8" s="2251" t="s">
        <v>182</v>
      </c>
      <c r="AF8" s="2302" t="s">
        <v>544</v>
      </c>
      <c r="AG8" s="2257" t="s">
        <v>566</v>
      </c>
    </row>
    <row r="9" spans="1:33" ht="56.25" customHeight="1" x14ac:dyDescent="0.25">
      <c r="A9" s="2017"/>
      <c r="B9" s="2017"/>
      <c r="C9" s="2017"/>
      <c r="D9" s="2017"/>
      <c r="E9" s="2017"/>
      <c r="F9" s="2017"/>
      <c r="G9" s="2017"/>
      <c r="H9" s="150" t="s">
        <v>15</v>
      </c>
      <c r="I9" s="1066" t="s">
        <v>16</v>
      </c>
      <c r="J9" s="51" t="s">
        <v>15</v>
      </c>
      <c r="K9" s="543" t="s">
        <v>16</v>
      </c>
      <c r="L9" s="150" t="s">
        <v>15</v>
      </c>
      <c r="M9" s="1066" t="s">
        <v>16</v>
      </c>
      <c r="N9" s="1988"/>
      <c r="O9" s="2009"/>
      <c r="P9" s="1988"/>
      <c r="Q9" s="2004"/>
      <c r="R9" s="2004"/>
      <c r="S9" s="2002"/>
      <c r="T9" s="2004"/>
      <c r="U9" s="2004"/>
      <c r="V9" s="2004"/>
      <c r="W9" s="2004"/>
      <c r="X9" s="2107"/>
      <c r="Y9" s="2009"/>
      <c r="Z9" s="2099"/>
      <c r="AA9" s="2002"/>
      <c r="AB9" s="1988"/>
      <c r="AC9" s="2006"/>
      <c r="AD9" s="2006"/>
      <c r="AE9" s="2252"/>
      <c r="AF9" s="2303"/>
      <c r="AG9" s="2258"/>
    </row>
    <row r="10" spans="1:33" x14ac:dyDescent="0.25">
      <c r="A10" s="13">
        <v>2</v>
      </c>
      <c r="B10" s="42" t="s">
        <v>237</v>
      </c>
      <c r="C10" s="705">
        <v>1964</v>
      </c>
      <c r="D10" s="705">
        <v>2</v>
      </c>
      <c r="E10" s="705">
        <v>12</v>
      </c>
      <c r="F10" s="705">
        <v>35</v>
      </c>
      <c r="G10" s="706">
        <v>503.3</v>
      </c>
      <c r="H10" s="706">
        <v>906.3</v>
      </c>
      <c r="I10" s="706">
        <v>421.5</v>
      </c>
      <c r="J10" s="625">
        <v>10810.88</v>
      </c>
      <c r="K10" s="625">
        <v>6472.21</v>
      </c>
      <c r="L10" s="625">
        <f>H10+J10</f>
        <v>11717.179999999998</v>
      </c>
      <c r="M10" s="625">
        <f>I10+K10</f>
        <v>6893.71</v>
      </c>
      <c r="N10" s="655">
        <f>O10+P10+Q10+R10+S10+T10+U10+V10+W10+X10+Y10+Z10+AA10</f>
        <v>5378.3913258862603</v>
      </c>
      <c r="O10" s="656">
        <v>19.97</v>
      </c>
      <c r="P10" s="656"/>
      <c r="Q10" s="656">
        <f>512.16/1004.7*G10</f>
        <v>256.56427590325467</v>
      </c>
      <c r="R10" s="656">
        <v>1315.72</v>
      </c>
      <c r="S10" s="656"/>
      <c r="T10" s="656"/>
      <c r="U10" s="656"/>
      <c r="V10" s="1117"/>
      <c r="W10" s="1117">
        <f>6777.35/21581.04*J10</f>
        <v>3395.0688923240032</v>
      </c>
      <c r="X10" s="1095">
        <f>780.66/1004.7*G10</f>
        <v>391.06815765900268</v>
      </c>
      <c r="Y10" s="1030"/>
      <c r="Z10" s="1030"/>
      <c r="AA10" s="1030"/>
      <c r="AB10" s="1095">
        <f>L10-N10</f>
        <v>6338.7886741137381</v>
      </c>
      <c r="AC10" s="524">
        <f>K10/J10*100</f>
        <v>59.86755934762018</v>
      </c>
      <c r="AD10" s="524">
        <f>I10/H10*100</f>
        <v>46.50777888116518</v>
      </c>
      <c r="AE10" s="1095">
        <f>N10/G10/4</f>
        <v>2.6715633448670077</v>
      </c>
      <c r="AF10" s="1129">
        <v>5.37</v>
      </c>
      <c r="AG10" s="47">
        <f>L10-M10</f>
        <v>4823.4699999999984</v>
      </c>
    </row>
    <row r="11" spans="1:33" ht="15" customHeight="1" x14ac:dyDescent="0.25">
      <c r="A11" s="13">
        <v>3</v>
      </c>
      <c r="B11" s="42" t="s">
        <v>238</v>
      </c>
      <c r="C11" s="705">
        <v>1967</v>
      </c>
      <c r="D11" s="705">
        <v>2</v>
      </c>
      <c r="E11" s="705">
        <v>12</v>
      </c>
      <c r="F11" s="705">
        <v>29</v>
      </c>
      <c r="G11" s="706">
        <v>501.4</v>
      </c>
      <c r="H11" s="706">
        <v>897</v>
      </c>
      <c r="I11" s="706">
        <v>517.07000000000005</v>
      </c>
      <c r="J11" s="625">
        <v>10770.16</v>
      </c>
      <c r="K11" s="625">
        <v>8710.35</v>
      </c>
      <c r="L11" s="625">
        <f t="shared" ref="L11:L14" si="0">H11+J11</f>
        <v>11667.16</v>
      </c>
      <c r="M11" s="625">
        <f t="shared" ref="M11:M14" si="1">I11+K11</f>
        <v>9227.42</v>
      </c>
      <c r="N11" s="655">
        <f>O11+P11+Q11+R11+S11+T11+U11+V11+W11+X11+Y11+Z11+AA11</f>
        <v>5372.9286741137403</v>
      </c>
      <c r="O11" s="656">
        <v>29.94</v>
      </c>
      <c r="P11" s="656"/>
      <c r="Q11" s="656">
        <f>512.16/1004.7*G11</f>
        <v>255.59572409674527</v>
      </c>
      <c r="R11" s="656">
        <v>1315.52</v>
      </c>
      <c r="S11" s="656"/>
      <c r="T11" s="656"/>
      <c r="U11" s="656"/>
      <c r="V11" s="1117"/>
      <c r="W11" s="1117">
        <f>6777.35/21581.04*J11</f>
        <v>3382.2811076759972</v>
      </c>
      <c r="X11" s="1095">
        <f>780.66/1004.7*G11</f>
        <v>389.59184234099729</v>
      </c>
      <c r="Y11" s="1030"/>
      <c r="Z11" s="1030"/>
      <c r="AA11" s="1030"/>
      <c r="AB11" s="1095">
        <f>L11-N11</f>
        <v>6294.2313258862596</v>
      </c>
      <c r="AC11" s="524">
        <f t="shared" ref="AC11:AC12" si="2">K11/J11*100</f>
        <v>80.874843084968106</v>
      </c>
      <c r="AD11" s="524">
        <f t="shared" ref="AD11:AD12" si="3">I11/H11*100</f>
        <v>57.644370122630995</v>
      </c>
      <c r="AE11" s="1095">
        <f t="shared" ref="AE11:AE12" si="4">N11/G11/4</f>
        <v>2.6789632399849124</v>
      </c>
      <c r="AF11" s="1129">
        <v>5.37</v>
      </c>
      <c r="AG11" s="47">
        <f>L11-M11</f>
        <v>2439.7399999999998</v>
      </c>
    </row>
    <row r="12" spans="1:33" x14ac:dyDescent="0.25">
      <c r="A12" s="13"/>
      <c r="B12" s="1143" t="s">
        <v>303</v>
      </c>
      <c r="C12" s="918"/>
      <c r="D12" s="918"/>
      <c r="E12" s="918">
        <f t="shared" ref="E12:AB12" si="5">SUM(E10:E11)</f>
        <v>24</v>
      </c>
      <c r="F12" s="918">
        <f t="shared" si="5"/>
        <v>64</v>
      </c>
      <c r="G12" s="692">
        <f t="shared" si="5"/>
        <v>1004.7</v>
      </c>
      <c r="H12" s="692">
        <f t="shared" si="5"/>
        <v>1803.3</v>
      </c>
      <c r="I12" s="692">
        <f t="shared" si="5"/>
        <v>938.57</v>
      </c>
      <c r="J12" s="56">
        <f t="shared" si="5"/>
        <v>21581.040000000001</v>
      </c>
      <c r="K12" s="56">
        <f t="shared" si="5"/>
        <v>15182.560000000001</v>
      </c>
      <c r="L12" s="56">
        <f t="shared" si="5"/>
        <v>23384.339999999997</v>
      </c>
      <c r="M12" s="56">
        <f t="shared" si="5"/>
        <v>16121.130000000001</v>
      </c>
      <c r="N12" s="1156">
        <f t="shared" si="5"/>
        <v>10751.32</v>
      </c>
      <c r="O12" s="1153">
        <f t="shared" si="5"/>
        <v>49.91</v>
      </c>
      <c r="P12" s="1153">
        <f t="shared" si="5"/>
        <v>0</v>
      </c>
      <c r="Q12" s="1153">
        <f t="shared" si="5"/>
        <v>512.16</v>
      </c>
      <c r="R12" s="1153">
        <f t="shared" si="5"/>
        <v>2631.24</v>
      </c>
      <c r="S12" s="1153">
        <f t="shared" si="5"/>
        <v>0</v>
      </c>
      <c r="T12" s="1153">
        <f t="shared" si="5"/>
        <v>0</v>
      </c>
      <c r="U12" s="1153">
        <f t="shared" si="5"/>
        <v>0</v>
      </c>
      <c r="V12" s="1154">
        <f t="shared" si="5"/>
        <v>0</v>
      </c>
      <c r="W12" s="1154">
        <f t="shared" si="5"/>
        <v>6777.35</v>
      </c>
      <c r="X12" s="1155">
        <f t="shared" si="5"/>
        <v>780.66</v>
      </c>
      <c r="Y12" s="1155">
        <f t="shared" si="5"/>
        <v>0</v>
      </c>
      <c r="Z12" s="1155">
        <f t="shared" si="5"/>
        <v>0</v>
      </c>
      <c r="AA12" s="1155">
        <f t="shared" si="5"/>
        <v>0</v>
      </c>
      <c r="AB12" s="1155">
        <f t="shared" si="5"/>
        <v>12633.019999999997</v>
      </c>
      <c r="AC12" s="535">
        <f t="shared" si="2"/>
        <v>70.351382509832703</v>
      </c>
      <c r="AD12" s="535">
        <f t="shared" si="3"/>
        <v>52.047357622137206</v>
      </c>
      <c r="AE12" s="1148">
        <f t="shared" si="4"/>
        <v>2.6752562954115655</v>
      </c>
      <c r="AF12" s="1149"/>
      <c r="AG12" s="1132">
        <f>SUM(AG10:AG11)</f>
        <v>7263.2099999999982</v>
      </c>
    </row>
    <row r="13" spans="1:33" ht="15" customHeight="1" x14ac:dyDescent="0.25">
      <c r="A13" s="36">
        <v>4</v>
      </c>
      <c r="B13" s="188" t="s">
        <v>541</v>
      </c>
      <c r="C13" s="1144">
        <v>1960</v>
      </c>
      <c r="D13" s="1144">
        <v>1</v>
      </c>
      <c r="E13" s="1144">
        <v>4</v>
      </c>
      <c r="F13" s="1144">
        <v>2</v>
      </c>
      <c r="G13" s="706">
        <v>66.3</v>
      </c>
      <c r="H13" s="706"/>
      <c r="I13" s="706"/>
      <c r="J13" s="871">
        <v>1336.64</v>
      </c>
      <c r="K13" s="871">
        <v>0</v>
      </c>
      <c r="L13" s="625">
        <f t="shared" si="0"/>
        <v>1336.64</v>
      </c>
      <c r="M13" s="625">
        <f t="shared" si="1"/>
        <v>0</v>
      </c>
      <c r="N13" s="1157">
        <f>O13+P13+Q13+R13+S13+T13+U13+V13+W13+X13+Y13+Z13+AA13</f>
        <v>501.90710254035332</v>
      </c>
      <c r="O13" s="1157"/>
      <c r="P13" s="1157"/>
      <c r="Q13" s="1157">
        <f>58.42/114.6*G13</f>
        <v>33.797958115183242</v>
      </c>
      <c r="R13" s="1157"/>
      <c r="S13" s="1157"/>
      <c r="T13" s="1157"/>
      <c r="U13" s="1157"/>
      <c r="V13" s="1157"/>
      <c r="W13" s="1157">
        <f>725.55/2310.36*L13</f>
        <v>419.76105541993451</v>
      </c>
      <c r="X13" s="1159">
        <f>83.57/114.6*G13</f>
        <v>48.3480890052356</v>
      </c>
      <c r="Y13" s="1158"/>
      <c r="Z13" s="1158"/>
      <c r="AA13" s="1158"/>
      <c r="AB13" s="1159">
        <f>L13-N13</f>
        <v>834.73289745964678</v>
      </c>
      <c r="AC13" s="591">
        <f>M13/L13*100</f>
        <v>0</v>
      </c>
      <c r="AD13" s="591"/>
      <c r="AE13" s="1159">
        <f>N13/G13/12</f>
        <v>0.63085357282598464</v>
      </c>
      <c r="AF13" s="678">
        <v>5.04</v>
      </c>
      <c r="AG13" s="1170">
        <f>L13-M13</f>
        <v>1336.64</v>
      </c>
    </row>
    <row r="14" spans="1:33" ht="15.75" thickBot="1" x14ac:dyDescent="0.3">
      <c r="A14" s="182">
        <v>5</v>
      </c>
      <c r="B14" s="188" t="s">
        <v>239</v>
      </c>
      <c r="C14" s="1145"/>
      <c r="D14" s="1146">
        <v>1</v>
      </c>
      <c r="E14" s="1146">
        <v>1</v>
      </c>
      <c r="F14" s="1146">
        <v>4</v>
      </c>
      <c r="G14" s="1099">
        <v>48.3</v>
      </c>
      <c r="H14" s="1099"/>
      <c r="I14" s="1160"/>
      <c r="J14" s="1161">
        <v>973.72</v>
      </c>
      <c r="K14" s="1161">
        <v>0</v>
      </c>
      <c r="L14" s="625">
        <f t="shared" si="0"/>
        <v>973.72</v>
      </c>
      <c r="M14" s="625">
        <f t="shared" si="1"/>
        <v>0</v>
      </c>
      <c r="N14" s="1157">
        <f>O14+P14+Q14+R14+S14+T14+U14+V14+W14+X14+Y14+Z14+AA14</f>
        <v>365.63289745964659</v>
      </c>
      <c r="O14" s="1162"/>
      <c r="P14" s="1163"/>
      <c r="Q14" s="1157">
        <f>58.42/114.6*G14</f>
        <v>24.622041884816753</v>
      </c>
      <c r="R14" s="1164"/>
      <c r="S14" s="1162"/>
      <c r="T14" s="1162"/>
      <c r="U14" s="1162"/>
      <c r="V14" s="1165"/>
      <c r="W14" s="1157">
        <f>725.55/2310.36*L14</f>
        <v>305.78894458006539</v>
      </c>
      <c r="X14" s="1159">
        <f>83.57/114.6*G14</f>
        <v>35.221910994764393</v>
      </c>
      <c r="Y14" s="1166"/>
      <c r="Z14" s="1166"/>
      <c r="AA14" s="1167"/>
      <c r="AB14" s="1159">
        <f>L14-N14</f>
        <v>608.0871025403535</v>
      </c>
      <c r="AC14" s="591">
        <f>M14/L14*100</f>
        <v>0</v>
      </c>
      <c r="AD14" s="1168"/>
      <c r="AE14" s="1169">
        <f>N14/G14/12</f>
        <v>0.6308366070732343</v>
      </c>
      <c r="AF14" s="1165">
        <v>5.04</v>
      </c>
      <c r="AG14" s="1170">
        <f>L14-M14</f>
        <v>973.72</v>
      </c>
    </row>
    <row r="15" spans="1:33" ht="16.5" customHeight="1" thickBot="1" x14ac:dyDescent="0.3">
      <c r="A15" s="1179"/>
      <c r="B15" s="1180" t="s">
        <v>624</v>
      </c>
      <c r="C15" s="1181"/>
      <c r="D15" s="1181"/>
      <c r="E15" s="1182">
        <f>SUM(E13:E14)</f>
        <v>5</v>
      </c>
      <c r="F15" s="1182">
        <f>SUM(F13:F14)</f>
        <v>6</v>
      </c>
      <c r="G15" s="1183">
        <f>SUM(G13:G14)</f>
        <v>114.6</v>
      </c>
      <c r="H15" s="1183"/>
      <c r="I15" s="1184"/>
      <c r="J15" s="1185">
        <f>SUM(J13:J14)</f>
        <v>2310.36</v>
      </c>
      <c r="K15" s="1186">
        <f>SUM(K13:K14)</f>
        <v>0</v>
      </c>
      <c r="L15" s="1186">
        <f>SUM(L13:L14)</f>
        <v>2310.36</v>
      </c>
      <c r="M15" s="1186">
        <f>SUM(M13:M14)</f>
        <v>0</v>
      </c>
      <c r="N15" s="1187">
        <f>SUM(N13:N14)</f>
        <v>867.54</v>
      </c>
      <c r="O15" s="1188"/>
      <c r="P15" s="1189"/>
      <c r="Q15" s="1189">
        <f>SUM(Q13:Q14)</f>
        <v>58.419999999999995</v>
      </c>
      <c r="R15" s="1189"/>
      <c r="S15" s="1189"/>
      <c r="T15" s="1189"/>
      <c r="U15" s="1189"/>
      <c r="V15" s="1189"/>
      <c r="W15" s="1189">
        <f>SUM(W13:W14)</f>
        <v>725.55</v>
      </c>
      <c r="X15" s="1189">
        <f>SUM(X13:X14)</f>
        <v>83.57</v>
      </c>
      <c r="Y15" s="1190"/>
      <c r="Z15" s="1191"/>
      <c r="AA15" s="1192"/>
      <c r="AB15" s="1193">
        <f>SUM(AB13:AB14)</f>
        <v>1442.8200000000002</v>
      </c>
      <c r="AC15" s="1194">
        <f>SUM(AC13:AC14)</f>
        <v>0</v>
      </c>
      <c r="AD15" s="1195"/>
      <c r="AE15" s="1196">
        <f>SUM(AE13:AE14)</f>
        <v>1.2616901798992188</v>
      </c>
      <c r="AF15" s="1197">
        <f>SUM(AF13:AF14)</f>
        <v>10.08</v>
      </c>
      <c r="AG15" s="1198">
        <f>SUM(AG13:AG14)</f>
        <v>2310.36</v>
      </c>
    </row>
    <row r="16" spans="1:33" ht="15.75" x14ac:dyDescent="0.25">
      <c r="A16" s="113"/>
      <c r="B16" s="1180" t="s">
        <v>625</v>
      </c>
      <c r="C16" s="1199"/>
      <c r="D16" s="1199"/>
      <c r="E16" s="1199">
        <f t="shared" ref="E16:AG16" si="6">E12+E15</f>
        <v>29</v>
      </c>
      <c r="F16" s="1199">
        <f t="shared" si="6"/>
        <v>70</v>
      </c>
      <c r="G16" s="1199">
        <f t="shared" si="6"/>
        <v>1119.3</v>
      </c>
      <c r="H16" s="1199">
        <f t="shared" si="6"/>
        <v>1803.3</v>
      </c>
      <c r="I16" s="1199">
        <f t="shared" si="6"/>
        <v>938.57</v>
      </c>
      <c r="J16" s="1199">
        <f t="shared" si="6"/>
        <v>23891.4</v>
      </c>
      <c r="K16" s="1199">
        <f t="shared" si="6"/>
        <v>15182.560000000001</v>
      </c>
      <c r="L16" s="1199">
        <f t="shared" si="6"/>
        <v>25694.699999999997</v>
      </c>
      <c r="M16" s="1199">
        <f t="shared" si="6"/>
        <v>16121.130000000001</v>
      </c>
      <c r="N16" s="1199">
        <f t="shared" si="6"/>
        <v>11618.86</v>
      </c>
      <c r="O16" s="1199">
        <f t="shared" si="6"/>
        <v>49.91</v>
      </c>
      <c r="P16" s="1199">
        <f t="shared" si="6"/>
        <v>0</v>
      </c>
      <c r="Q16" s="1199">
        <f t="shared" si="6"/>
        <v>570.57999999999993</v>
      </c>
      <c r="R16" s="1199">
        <f t="shared" si="6"/>
        <v>2631.24</v>
      </c>
      <c r="S16" s="1199">
        <f t="shared" si="6"/>
        <v>0</v>
      </c>
      <c r="T16" s="1199">
        <f t="shared" si="6"/>
        <v>0</v>
      </c>
      <c r="U16" s="1199">
        <f t="shared" si="6"/>
        <v>0</v>
      </c>
      <c r="V16" s="1199">
        <f t="shared" si="6"/>
        <v>0</v>
      </c>
      <c r="W16" s="1199">
        <f t="shared" si="6"/>
        <v>7502.9000000000005</v>
      </c>
      <c r="X16" s="1199">
        <f t="shared" si="6"/>
        <v>864.23</v>
      </c>
      <c r="Y16" s="1199">
        <f t="shared" si="6"/>
        <v>0</v>
      </c>
      <c r="Z16" s="1199">
        <f t="shared" si="6"/>
        <v>0</v>
      </c>
      <c r="AA16" s="1199">
        <f t="shared" si="6"/>
        <v>0</v>
      </c>
      <c r="AB16" s="1199">
        <f t="shared" si="6"/>
        <v>14075.839999999997</v>
      </c>
      <c r="AC16" s="1199">
        <f t="shared" si="6"/>
        <v>70.351382509832703</v>
      </c>
      <c r="AD16" s="1199">
        <f t="shared" si="6"/>
        <v>52.047357622137206</v>
      </c>
      <c r="AE16" s="1199">
        <f t="shared" si="6"/>
        <v>3.9369464753107843</v>
      </c>
      <c r="AF16" s="1199">
        <f t="shared" si="6"/>
        <v>10.08</v>
      </c>
      <c r="AG16" s="1199">
        <f t="shared" si="6"/>
        <v>9573.5699999999979</v>
      </c>
    </row>
    <row r="17" spans="1:33" ht="18" customHeight="1" x14ac:dyDescent="0.25">
      <c r="A17" s="113"/>
      <c r="B17" s="118"/>
      <c r="C17" s="118"/>
      <c r="D17" s="118"/>
      <c r="E17" s="118"/>
      <c r="F17" s="118"/>
      <c r="G17" s="206"/>
      <c r="H17" s="206"/>
      <c r="I17" s="206"/>
      <c r="J17" s="114"/>
      <c r="K17" s="114"/>
      <c r="L17" s="114"/>
      <c r="M17" s="114"/>
      <c r="N17" s="15"/>
      <c r="O17" s="47"/>
      <c r="P17" s="47"/>
      <c r="Q17" s="15"/>
      <c r="R17" s="15"/>
      <c r="S17" s="47"/>
      <c r="T17" s="15"/>
      <c r="U17" s="15"/>
      <c r="V17" s="15"/>
      <c r="W17" s="15"/>
      <c r="X17" s="47"/>
      <c r="Y17" s="47"/>
      <c r="Z17" s="47"/>
      <c r="AA17" s="47"/>
      <c r="AB17" s="15"/>
      <c r="AC17" s="15"/>
      <c r="AD17" s="15"/>
      <c r="AE17" s="15"/>
      <c r="AF17" s="1151"/>
      <c r="AG17" s="15"/>
    </row>
    <row r="19" spans="1:33" ht="15" customHeight="1" x14ac:dyDescent="0.25">
      <c r="B19" s="353" t="s">
        <v>618</v>
      </c>
    </row>
    <row r="20" spans="1:33" x14ac:dyDescent="0.25">
      <c r="A20" s="250"/>
      <c r="B20" s="250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</row>
    <row r="21" spans="1:33" ht="15" customHeight="1" x14ac:dyDescent="0.25">
      <c r="A21" s="250"/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</row>
    <row r="22" spans="1:33" ht="15" customHeight="1" x14ac:dyDescent="0.25">
      <c r="A22" s="2017" t="s">
        <v>0</v>
      </c>
      <c r="B22" s="2017" t="s">
        <v>184</v>
      </c>
      <c r="C22" s="2017" t="s">
        <v>54</v>
      </c>
      <c r="D22" s="2017" t="s">
        <v>55</v>
      </c>
      <c r="E22" s="2017" t="s">
        <v>56</v>
      </c>
      <c r="F22" s="2017" t="s">
        <v>57</v>
      </c>
      <c r="G22" s="2017" t="s">
        <v>6</v>
      </c>
      <c r="H22" s="2304"/>
      <c r="I22" s="1089"/>
      <c r="J22" s="2249" t="s">
        <v>284</v>
      </c>
      <c r="K22" s="2250"/>
      <c r="L22" s="615"/>
      <c r="M22" s="615"/>
      <c r="N22" s="1987" t="s">
        <v>457</v>
      </c>
      <c r="O22" s="2009" t="s">
        <v>370</v>
      </c>
      <c r="P22" s="1987" t="s">
        <v>333</v>
      </c>
      <c r="Q22" s="2102" t="s">
        <v>477</v>
      </c>
      <c r="R22" s="2003" t="s">
        <v>475</v>
      </c>
      <c r="S22" s="2003" t="s">
        <v>10</v>
      </c>
      <c r="T22" s="2003" t="s">
        <v>476</v>
      </c>
      <c r="U22" s="2003" t="s">
        <v>309</v>
      </c>
      <c r="V22" s="2003" t="s">
        <v>319</v>
      </c>
      <c r="W22" s="2194" t="s">
        <v>461</v>
      </c>
      <c r="X22" s="2107" t="s">
        <v>338</v>
      </c>
      <c r="Y22" s="2009" t="s">
        <v>321</v>
      </c>
      <c r="Z22" s="2005" t="s">
        <v>569</v>
      </c>
      <c r="AA22" s="1987" t="s">
        <v>369</v>
      </c>
      <c r="AB22" s="1987" t="s">
        <v>175</v>
      </c>
      <c r="AC22" s="1987" t="s">
        <v>183</v>
      </c>
      <c r="AD22" s="1987"/>
      <c r="AE22" s="2251" t="s">
        <v>182</v>
      </c>
      <c r="AF22" s="2302" t="s">
        <v>544</v>
      </c>
      <c r="AG22" s="2257" t="s">
        <v>566</v>
      </c>
    </row>
    <row r="23" spans="1:33" ht="42.75" customHeight="1" x14ac:dyDescent="0.25">
      <c r="A23" s="2017"/>
      <c r="B23" s="2017"/>
      <c r="C23" s="2017"/>
      <c r="D23" s="2017"/>
      <c r="E23" s="2017"/>
      <c r="F23" s="2017"/>
      <c r="G23" s="2017"/>
      <c r="H23" s="2305"/>
      <c r="I23" s="1090"/>
      <c r="J23" s="51" t="s">
        <v>15</v>
      </c>
      <c r="K23" s="543" t="s">
        <v>16</v>
      </c>
      <c r="L23" s="616"/>
      <c r="M23" s="616"/>
      <c r="N23" s="1988"/>
      <c r="O23" s="2009"/>
      <c r="P23" s="1988"/>
      <c r="Q23" s="2102"/>
      <c r="R23" s="2004"/>
      <c r="S23" s="2002"/>
      <c r="T23" s="2004"/>
      <c r="U23" s="2004"/>
      <c r="V23" s="2004"/>
      <c r="W23" s="2004"/>
      <c r="X23" s="2107"/>
      <c r="Y23" s="2009"/>
      <c r="Z23" s="2099"/>
      <c r="AA23" s="2002"/>
      <c r="AB23" s="1988"/>
      <c r="AC23" s="1988"/>
      <c r="AD23" s="1988"/>
      <c r="AE23" s="2252"/>
      <c r="AF23" s="2303"/>
      <c r="AG23" s="2258"/>
    </row>
    <row r="24" spans="1:33" x14ac:dyDescent="0.25">
      <c r="A24" s="13">
        <v>2</v>
      </c>
      <c r="B24" s="42" t="s">
        <v>237</v>
      </c>
      <c r="C24" s="13">
        <v>1964</v>
      </c>
      <c r="D24" s="13">
        <v>2</v>
      </c>
      <c r="E24" s="13">
        <v>12</v>
      </c>
      <c r="F24" s="13">
        <v>35</v>
      </c>
      <c r="G24" s="37">
        <v>503.3</v>
      </c>
      <c r="H24" s="1118"/>
      <c r="I24" s="1118"/>
      <c r="J24" s="29">
        <v>6039.6</v>
      </c>
      <c r="K24" s="29">
        <v>3607.57</v>
      </c>
      <c r="L24" s="1049"/>
      <c r="M24" s="1049"/>
      <c r="N24" s="26">
        <f>O24+P24+Q24+R24+S24+T24+U24+V24+W24+X24+Y24+Z24+AA24</f>
        <v>0</v>
      </c>
      <c r="O24" s="27"/>
      <c r="P24" s="27"/>
      <c r="Q24" s="27"/>
      <c r="R24" s="27"/>
      <c r="S24" s="27"/>
      <c r="T24" s="27"/>
      <c r="U24" s="27"/>
      <c r="V24" s="483"/>
      <c r="W24" s="483"/>
      <c r="X24" s="427"/>
      <c r="Y24" s="427"/>
      <c r="Z24" s="427"/>
      <c r="AA24" s="427"/>
      <c r="AB24" s="566">
        <f>J24-N24</f>
        <v>6039.6</v>
      </c>
      <c r="AC24" s="287">
        <f>K24/J24*100</f>
        <v>59.73193588979403</v>
      </c>
      <c r="AD24" s="287"/>
      <c r="AE24" s="566">
        <f>N24/G24/4</f>
        <v>0</v>
      </c>
      <c r="AF24" s="1171">
        <v>3</v>
      </c>
      <c r="AG24" s="47">
        <f>J24-K24</f>
        <v>2432.0300000000002</v>
      </c>
    </row>
    <row r="25" spans="1:33" ht="15.75" customHeight="1" thickBot="1" x14ac:dyDescent="0.3">
      <c r="A25" s="13">
        <v>3</v>
      </c>
      <c r="B25" s="42" t="s">
        <v>238</v>
      </c>
      <c r="C25" s="13">
        <v>1967</v>
      </c>
      <c r="D25" s="13">
        <v>2</v>
      </c>
      <c r="E25" s="13">
        <v>12</v>
      </c>
      <c r="F25" s="13">
        <v>29</v>
      </c>
      <c r="G25" s="37">
        <v>501.4</v>
      </c>
      <c r="H25" s="1118"/>
      <c r="I25" s="1118"/>
      <c r="J25" s="29">
        <v>6016.8</v>
      </c>
      <c r="K25" s="29">
        <v>4768.84</v>
      </c>
      <c r="L25" s="1049"/>
      <c r="M25" s="1049"/>
      <c r="N25" s="26">
        <f>O25+P25+Q25+R25+S25+T25+U25+V25+W25+X25+Y25+Z25+AA25</f>
        <v>0</v>
      </c>
      <c r="O25" s="27"/>
      <c r="P25" s="27"/>
      <c r="Q25" s="27"/>
      <c r="R25" s="27"/>
      <c r="S25" s="27"/>
      <c r="T25" s="27"/>
      <c r="U25" s="27"/>
      <c r="V25" s="483"/>
      <c r="W25" s="483"/>
      <c r="X25" s="427"/>
      <c r="Y25" s="427"/>
      <c r="Z25" s="427"/>
      <c r="AA25" s="427"/>
      <c r="AB25" s="566">
        <f>J25-N25</f>
        <v>6016.8</v>
      </c>
      <c r="AC25" s="287">
        <f>K25/J25*100</f>
        <v>79.258742188538761</v>
      </c>
      <c r="AD25" s="287"/>
      <c r="AE25" s="566">
        <f>N25/G25/4</f>
        <v>0</v>
      </c>
      <c r="AF25" s="1171">
        <v>3</v>
      </c>
      <c r="AG25" s="47">
        <f>J25-K25</f>
        <v>1247.96</v>
      </c>
    </row>
    <row r="26" spans="1:33" ht="16.5" thickBot="1" x14ac:dyDescent="0.3">
      <c r="A26" s="551"/>
      <c r="B26" s="552" t="s">
        <v>23</v>
      </c>
      <c r="C26" s="553"/>
      <c r="D26" s="553"/>
      <c r="E26" s="554">
        <f>SUM(E24:E25)</f>
        <v>24</v>
      </c>
      <c r="F26" s="554">
        <f>SUM(F24:F25)</f>
        <v>64</v>
      </c>
      <c r="G26" s="555">
        <f>SUM(G24:G25)</f>
        <v>1004.7</v>
      </c>
      <c r="H26" s="1119"/>
      <c r="I26" s="1120"/>
      <c r="J26" s="433">
        <f>SUM(J24:J25)</f>
        <v>12056.400000000001</v>
      </c>
      <c r="K26" s="556">
        <f>SUM(K24:K25)</f>
        <v>8376.41</v>
      </c>
      <c r="L26" s="1121"/>
      <c r="M26" s="1121"/>
      <c r="N26" s="556">
        <f t="shared" ref="N26:Z26" si="7">SUM(N24:N25)</f>
        <v>0</v>
      </c>
      <c r="O26" s="556">
        <f t="shared" si="7"/>
        <v>0</v>
      </c>
      <c r="P26" s="556">
        <f t="shared" si="7"/>
        <v>0</v>
      </c>
      <c r="Q26" s="556">
        <f t="shared" si="7"/>
        <v>0</v>
      </c>
      <c r="R26" s="556">
        <f t="shared" si="7"/>
        <v>0</v>
      </c>
      <c r="S26" s="556">
        <f t="shared" si="7"/>
        <v>0</v>
      </c>
      <c r="T26" s="556">
        <f t="shared" si="7"/>
        <v>0</v>
      </c>
      <c r="U26" s="556">
        <f t="shared" si="7"/>
        <v>0</v>
      </c>
      <c r="V26" s="556">
        <f t="shared" si="7"/>
        <v>0</v>
      </c>
      <c r="W26" s="556">
        <f t="shared" si="7"/>
        <v>0</v>
      </c>
      <c r="X26" s="556">
        <f t="shared" si="7"/>
        <v>0</v>
      </c>
      <c r="Y26" s="556">
        <f t="shared" si="7"/>
        <v>0</v>
      </c>
      <c r="Z26" s="556">
        <f t="shared" si="7"/>
        <v>0</v>
      </c>
      <c r="AA26" s="557"/>
      <c r="AB26" s="558">
        <f>J26-N26</f>
        <v>12056.400000000001</v>
      </c>
      <c r="AC26" s="559">
        <f>K26/J26*100</f>
        <v>69.476875352509865</v>
      </c>
      <c r="AD26" s="1152"/>
      <c r="AE26" s="560">
        <f>N26/G26/12</f>
        <v>0</v>
      </c>
      <c r="AF26" s="1172"/>
      <c r="AG26" s="1132">
        <f>SUM(AG24:AG25)</f>
        <v>3679.9900000000002</v>
      </c>
    </row>
    <row r="27" spans="1:33" ht="15.75" customHeight="1" x14ac:dyDescent="0.25">
      <c r="A27" s="115"/>
      <c r="B27" s="116"/>
      <c r="C27" s="116"/>
      <c r="D27" s="116"/>
      <c r="E27" s="116"/>
      <c r="F27" s="116"/>
      <c r="G27" s="116"/>
      <c r="H27" s="116"/>
      <c r="I27" s="116"/>
      <c r="J27" s="297"/>
      <c r="K27" s="297"/>
      <c r="L27" s="297"/>
      <c r="M27" s="297"/>
      <c r="N27" s="117"/>
      <c r="O27" s="117"/>
      <c r="P27" s="117"/>
      <c r="Q27" s="117"/>
      <c r="R27" s="117"/>
      <c r="S27" s="117"/>
      <c r="T27" s="117"/>
      <c r="U27" s="117"/>
      <c r="V27" s="157"/>
      <c r="W27" s="157"/>
      <c r="X27" s="117"/>
      <c r="Y27" s="157"/>
      <c r="Z27" s="117"/>
      <c r="AA27" s="117"/>
      <c r="AB27" s="117"/>
      <c r="AC27" s="117"/>
      <c r="AD27" s="117"/>
      <c r="AE27" s="117"/>
      <c r="AF27" s="1150"/>
      <c r="AG27" s="15"/>
    </row>
    <row r="28" spans="1:33" x14ac:dyDescent="0.25">
      <c r="A28" s="223"/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</row>
    <row r="30" spans="1:33" x14ac:dyDescent="0.25">
      <c r="H30" s="353" t="s">
        <v>607</v>
      </c>
    </row>
  </sheetData>
  <mergeCells count="59">
    <mergeCell ref="AA22:AA23"/>
    <mergeCell ref="Z8:Z9"/>
    <mergeCell ref="AA8:AA9"/>
    <mergeCell ref="AG8:AG9"/>
    <mergeCell ref="AD8:AD9"/>
    <mergeCell ref="AD22:AD23"/>
    <mergeCell ref="AG22:AG23"/>
    <mergeCell ref="AB22:AB23"/>
    <mergeCell ref="AC22:AC23"/>
    <mergeCell ref="AE22:AE23"/>
    <mergeCell ref="AF22:AF23"/>
    <mergeCell ref="AC8:AC9"/>
    <mergeCell ref="AE8:AE9"/>
    <mergeCell ref="AF8:AF9"/>
    <mergeCell ref="AB8:AB9"/>
    <mergeCell ref="V22:V23"/>
    <mergeCell ref="W22:W23"/>
    <mergeCell ref="X22:X23"/>
    <mergeCell ref="U22:U23"/>
    <mergeCell ref="Z22:Z23"/>
    <mergeCell ref="A22:A23"/>
    <mergeCell ref="B22:B23"/>
    <mergeCell ref="C22:C23"/>
    <mergeCell ref="D22:D23"/>
    <mergeCell ref="E22:E23"/>
    <mergeCell ref="F22:F23"/>
    <mergeCell ref="G22:G23"/>
    <mergeCell ref="H22:H23"/>
    <mergeCell ref="J22:K22"/>
    <mergeCell ref="N22:N23"/>
    <mergeCell ref="O22:O23"/>
    <mergeCell ref="P22:P23"/>
    <mergeCell ref="W8:W9"/>
    <mergeCell ref="X8:X9"/>
    <mergeCell ref="Y8:Y9"/>
    <mergeCell ref="V8:V9"/>
    <mergeCell ref="Q8:Q9"/>
    <mergeCell ref="R8:R9"/>
    <mergeCell ref="S8:S9"/>
    <mergeCell ref="T8:T9"/>
    <mergeCell ref="U8:U9"/>
    <mergeCell ref="Q22:Q23"/>
    <mergeCell ref="R22:R23"/>
    <mergeCell ref="S22:S23"/>
    <mergeCell ref="T22:T23"/>
    <mergeCell ref="Y22:Y23"/>
    <mergeCell ref="G8:G9"/>
    <mergeCell ref="J8:K8"/>
    <mergeCell ref="N8:N9"/>
    <mergeCell ref="O8:O9"/>
    <mergeCell ref="P8:P9"/>
    <mergeCell ref="H8:I8"/>
    <mergeCell ref="L8:M8"/>
    <mergeCell ref="F8:F9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landscape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2"/>
  <sheetViews>
    <sheetView topLeftCell="A52" workbookViewId="0">
      <selection activeCell="M9" sqref="M9"/>
    </sheetView>
  </sheetViews>
  <sheetFormatPr defaultRowHeight="15" x14ac:dyDescent="0.25"/>
  <cols>
    <col min="1" max="1" width="4" customWidth="1"/>
    <col min="2" max="2" width="28.5703125" customWidth="1"/>
    <col min="3" max="3" width="7.85546875" customWidth="1"/>
    <col min="4" max="4" width="7.5703125" customWidth="1"/>
    <col min="5" max="5" width="8" customWidth="1"/>
    <col min="6" max="6" width="8.42578125" customWidth="1"/>
    <col min="7" max="7" width="9.7109375" customWidth="1"/>
    <col min="8" max="8" width="11" customWidth="1"/>
    <col min="9" max="15" width="11.5703125" customWidth="1"/>
    <col min="16" max="16" width="11.140625" customWidth="1"/>
    <col min="17" max="19" width="13.28515625" customWidth="1"/>
    <col min="20" max="20" width="12.5703125" customWidth="1"/>
    <col min="21" max="21" width="13.42578125" customWidth="1"/>
    <col min="22" max="22" width="11.140625" customWidth="1"/>
    <col min="23" max="23" width="10.7109375" customWidth="1"/>
    <col min="24" max="24" width="10.140625" customWidth="1"/>
    <col min="25" max="25" width="10.42578125" customWidth="1"/>
    <col min="26" max="26" width="10.7109375" customWidth="1"/>
    <col min="27" max="27" width="9.140625" customWidth="1"/>
    <col min="28" max="28" width="10.42578125" customWidth="1"/>
    <col min="29" max="29" width="10" customWidth="1"/>
    <col min="30" max="30" width="9.140625" customWidth="1"/>
    <col min="31" max="31" width="10" customWidth="1"/>
    <col min="32" max="32" width="9.140625" customWidth="1"/>
    <col min="33" max="33" width="10.140625" customWidth="1"/>
    <col min="34" max="35" width="9.140625" customWidth="1"/>
    <col min="36" max="36" width="10.28515625" customWidth="1"/>
    <col min="37" max="39" width="9.140625" customWidth="1"/>
    <col min="40" max="40" width="10.140625" customWidth="1"/>
    <col min="41" max="41" width="10.140625" hidden="1" customWidth="1"/>
    <col min="42" max="48" width="9.140625" hidden="1" customWidth="1"/>
    <col min="49" max="50" width="10.140625" hidden="1" customWidth="1"/>
    <col min="51" max="54" width="9.140625" hidden="1" customWidth="1"/>
    <col min="55" max="55" width="12.140625" hidden="1" customWidth="1"/>
    <col min="56" max="56" width="9.140625" customWidth="1"/>
    <col min="57" max="57" width="9.85546875" hidden="1" customWidth="1"/>
    <col min="58" max="58" width="9.5703125" hidden="1" customWidth="1"/>
    <col min="59" max="59" width="9.140625" hidden="1" customWidth="1"/>
    <col min="60" max="60" width="0" hidden="1" customWidth="1"/>
  </cols>
  <sheetData>
    <row r="1" spans="1:58" ht="15" customHeight="1" x14ac:dyDescent="0.25">
      <c r="A1" s="1604" t="s">
        <v>765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  <c r="AP1" s="344"/>
      <c r="AQ1" s="344"/>
      <c r="AR1" s="344"/>
    </row>
    <row r="2" spans="1:58" x14ac:dyDescent="0.25">
      <c r="A2" s="1604"/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  <c r="AG2" s="344"/>
      <c r="AH2" s="344"/>
      <c r="AI2" s="344"/>
      <c r="AJ2" s="344"/>
      <c r="AK2" s="344"/>
      <c r="AL2" s="344"/>
      <c r="AM2" s="344"/>
      <c r="AN2" s="344"/>
      <c r="AO2" s="344"/>
      <c r="AP2" s="344"/>
      <c r="AQ2" s="344"/>
      <c r="AR2" s="344"/>
    </row>
    <row r="3" spans="1:58" ht="15" customHeight="1" x14ac:dyDescent="0.25">
      <c r="A3" s="160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  <c r="AG3" s="344"/>
      <c r="AH3" s="344"/>
      <c r="AI3" s="344"/>
      <c r="AJ3" s="344"/>
      <c r="AK3" s="344"/>
      <c r="AL3" s="344"/>
      <c r="AM3" s="344"/>
      <c r="AN3" s="344"/>
      <c r="AO3" s="344"/>
      <c r="AP3" s="344"/>
      <c r="AQ3" s="344"/>
      <c r="AR3" s="344"/>
    </row>
    <row r="4" spans="1:58" x14ac:dyDescent="0.25">
      <c r="A4" s="160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</row>
    <row r="5" spans="1:58" ht="15" customHeight="1" x14ac:dyDescent="0.25">
      <c r="A5" s="1604"/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44"/>
      <c r="AA5" s="344"/>
      <c r="AB5" s="344"/>
      <c r="AC5" s="344"/>
      <c r="AD5" s="344"/>
      <c r="AE5" s="344"/>
      <c r="AF5" s="344"/>
      <c r="AG5" s="344"/>
      <c r="AH5" s="344"/>
      <c r="AI5" s="344"/>
      <c r="AJ5" s="344"/>
      <c r="AK5" s="344"/>
      <c r="AL5" s="344"/>
      <c r="AM5" s="344"/>
      <c r="AN5" s="344"/>
      <c r="AO5" s="344"/>
      <c r="AP5" s="344"/>
      <c r="AQ5" s="344"/>
      <c r="AR5" s="344"/>
    </row>
    <row r="6" spans="1:58" x14ac:dyDescent="0.25">
      <c r="A6" s="1604"/>
      <c r="B6" s="344"/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344"/>
      <c r="W6" s="344"/>
      <c r="X6" s="344"/>
      <c r="Y6" s="344"/>
      <c r="Z6" s="344"/>
      <c r="AA6" s="344"/>
      <c r="AB6" s="344"/>
      <c r="AC6" s="344"/>
      <c r="AD6" s="344"/>
      <c r="AE6" s="344"/>
      <c r="AF6" s="344"/>
      <c r="AG6" s="344"/>
      <c r="AH6" s="344"/>
      <c r="AI6" s="344"/>
      <c r="AJ6" s="344"/>
      <c r="AK6" s="344"/>
      <c r="AL6" s="344"/>
      <c r="AM6" s="344"/>
      <c r="AN6" s="344"/>
      <c r="AO6" s="344"/>
      <c r="AP6" s="344"/>
      <c r="AQ6" s="344"/>
      <c r="AR6" s="344"/>
    </row>
    <row r="7" spans="1:58" ht="15" customHeight="1" x14ac:dyDescent="0.25">
      <c r="A7" s="1605"/>
      <c r="B7" s="1606"/>
      <c r="C7" s="1606"/>
      <c r="D7" s="1606"/>
      <c r="E7" s="1606"/>
      <c r="F7" s="1606"/>
      <c r="G7" s="1606"/>
      <c r="H7" s="1606"/>
      <c r="I7" s="1606"/>
      <c r="J7" s="1606"/>
      <c r="K7" s="1606"/>
      <c r="L7" s="1606"/>
      <c r="M7" s="1606"/>
      <c r="N7" s="1606"/>
      <c r="O7" s="1606"/>
      <c r="P7" s="1606"/>
      <c r="Q7" s="1606"/>
      <c r="R7" s="1606"/>
      <c r="S7" s="1606"/>
      <c r="T7" s="1606"/>
      <c r="U7" s="1606"/>
      <c r="V7" s="1606"/>
      <c r="W7" s="1606"/>
      <c r="X7" s="1606"/>
      <c r="Y7" s="1606"/>
      <c r="Z7" s="1606"/>
      <c r="AA7" s="1606"/>
      <c r="AB7" s="1606"/>
      <c r="AC7" s="1606"/>
      <c r="AD7" s="1606"/>
      <c r="AE7" s="1606"/>
      <c r="AF7" s="1606"/>
      <c r="AG7" s="1606"/>
      <c r="AH7" s="1606"/>
      <c r="AI7" s="1606"/>
      <c r="AJ7" s="1606"/>
      <c r="AK7" s="1606"/>
      <c r="AL7" s="1606"/>
      <c r="AM7" s="1606"/>
      <c r="AN7" s="1606"/>
      <c r="AO7" s="1606"/>
      <c r="AP7" s="1606"/>
      <c r="AQ7" s="1606"/>
      <c r="AR7" s="1606"/>
    </row>
    <row r="8" spans="1:58" ht="42.75" customHeight="1" x14ac:dyDescent="0.25">
      <c r="A8" s="2017" t="s">
        <v>0</v>
      </c>
      <c r="B8" s="2017" t="s">
        <v>184</v>
      </c>
      <c r="C8" s="2017" t="s">
        <v>54</v>
      </c>
      <c r="D8" s="2017" t="s">
        <v>55</v>
      </c>
      <c r="E8" s="2017" t="s">
        <v>56</v>
      </c>
      <c r="F8" s="2017" t="s">
        <v>57</v>
      </c>
      <c r="G8" s="2017" t="s">
        <v>6</v>
      </c>
      <c r="H8" s="2097" t="s">
        <v>593</v>
      </c>
      <c r="I8" s="2060"/>
      <c r="J8" s="1991" t="s">
        <v>656</v>
      </c>
      <c r="K8" s="1992"/>
      <c r="L8" s="2214" t="s">
        <v>658</v>
      </c>
      <c r="M8" s="2215"/>
      <c r="N8" s="1991" t="s">
        <v>310</v>
      </c>
      <c r="O8" s="1992"/>
      <c r="P8" s="2097" t="s">
        <v>593</v>
      </c>
      <c r="Q8" s="2060"/>
      <c r="R8" s="2249" t="s">
        <v>284</v>
      </c>
      <c r="S8" s="2250"/>
      <c r="T8" s="2017" t="s">
        <v>726</v>
      </c>
      <c r="U8" s="2017"/>
      <c r="V8" s="2022" t="s">
        <v>747</v>
      </c>
      <c r="W8" s="2009" t="s">
        <v>370</v>
      </c>
      <c r="X8" s="1987" t="s">
        <v>333</v>
      </c>
      <c r="Y8" s="2102" t="s">
        <v>542</v>
      </c>
      <c r="Z8" s="2003" t="s">
        <v>578</v>
      </c>
      <c r="AA8" s="2003" t="s">
        <v>767</v>
      </c>
      <c r="AB8" s="2107" t="s">
        <v>503</v>
      </c>
      <c r="AC8" s="2009" t="s">
        <v>316</v>
      </c>
      <c r="AD8" s="2009" t="s">
        <v>369</v>
      </c>
      <c r="AE8" s="2003" t="s">
        <v>321</v>
      </c>
      <c r="AF8" s="2005" t="s">
        <v>554</v>
      </c>
      <c r="AG8" s="2022" t="s">
        <v>688</v>
      </c>
      <c r="AH8" s="1987" t="s">
        <v>689</v>
      </c>
      <c r="AI8" s="2003" t="s">
        <v>606</v>
      </c>
      <c r="AJ8" s="2003" t="s">
        <v>375</v>
      </c>
      <c r="AK8" s="2003" t="s">
        <v>372</v>
      </c>
      <c r="AL8" s="1987" t="s">
        <v>314</v>
      </c>
      <c r="AM8" s="1987" t="s">
        <v>616</v>
      </c>
      <c r="AN8" s="2024" t="s">
        <v>691</v>
      </c>
      <c r="AO8" s="2009" t="s">
        <v>727</v>
      </c>
      <c r="AP8" s="2009" t="s">
        <v>690</v>
      </c>
      <c r="AQ8" s="1987" t="s">
        <v>313</v>
      </c>
      <c r="AR8" s="1987" t="s">
        <v>554</v>
      </c>
      <c r="AS8" s="2022" t="s">
        <v>692</v>
      </c>
      <c r="AT8" s="1987" t="s">
        <v>693</v>
      </c>
      <c r="AU8" s="1987" t="s">
        <v>656</v>
      </c>
      <c r="AV8" s="1987" t="s">
        <v>694</v>
      </c>
      <c r="AW8" s="1987" t="s">
        <v>735</v>
      </c>
      <c r="AX8" s="1608"/>
      <c r="AY8" s="2005" t="s">
        <v>724</v>
      </c>
      <c r="AZ8" s="2001" t="s">
        <v>182</v>
      </c>
      <c r="BA8" s="2001" t="s">
        <v>736</v>
      </c>
      <c r="BB8" s="1610"/>
      <c r="BC8" s="1610"/>
      <c r="BD8" s="2001" t="s">
        <v>725</v>
      </c>
      <c r="BE8" s="1999" t="s">
        <v>715</v>
      </c>
      <c r="BF8" s="1999" t="s">
        <v>716</v>
      </c>
    </row>
    <row r="9" spans="1:58" ht="61.5" customHeight="1" x14ac:dyDescent="0.25">
      <c r="A9" s="2017"/>
      <c r="B9" s="2017"/>
      <c r="C9" s="2017"/>
      <c r="D9" s="2017"/>
      <c r="E9" s="2017"/>
      <c r="F9" s="2017"/>
      <c r="G9" s="2017"/>
      <c r="H9" s="150" t="s">
        <v>15</v>
      </c>
      <c r="I9" s="1388" t="s">
        <v>16</v>
      </c>
      <c r="J9" s="51" t="s">
        <v>15</v>
      </c>
      <c r="K9" s="1385" t="s">
        <v>16</v>
      </c>
      <c r="L9" s="51" t="s">
        <v>15</v>
      </c>
      <c r="M9" s="1385" t="s">
        <v>16</v>
      </c>
      <c r="N9" s="51" t="s">
        <v>15</v>
      </c>
      <c r="O9" s="1385" t="s">
        <v>16</v>
      </c>
      <c r="P9" s="51" t="s">
        <v>15</v>
      </c>
      <c r="Q9" s="1385" t="s">
        <v>16</v>
      </c>
      <c r="R9" s="51" t="s">
        <v>15</v>
      </c>
      <c r="S9" s="1580" t="s">
        <v>16</v>
      </c>
      <c r="T9" s="150" t="s">
        <v>15</v>
      </c>
      <c r="U9" s="1388" t="s">
        <v>16</v>
      </c>
      <c r="V9" s="2023"/>
      <c r="W9" s="2009"/>
      <c r="X9" s="1988"/>
      <c r="Y9" s="2102"/>
      <c r="Z9" s="2004"/>
      <c r="AA9" s="2004"/>
      <c r="AB9" s="2107"/>
      <c r="AC9" s="2009"/>
      <c r="AD9" s="2108"/>
      <c r="AE9" s="2004"/>
      <c r="AF9" s="2002"/>
      <c r="AG9" s="2023"/>
      <c r="AH9" s="1988"/>
      <c r="AI9" s="2004"/>
      <c r="AJ9" s="2004"/>
      <c r="AK9" s="2004"/>
      <c r="AL9" s="1988"/>
      <c r="AM9" s="1988"/>
      <c r="AN9" s="2025"/>
      <c r="AO9" s="2009"/>
      <c r="AP9" s="2009"/>
      <c r="AQ9" s="1988"/>
      <c r="AR9" s="1988"/>
      <c r="AS9" s="2023"/>
      <c r="AT9" s="1988"/>
      <c r="AU9" s="1988"/>
      <c r="AV9" s="1988"/>
      <c r="AW9" s="1988"/>
      <c r="AX9" s="1609"/>
      <c r="AY9" s="2006"/>
      <c r="AZ9" s="2002"/>
      <c r="BA9" s="2002"/>
      <c r="BB9" s="1611"/>
      <c r="BC9" s="1611"/>
      <c r="BD9" s="2002"/>
      <c r="BE9" s="2000"/>
      <c r="BF9" s="2000"/>
    </row>
    <row r="10" spans="1:58" x14ac:dyDescent="0.25">
      <c r="A10" s="13">
        <v>1</v>
      </c>
      <c r="B10" s="42" t="s">
        <v>237</v>
      </c>
      <c r="C10" s="705">
        <v>1964</v>
      </c>
      <c r="D10" s="705">
        <v>2</v>
      </c>
      <c r="E10" s="705">
        <v>12</v>
      </c>
      <c r="F10" s="705">
        <v>35</v>
      </c>
      <c r="G10" s="706">
        <v>503.3</v>
      </c>
      <c r="H10" s="706">
        <v>906.3</v>
      </c>
      <c r="I10" s="706">
        <v>421.5</v>
      </c>
      <c r="J10" s="706">
        <v>483.12</v>
      </c>
      <c r="K10" s="706">
        <v>488.05</v>
      </c>
      <c r="L10" s="706">
        <v>1721.28</v>
      </c>
      <c r="M10" s="706">
        <v>1704.92</v>
      </c>
      <c r="N10" s="706">
        <v>25426.71</v>
      </c>
      <c r="O10" s="706">
        <v>20785.47</v>
      </c>
      <c r="P10" s="625">
        <v>1424.88</v>
      </c>
      <c r="Q10" s="625">
        <v>1326.29</v>
      </c>
      <c r="R10" s="29">
        <v>13589.1</v>
      </c>
      <c r="S10" s="29">
        <v>11225.59</v>
      </c>
      <c r="T10" s="625">
        <f>J10+L10+N10+P10+R10</f>
        <v>42645.090000000004</v>
      </c>
      <c r="U10" s="625">
        <f>K10+M10+O10+Q10+S10</f>
        <v>35530.320000000007</v>
      </c>
      <c r="V10" s="655">
        <f>AG10+AN10+AS10+AT10+AU10+AV10</f>
        <v>29790.966494475961</v>
      </c>
      <c r="W10" s="656">
        <v>368.72</v>
      </c>
      <c r="X10" s="656"/>
      <c r="Y10" s="656">
        <v>2149.98</v>
      </c>
      <c r="Z10" s="656">
        <f>512.16/1004.7*G10</f>
        <v>256.56427590325467</v>
      </c>
      <c r="AA10" s="656"/>
      <c r="AB10" s="656">
        <f>1490.98/1004.7*G10</f>
        <v>746.89980491689062</v>
      </c>
      <c r="AC10" s="656">
        <f>14869.72/1004.7*G10</f>
        <v>7448.9201512889413</v>
      </c>
      <c r="AD10" s="1117"/>
      <c r="AE10" s="1117"/>
      <c r="AF10" s="1095"/>
      <c r="AG10" s="1593">
        <f>AF10+AE10+AD10+AC10+AB10+AA10+Z10+Y10+X10+W10</f>
        <v>10971.084232109086</v>
      </c>
      <c r="AH10" s="1593">
        <v>15632</v>
      </c>
      <c r="AI10" s="1593"/>
      <c r="AJ10" s="1593"/>
      <c r="AK10" s="1594"/>
      <c r="AL10" s="1594"/>
      <c r="AM10" s="1593"/>
      <c r="AN10" s="1595">
        <f>AM10+AL10+AK10+AJ10+AI10+AH10</f>
        <v>15632</v>
      </c>
      <c r="AO10" s="1596"/>
      <c r="AP10" s="1597"/>
      <c r="AQ10" s="1597"/>
      <c r="AR10" s="1597"/>
      <c r="AS10" s="1598">
        <f>AR10+AQ10+AP10+AO10</f>
        <v>0</v>
      </c>
      <c r="AT10" s="1598"/>
      <c r="AU10" s="1598">
        <f>1209.43/1004.7*G10</f>
        <v>605.85858365681293</v>
      </c>
      <c r="AV10" s="1598">
        <f>5154.3/1004.7*G10</f>
        <v>2582.023678710063</v>
      </c>
      <c r="AW10" s="1598">
        <f>T10-V10</f>
        <v>12854.123505524043</v>
      </c>
      <c r="AX10" s="1598"/>
      <c r="AY10" s="1598">
        <f>U10/T10*100</f>
        <v>83.316320823804119</v>
      </c>
      <c r="AZ10" s="1598">
        <f>V10/G10/9</f>
        <v>6.5768078447747005</v>
      </c>
      <c r="BA10" s="1598">
        <f>T10-U10</f>
        <v>7114.7699999999968</v>
      </c>
      <c r="BB10" s="1598"/>
      <c r="BC10" s="1598"/>
      <c r="BD10" s="1598">
        <f>R10-S10</f>
        <v>2363.5100000000002</v>
      </c>
      <c r="BE10" s="1598">
        <v>6.1</v>
      </c>
      <c r="BF10" s="1598">
        <v>3</v>
      </c>
    </row>
    <row r="11" spans="1:58" ht="15" customHeight="1" x14ac:dyDescent="0.25">
      <c r="A11" s="13">
        <v>2</v>
      </c>
      <c r="B11" s="42" t="s">
        <v>238</v>
      </c>
      <c r="C11" s="705">
        <v>1967</v>
      </c>
      <c r="D11" s="705">
        <v>2</v>
      </c>
      <c r="E11" s="705">
        <v>12</v>
      </c>
      <c r="F11" s="705">
        <v>29</v>
      </c>
      <c r="G11" s="706">
        <v>501.4</v>
      </c>
      <c r="H11" s="706">
        <v>897</v>
      </c>
      <c r="I11" s="706">
        <v>517.07000000000005</v>
      </c>
      <c r="J11" s="706">
        <v>481.32</v>
      </c>
      <c r="K11" s="706">
        <v>452.62</v>
      </c>
      <c r="L11" s="706">
        <v>1714.92</v>
      </c>
      <c r="M11" s="706">
        <v>1626.62</v>
      </c>
      <c r="N11" s="706">
        <v>25330.86</v>
      </c>
      <c r="O11" s="706">
        <v>19610.59</v>
      </c>
      <c r="P11" s="625">
        <v>1410.28</v>
      </c>
      <c r="Q11" s="625">
        <v>1133.9000000000001</v>
      </c>
      <c r="R11" s="29">
        <v>13537.8</v>
      </c>
      <c r="S11" s="29">
        <v>10583.38</v>
      </c>
      <c r="T11" s="625">
        <f>J11+L11+N11+P11+R11</f>
        <v>42475.18</v>
      </c>
      <c r="U11" s="625">
        <f>K11+M11+O11+Q11+S11</f>
        <v>33407.11</v>
      </c>
      <c r="V11" s="655">
        <f>AG11+AN11+AS11+AT11+AU11+AV11</f>
        <v>31905.763505524035</v>
      </c>
      <c r="W11" s="656">
        <v>77.94</v>
      </c>
      <c r="X11" s="656"/>
      <c r="Y11" s="656">
        <v>2149.98</v>
      </c>
      <c r="Z11" s="656">
        <f>512.16/1004.7*G11</f>
        <v>255.59572409674527</v>
      </c>
      <c r="AA11" s="656"/>
      <c r="AB11" s="656">
        <f>1490.98/1004.7*G11</f>
        <v>744.0801950831094</v>
      </c>
      <c r="AC11" s="656">
        <f>14869.72/1004.7*G11</f>
        <v>7420.7998487110572</v>
      </c>
      <c r="AD11" s="1117"/>
      <c r="AE11" s="1117"/>
      <c r="AF11" s="1095"/>
      <c r="AG11" s="1593">
        <f>AF11+AE11+AD11+AC11+AB11+AA11+Z11+Y11+X11+W11</f>
        <v>10648.395767890912</v>
      </c>
      <c r="AH11" s="1593">
        <v>18081.52</v>
      </c>
      <c r="AI11" s="1593"/>
      <c r="AJ11" s="1593"/>
      <c r="AK11" s="1594"/>
      <c r="AL11" s="1594"/>
      <c r="AM11" s="1593"/>
      <c r="AN11" s="1595">
        <f>AM11+AL11+AK11+AJ11+AI11+AH11</f>
        <v>18081.52</v>
      </c>
      <c r="AO11" s="1596"/>
      <c r="AP11" s="1597"/>
      <c r="AQ11" s="1597"/>
      <c r="AR11" s="1597"/>
      <c r="AS11" s="1598">
        <f>AR11+AQ11+AP11+AO11</f>
        <v>0</v>
      </c>
      <c r="AT11" s="1598"/>
      <c r="AU11" s="1598">
        <f>1209.43/1004.7*G11</f>
        <v>603.57141634318702</v>
      </c>
      <c r="AV11" s="1598">
        <f>5154.3/1004.7*G11</f>
        <v>2572.2763212899372</v>
      </c>
      <c r="AW11" s="1598">
        <f>T11-V11</f>
        <v>10569.416494475965</v>
      </c>
      <c r="AX11" s="1598"/>
      <c r="AY11" s="1598">
        <f>U11/T11*100</f>
        <v>78.650896829630852</v>
      </c>
      <c r="AZ11" s="1598">
        <f t="shared" ref="AZ11:AZ12" si="0">V11/G11/9</f>
        <v>7.0703726245455023</v>
      </c>
      <c r="BA11" s="1598">
        <f>T11-U11</f>
        <v>9068.07</v>
      </c>
      <c r="BB11" s="1598"/>
      <c r="BC11" s="1598"/>
      <c r="BD11" s="1598">
        <f>R11-S11</f>
        <v>2954.42</v>
      </c>
      <c r="BE11" s="1598">
        <v>6.1</v>
      </c>
      <c r="BF11" s="1598">
        <v>3</v>
      </c>
    </row>
    <row r="12" spans="1:58" x14ac:dyDescent="0.25">
      <c r="A12" s="13"/>
      <c r="B12" s="1143" t="s">
        <v>303</v>
      </c>
      <c r="C12" s="918"/>
      <c r="D12" s="918"/>
      <c r="E12" s="918">
        <f t="shared" ref="E12:BD12" si="1">SUM(E10:E11)</f>
        <v>24</v>
      </c>
      <c r="F12" s="918">
        <f t="shared" si="1"/>
        <v>64</v>
      </c>
      <c r="G12" s="692">
        <f t="shared" si="1"/>
        <v>1004.7</v>
      </c>
      <c r="H12" s="692">
        <f t="shared" si="1"/>
        <v>1803.3</v>
      </c>
      <c r="I12" s="692">
        <f t="shared" si="1"/>
        <v>938.57</v>
      </c>
      <c r="J12" s="692">
        <f t="shared" si="1"/>
        <v>964.44</v>
      </c>
      <c r="K12" s="692">
        <f t="shared" si="1"/>
        <v>940.67000000000007</v>
      </c>
      <c r="L12" s="692">
        <f t="shared" si="1"/>
        <v>3436.2</v>
      </c>
      <c r="M12" s="692">
        <f t="shared" si="1"/>
        <v>3331.54</v>
      </c>
      <c r="N12" s="692">
        <f t="shared" si="1"/>
        <v>50757.57</v>
      </c>
      <c r="O12" s="692">
        <f t="shared" si="1"/>
        <v>40396.06</v>
      </c>
      <c r="P12" s="692">
        <f t="shared" si="1"/>
        <v>2835.16</v>
      </c>
      <c r="Q12" s="692">
        <f t="shared" si="1"/>
        <v>2460.19</v>
      </c>
      <c r="R12" s="692">
        <f t="shared" si="1"/>
        <v>27126.9</v>
      </c>
      <c r="S12" s="692">
        <f t="shared" si="1"/>
        <v>21808.97</v>
      </c>
      <c r="T12" s="692">
        <f t="shared" si="1"/>
        <v>85120.27</v>
      </c>
      <c r="U12" s="692">
        <f t="shared" si="1"/>
        <v>68937.430000000008</v>
      </c>
      <c r="V12" s="1156">
        <f t="shared" si="1"/>
        <v>61696.729999999996</v>
      </c>
      <c r="W12" s="1156">
        <f t="shared" si="1"/>
        <v>446.66</v>
      </c>
      <c r="X12" s="1156">
        <f t="shared" si="1"/>
        <v>0</v>
      </c>
      <c r="Y12" s="1156">
        <f t="shared" si="1"/>
        <v>4299.96</v>
      </c>
      <c r="Z12" s="1156">
        <f t="shared" si="1"/>
        <v>512.16</v>
      </c>
      <c r="AA12" s="1156">
        <f t="shared" si="1"/>
        <v>0</v>
      </c>
      <c r="AB12" s="1156">
        <f t="shared" si="1"/>
        <v>1490.98</v>
      </c>
      <c r="AC12" s="1156">
        <f t="shared" si="1"/>
        <v>14869.719999999998</v>
      </c>
      <c r="AD12" s="1156">
        <f t="shared" si="1"/>
        <v>0</v>
      </c>
      <c r="AE12" s="1156">
        <f t="shared" si="1"/>
        <v>0</v>
      </c>
      <c r="AF12" s="1156">
        <f t="shared" si="1"/>
        <v>0</v>
      </c>
      <c r="AG12" s="1156">
        <f t="shared" si="1"/>
        <v>21619.479999999996</v>
      </c>
      <c r="AH12" s="1156">
        <f t="shared" si="1"/>
        <v>33713.520000000004</v>
      </c>
      <c r="AI12" s="1156">
        <f t="shared" si="1"/>
        <v>0</v>
      </c>
      <c r="AJ12" s="1156">
        <f t="shared" si="1"/>
        <v>0</v>
      </c>
      <c r="AK12" s="1156">
        <f t="shared" si="1"/>
        <v>0</v>
      </c>
      <c r="AL12" s="1156">
        <f t="shared" si="1"/>
        <v>0</v>
      </c>
      <c r="AM12" s="1156">
        <f t="shared" si="1"/>
        <v>0</v>
      </c>
      <c r="AN12" s="1156">
        <f t="shared" si="1"/>
        <v>33713.520000000004</v>
      </c>
      <c r="AO12" s="1156">
        <f>SUM(AO10:AO11)</f>
        <v>0</v>
      </c>
      <c r="AP12" s="1156">
        <f t="shared" si="1"/>
        <v>0</v>
      </c>
      <c r="AQ12" s="1156">
        <f t="shared" si="1"/>
        <v>0</v>
      </c>
      <c r="AR12" s="1156">
        <f t="shared" si="1"/>
        <v>0</v>
      </c>
      <c r="AS12" s="1156">
        <f t="shared" si="1"/>
        <v>0</v>
      </c>
      <c r="AT12" s="1156">
        <f t="shared" si="1"/>
        <v>0</v>
      </c>
      <c r="AU12" s="1156">
        <f t="shared" si="1"/>
        <v>1209.4299999999998</v>
      </c>
      <c r="AV12" s="1156">
        <f t="shared" si="1"/>
        <v>5154.3</v>
      </c>
      <c r="AW12" s="1156">
        <f t="shared" si="1"/>
        <v>23423.540000000008</v>
      </c>
      <c r="AX12" s="1156"/>
      <c r="AY12" s="1599">
        <f>U12/T12*100</f>
        <v>80.988265192297916</v>
      </c>
      <c r="AZ12" s="1599">
        <f t="shared" si="0"/>
        <v>6.8231235415768099</v>
      </c>
      <c r="BA12" s="1156">
        <f t="shared" si="1"/>
        <v>16182.839999999997</v>
      </c>
      <c r="BB12" s="1156"/>
      <c r="BC12" s="1156"/>
      <c r="BD12" s="1156">
        <f t="shared" si="1"/>
        <v>5317.93</v>
      </c>
      <c r="BE12" s="1156"/>
      <c r="BF12" s="1156"/>
    </row>
    <row r="13" spans="1:58" ht="15" customHeight="1" x14ac:dyDescent="0.25">
      <c r="A13" s="36">
        <v>3</v>
      </c>
      <c r="B13" s="188" t="s">
        <v>541</v>
      </c>
      <c r="C13" s="1144">
        <v>1960</v>
      </c>
      <c r="D13" s="1144">
        <v>1</v>
      </c>
      <c r="E13" s="1144">
        <v>4</v>
      </c>
      <c r="F13" s="1144">
        <v>2</v>
      </c>
      <c r="G13" s="706">
        <v>66.3</v>
      </c>
      <c r="H13" s="706"/>
      <c r="I13" s="706"/>
      <c r="J13" s="706">
        <v>55.12</v>
      </c>
      <c r="K13" s="706">
        <v>0</v>
      </c>
      <c r="L13" s="706">
        <v>196.5</v>
      </c>
      <c r="M13" s="706">
        <v>0</v>
      </c>
      <c r="N13" s="706">
        <v>1737.63</v>
      </c>
      <c r="O13" s="706">
        <v>0</v>
      </c>
      <c r="P13" s="871">
        <v>0</v>
      </c>
      <c r="Q13" s="871">
        <v>0</v>
      </c>
      <c r="R13" s="871"/>
      <c r="S13" s="871"/>
      <c r="T13" s="625">
        <f>J13+L13+N13+P13+R13</f>
        <v>1989.25</v>
      </c>
      <c r="U13" s="625">
        <f>K13+M13+O13+Q13+S13</f>
        <v>0</v>
      </c>
      <c r="V13" s="655">
        <f>AG13+AN13+AS13+AT13+AU13+AV13</f>
        <v>1146.3651832460735</v>
      </c>
      <c r="W13" s="1157"/>
      <c r="X13" s="1157"/>
      <c r="Y13" s="1157"/>
      <c r="Z13" s="1157">
        <f>58.42/114.6*G13</f>
        <v>33.797958115183242</v>
      </c>
      <c r="AA13" s="1157"/>
      <c r="AB13" s="1157">
        <f>132.75/114.6*G13</f>
        <v>76.800392670157066</v>
      </c>
      <c r="AC13" s="1157">
        <f>1215.66/114.6*G13</f>
        <v>703.30068062827229</v>
      </c>
      <c r="AD13" s="1157"/>
      <c r="AE13" s="1157"/>
      <c r="AF13" s="1159"/>
      <c r="AG13" s="1159">
        <f>AF13+AE13+AD13+AC13+AB13+AA13+Z13+Y13+X13</f>
        <v>813.89903141361265</v>
      </c>
      <c r="AH13" s="1159"/>
      <c r="AI13" s="1159"/>
      <c r="AJ13" s="1159"/>
      <c r="AK13" s="591"/>
      <c r="AL13" s="591"/>
      <c r="AM13" s="1159"/>
      <c r="AN13" s="678">
        <f>AM13+AL13+AK13+AJ13+AI13+AH13</f>
        <v>0</v>
      </c>
      <c r="AO13" s="1600"/>
      <c r="AP13" s="38"/>
      <c r="AQ13" s="38"/>
      <c r="AR13" s="38"/>
      <c r="AS13" s="1465">
        <f>AR13+AQ13+AP13+AO13</f>
        <v>0</v>
      </c>
      <c r="AT13" s="1464"/>
      <c r="AU13" s="1465">
        <f>137.95/114.6*G13</f>
        <v>79.808769633507836</v>
      </c>
      <c r="AV13" s="1465">
        <f>436.72/114.6*G13</f>
        <v>252.65738219895292</v>
      </c>
      <c r="AW13" s="1465">
        <f>T13-V13</f>
        <v>842.88481675392654</v>
      </c>
      <c r="AX13" s="1465"/>
      <c r="AY13" s="1465">
        <f>U13/T13*100</f>
        <v>0</v>
      </c>
      <c r="AZ13" s="1465">
        <f>V13/G13/9</f>
        <v>1.9211751018033745</v>
      </c>
      <c r="BA13" s="1465">
        <f>T13-U13</f>
        <v>1989.25</v>
      </c>
      <c r="BB13" s="1465"/>
      <c r="BC13" s="1465"/>
      <c r="BD13" s="1465"/>
      <c r="BE13" s="1464"/>
      <c r="BF13" s="1465"/>
    </row>
    <row r="14" spans="1:58" x14ac:dyDescent="0.25">
      <c r="A14" s="182">
        <v>4</v>
      </c>
      <c r="B14" s="188" t="s">
        <v>239</v>
      </c>
      <c r="C14" s="1145"/>
      <c r="D14" s="1146">
        <v>1</v>
      </c>
      <c r="E14" s="1146">
        <v>1</v>
      </c>
      <c r="F14" s="1146">
        <v>4</v>
      </c>
      <c r="G14" s="1099">
        <v>48.3</v>
      </c>
      <c r="H14" s="1099"/>
      <c r="I14" s="1160"/>
      <c r="J14" s="1160">
        <v>46.38</v>
      </c>
      <c r="K14" s="1160">
        <v>0</v>
      </c>
      <c r="L14" s="1160">
        <v>165.18</v>
      </c>
      <c r="M14" s="1160">
        <v>0</v>
      </c>
      <c r="N14" s="1160">
        <v>2296.65</v>
      </c>
      <c r="O14" s="1160">
        <v>0</v>
      </c>
      <c r="P14" s="1161">
        <v>0</v>
      </c>
      <c r="Q14" s="1161">
        <v>0</v>
      </c>
      <c r="R14" s="1161"/>
      <c r="S14" s="1161"/>
      <c r="T14" s="1584">
        <f>J14+L14+N14+P14</f>
        <v>2508.21</v>
      </c>
      <c r="U14" s="625">
        <f>K14+M14+O14+Q14+S14</f>
        <v>0</v>
      </c>
      <c r="V14" s="655">
        <f>AG14+AN14+AS14+AT14+AU14+AV14</f>
        <v>835.13481675392677</v>
      </c>
      <c r="W14" s="1162"/>
      <c r="X14" s="1163"/>
      <c r="Y14" s="1585"/>
      <c r="Z14" s="1157">
        <f>58.42/114.6*G14</f>
        <v>24.622041884816753</v>
      </c>
      <c r="AA14" s="1162"/>
      <c r="AB14" s="1157">
        <f>132.75/114.6*G14</f>
        <v>55.949607329842934</v>
      </c>
      <c r="AC14" s="1157">
        <f>1215.66/114.6*G14</f>
        <v>512.35931937172779</v>
      </c>
      <c r="AD14" s="1165"/>
      <c r="AE14" s="1585"/>
      <c r="AF14" s="1586"/>
      <c r="AG14" s="1159">
        <f>AF14+AE14+AD14+AC14+AB14+AA14+Z14+Y14+X14</f>
        <v>592.93096858638751</v>
      </c>
      <c r="AH14" s="1169"/>
      <c r="AI14" s="1169"/>
      <c r="AJ14" s="1586"/>
      <c r="AK14" s="632"/>
      <c r="AL14" s="1168"/>
      <c r="AM14" s="1169"/>
      <c r="AN14" s="678">
        <f>AM14+AL14+AK14+AJ14+AI14+AH14</f>
        <v>0</v>
      </c>
      <c r="AO14" s="1601"/>
      <c r="AP14" s="1602"/>
      <c r="AQ14" s="38"/>
      <c r="AR14" s="38"/>
      <c r="AS14" s="1465">
        <f>AR14+AQ14+AP14+AO14</f>
        <v>0</v>
      </c>
      <c r="AT14" s="1464"/>
      <c r="AU14" s="1465">
        <f>137.95/114.6*G14</f>
        <v>58.141230366492138</v>
      </c>
      <c r="AV14" s="1465">
        <f>436.72/114.6*G14</f>
        <v>184.06261780104714</v>
      </c>
      <c r="AW14" s="1465">
        <f>T14-V14</f>
        <v>1673.0751832460733</v>
      </c>
      <c r="AX14" s="1465"/>
      <c r="AY14" s="1465">
        <f>U14/T14*100</f>
        <v>0</v>
      </c>
      <c r="AZ14" s="1465">
        <f>V14/G14/9</f>
        <v>1.9211751018033745</v>
      </c>
      <c r="BA14" s="1465">
        <f>T14-U14</f>
        <v>2508.21</v>
      </c>
      <c r="BB14" s="1465"/>
      <c r="BC14" s="1465"/>
      <c r="BD14" s="1465"/>
      <c r="BE14" s="1464">
        <v>5.77</v>
      </c>
      <c r="BF14" s="1465">
        <v>0</v>
      </c>
    </row>
    <row r="15" spans="1:58" ht="16.5" customHeight="1" x14ac:dyDescent="0.25">
      <c r="A15" s="1589"/>
      <c r="B15" s="1590" t="s">
        <v>624</v>
      </c>
      <c r="C15" s="1459"/>
      <c r="D15" s="1459"/>
      <c r="E15" s="1591">
        <f>SUM(E13:E14)</f>
        <v>5</v>
      </c>
      <c r="F15" s="1591">
        <f>SUM(F13:F14)</f>
        <v>6</v>
      </c>
      <c r="G15" s="1592">
        <f>SUM(G13:G14)</f>
        <v>114.6</v>
      </c>
      <c r="H15" s="1592">
        <f t="shared" ref="H15:U15" si="2">SUM(H13:H14)</f>
        <v>0</v>
      </c>
      <c r="I15" s="1592">
        <f t="shared" si="2"/>
        <v>0</v>
      </c>
      <c r="J15" s="1592">
        <f t="shared" si="2"/>
        <v>101.5</v>
      </c>
      <c r="K15" s="1592">
        <f t="shared" si="2"/>
        <v>0</v>
      </c>
      <c r="L15" s="1592">
        <f t="shared" si="2"/>
        <v>361.68</v>
      </c>
      <c r="M15" s="1592">
        <f t="shared" si="2"/>
        <v>0</v>
      </c>
      <c r="N15" s="1592">
        <f t="shared" si="2"/>
        <v>4034.28</v>
      </c>
      <c r="O15" s="1592">
        <f t="shared" si="2"/>
        <v>0</v>
      </c>
      <c r="P15" s="1592">
        <f t="shared" si="2"/>
        <v>0</v>
      </c>
      <c r="Q15" s="1592">
        <f t="shared" si="2"/>
        <v>0</v>
      </c>
      <c r="R15" s="1592">
        <f t="shared" si="2"/>
        <v>0</v>
      </c>
      <c r="S15" s="1592">
        <f t="shared" si="2"/>
        <v>0</v>
      </c>
      <c r="T15" s="1592">
        <f t="shared" si="2"/>
        <v>4497.46</v>
      </c>
      <c r="U15" s="1592">
        <f t="shared" si="2"/>
        <v>0</v>
      </c>
      <c r="V15" s="877">
        <f>SUM(V13:V14)</f>
        <v>1981.5000000000002</v>
      </c>
      <c r="W15" s="877">
        <f t="shared" ref="W15:BD15" si="3">SUM(W13:W14)</f>
        <v>0</v>
      </c>
      <c r="X15" s="877">
        <f t="shared" si="3"/>
        <v>0</v>
      </c>
      <c r="Y15" s="877">
        <f t="shared" si="3"/>
        <v>0</v>
      </c>
      <c r="Z15" s="877">
        <f t="shared" si="3"/>
        <v>58.419999999999995</v>
      </c>
      <c r="AA15" s="877">
        <f t="shared" si="3"/>
        <v>0</v>
      </c>
      <c r="AB15" s="877">
        <f t="shared" si="3"/>
        <v>132.75</v>
      </c>
      <c r="AC15" s="877">
        <f t="shared" si="3"/>
        <v>1215.6600000000001</v>
      </c>
      <c r="AD15" s="877">
        <f t="shared" si="3"/>
        <v>0</v>
      </c>
      <c r="AE15" s="877">
        <f t="shared" si="3"/>
        <v>0</v>
      </c>
      <c r="AF15" s="877">
        <f t="shared" si="3"/>
        <v>0</v>
      </c>
      <c r="AG15" s="877">
        <f t="shared" si="3"/>
        <v>1406.8300000000002</v>
      </c>
      <c r="AH15" s="877">
        <f t="shared" si="3"/>
        <v>0</v>
      </c>
      <c r="AI15" s="877">
        <f t="shared" si="3"/>
        <v>0</v>
      </c>
      <c r="AJ15" s="877">
        <f t="shared" si="3"/>
        <v>0</v>
      </c>
      <c r="AK15" s="877">
        <f t="shared" si="3"/>
        <v>0</v>
      </c>
      <c r="AL15" s="877">
        <f t="shared" si="3"/>
        <v>0</v>
      </c>
      <c r="AM15" s="877">
        <f t="shared" si="3"/>
        <v>0</v>
      </c>
      <c r="AN15" s="877">
        <f t="shared" si="3"/>
        <v>0</v>
      </c>
      <c r="AO15" s="877">
        <f t="shared" si="3"/>
        <v>0</v>
      </c>
      <c r="AP15" s="877">
        <f t="shared" si="3"/>
        <v>0</v>
      </c>
      <c r="AQ15" s="877">
        <f t="shared" si="3"/>
        <v>0</v>
      </c>
      <c r="AR15" s="877">
        <f t="shared" si="3"/>
        <v>0</v>
      </c>
      <c r="AS15" s="877">
        <f t="shared" si="3"/>
        <v>0</v>
      </c>
      <c r="AT15" s="877">
        <f t="shared" si="3"/>
        <v>0</v>
      </c>
      <c r="AU15" s="877">
        <f t="shared" si="3"/>
        <v>137.94999999999999</v>
      </c>
      <c r="AV15" s="877">
        <f t="shared" si="3"/>
        <v>436.72</v>
      </c>
      <c r="AW15" s="877">
        <f t="shared" si="3"/>
        <v>2515.96</v>
      </c>
      <c r="AX15" s="877"/>
      <c r="AY15" s="877">
        <f t="shared" si="3"/>
        <v>0</v>
      </c>
      <c r="AZ15" s="1603">
        <f>V15/G15/9</f>
        <v>1.9211751018033745</v>
      </c>
      <c r="BA15" s="877">
        <f t="shared" si="3"/>
        <v>4497.46</v>
      </c>
      <c r="BB15" s="877"/>
      <c r="BC15" s="877"/>
      <c r="BD15" s="877">
        <f t="shared" si="3"/>
        <v>0</v>
      </c>
      <c r="BE15" s="877"/>
      <c r="BF15" s="877"/>
    </row>
    <row r="16" spans="1:58" ht="15.75" x14ac:dyDescent="0.25">
      <c r="A16" s="115"/>
      <c r="B16" s="1587" t="s">
        <v>625</v>
      </c>
      <c r="C16" s="1588"/>
      <c r="D16" s="1588"/>
      <c r="E16" s="1588">
        <f t="shared" ref="E16:BF16" si="4">E12+E15</f>
        <v>29</v>
      </c>
      <c r="F16" s="1588">
        <f t="shared" si="4"/>
        <v>70</v>
      </c>
      <c r="G16" s="1588">
        <f t="shared" si="4"/>
        <v>1119.3</v>
      </c>
      <c r="H16" s="1588">
        <f t="shared" si="4"/>
        <v>1803.3</v>
      </c>
      <c r="I16" s="1588">
        <f t="shared" si="4"/>
        <v>938.57</v>
      </c>
      <c r="J16" s="1588">
        <f>J12+J15</f>
        <v>1065.94</v>
      </c>
      <c r="K16" s="1588">
        <f t="shared" ref="K16:O16" si="5">K12+K15</f>
        <v>940.67000000000007</v>
      </c>
      <c r="L16" s="1588">
        <f t="shared" si="5"/>
        <v>3797.8799999999997</v>
      </c>
      <c r="M16" s="1588">
        <f t="shared" si="5"/>
        <v>3331.54</v>
      </c>
      <c r="N16" s="1588">
        <f t="shared" si="5"/>
        <v>54791.85</v>
      </c>
      <c r="O16" s="1588">
        <f t="shared" si="5"/>
        <v>40396.06</v>
      </c>
      <c r="P16" s="1588">
        <f t="shared" si="4"/>
        <v>2835.16</v>
      </c>
      <c r="Q16" s="1588">
        <f t="shared" si="4"/>
        <v>2460.19</v>
      </c>
      <c r="R16" s="1588"/>
      <c r="S16" s="1588"/>
      <c r="T16" s="1588">
        <f t="shared" si="4"/>
        <v>89617.73000000001</v>
      </c>
      <c r="U16" s="1588">
        <f t="shared" si="4"/>
        <v>68937.430000000008</v>
      </c>
      <c r="V16" s="1588">
        <f t="shared" si="4"/>
        <v>63678.229999999996</v>
      </c>
      <c r="W16" s="1588">
        <f t="shared" si="4"/>
        <v>446.66</v>
      </c>
      <c r="X16" s="1588">
        <f t="shared" si="4"/>
        <v>0</v>
      </c>
      <c r="Y16" s="1588">
        <f t="shared" si="4"/>
        <v>4299.96</v>
      </c>
      <c r="Z16" s="1588">
        <f t="shared" si="4"/>
        <v>570.57999999999993</v>
      </c>
      <c r="AA16" s="1588">
        <f t="shared" si="4"/>
        <v>0</v>
      </c>
      <c r="AB16" s="1588">
        <f t="shared" si="4"/>
        <v>1623.73</v>
      </c>
      <c r="AC16" s="1588">
        <f t="shared" si="4"/>
        <v>16085.379999999997</v>
      </c>
      <c r="AD16" s="1588">
        <f t="shared" si="4"/>
        <v>0</v>
      </c>
      <c r="AE16" s="1588">
        <f t="shared" si="4"/>
        <v>0</v>
      </c>
      <c r="AF16" s="1588">
        <f t="shared" si="4"/>
        <v>0</v>
      </c>
      <c r="AG16" s="1588">
        <f t="shared" si="4"/>
        <v>23026.309999999998</v>
      </c>
      <c r="AH16" s="1588">
        <f t="shared" si="4"/>
        <v>33713.520000000004</v>
      </c>
      <c r="AI16" s="1588">
        <f t="shared" si="4"/>
        <v>0</v>
      </c>
      <c r="AJ16" s="1588">
        <f t="shared" si="4"/>
        <v>0</v>
      </c>
      <c r="AK16" s="1588">
        <f t="shared" si="4"/>
        <v>0</v>
      </c>
      <c r="AL16" s="1588">
        <f t="shared" si="4"/>
        <v>0</v>
      </c>
      <c r="AM16" s="1588">
        <f t="shared" si="4"/>
        <v>0</v>
      </c>
      <c r="AN16" s="1588">
        <f t="shared" si="4"/>
        <v>33713.520000000004</v>
      </c>
      <c r="AO16" s="1588">
        <f t="shared" si="4"/>
        <v>0</v>
      </c>
      <c r="AP16" s="1588">
        <f t="shared" si="4"/>
        <v>0</v>
      </c>
      <c r="AQ16" s="1588">
        <f t="shared" si="4"/>
        <v>0</v>
      </c>
      <c r="AR16" s="1588">
        <f t="shared" si="4"/>
        <v>0</v>
      </c>
      <c r="AS16" s="1588">
        <f t="shared" si="4"/>
        <v>0</v>
      </c>
      <c r="AT16" s="1588">
        <f t="shared" si="4"/>
        <v>0</v>
      </c>
      <c r="AU16" s="1588">
        <f t="shared" si="4"/>
        <v>1347.3799999999999</v>
      </c>
      <c r="AV16" s="1588">
        <f t="shared" si="4"/>
        <v>5591.02</v>
      </c>
      <c r="AW16" s="1588">
        <f t="shared" si="4"/>
        <v>25939.500000000007</v>
      </c>
      <c r="AX16" s="1588"/>
      <c r="AY16" s="1588">
        <f t="shared" si="4"/>
        <v>80.988265192297916</v>
      </c>
      <c r="AZ16" s="1588">
        <f t="shared" si="4"/>
        <v>8.7442986433801835</v>
      </c>
      <c r="BA16" s="1588">
        <f t="shared" si="4"/>
        <v>20680.299999999996</v>
      </c>
      <c r="BB16" s="1588"/>
      <c r="BC16" s="1588"/>
      <c r="BD16" s="1588">
        <f t="shared" si="4"/>
        <v>5317.93</v>
      </c>
      <c r="BE16" s="1588">
        <f t="shared" si="4"/>
        <v>0</v>
      </c>
      <c r="BF16" s="1588">
        <f t="shared" si="4"/>
        <v>0</v>
      </c>
    </row>
    <row r="17" spans="1:58" ht="18" customHeight="1" x14ac:dyDescent="0.25">
      <c r="A17" s="113"/>
      <c r="B17" s="118"/>
      <c r="C17" s="118"/>
      <c r="D17" s="118"/>
      <c r="E17" s="118"/>
      <c r="F17" s="118"/>
      <c r="G17" s="206"/>
      <c r="H17" s="206"/>
      <c r="I17" s="206"/>
      <c r="J17" s="206"/>
      <c r="K17" s="206"/>
      <c r="L17" s="206"/>
      <c r="M17" s="206"/>
      <c r="N17" s="206"/>
      <c r="O17" s="206"/>
      <c r="P17" s="114"/>
      <c r="Q17" s="114"/>
      <c r="R17" s="114"/>
      <c r="S17" s="114"/>
      <c r="T17" s="114"/>
      <c r="U17" s="114"/>
      <c r="V17" s="15"/>
      <c r="W17" s="47"/>
      <c r="X17" s="47"/>
      <c r="Y17" s="15"/>
      <c r="Z17" s="15"/>
      <c r="AA17" s="47"/>
      <c r="AB17" s="15"/>
      <c r="AC17" s="15"/>
      <c r="AD17" s="15"/>
      <c r="AE17" s="15"/>
      <c r="AF17" s="47"/>
      <c r="AG17" s="47"/>
      <c r="AH17" s="47"/>
      <c r="AI17" s="47"/>
      <c r="AJ17" s="15"/>
      <c r="AK17" s="15"/>
      <c r="AL17" s="15"/>
      <c r="AM17" s="15"/>
      <c r="AN17" s="1151"/>
      <c r="AO17" s="1151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</row>
    <row r="19" spans="1:58" ht="15" customHeight="1" x14ac:dyDescent="0.25">
      <c r="B19" s="353" t="s">
        <v>674</v>
      </c>
    </row>
    <row r="20" spans="1:58" x14ac:dyDescent="0.25">
      <c r="A20" s="250"/>
      <c r="B20" s="250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</row>
    <row r="21" spans="1:58" ht="15" customHeight="1" x14ac:dyDescent="0.25">
      <c r="A21" s="250"/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</row>
    <row r="22" spans="1:58" ht="15" customHeight="1" x14ac:dyDescent="0.25">
      <c r="A22" s="2017" t="s">
        <v>0</v>
      </c>
      <c r="B22" s="2017" t="s">
        <v>184</v>
      </c>
      <c r="C22" s="2017" t="s">
        <v>54</v>
      </c>
      <c r="D22" s="2017" t="s">
        <v>55</v>
      </c>
      <c r="E22" s="2017" t="s">
        <v>56</v>
      </c>
      <c r="F22" s="2017" t="s">
        <v>57</v>
      </c>
      <c r="G22" s="2017" t="s">
        <v>6</v>
      </c>
      <c r="H22" s="2304"/>
      <c r="I22" s="1386"/>
      <c r="J22" s="1386"/>
      <c r="K22" s="1386"/>
      <c r="L22" s="1386"/>
      <c r="M22" s="1386"/>
      <c r="N22" s="1386"/>
      <c r="O22" s="1386"/>
      <c r="P22" s="2249" t="s">
        <v>284</v>
      </c>
      <c r="Q22" s="2250"/>
      <c r="R22" s="1581"/>
      <c r="S22" s="1581"/>
      <c r="T22" s="1387"/>
      <c r="U22" s="1387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</row>
    <row r="23" spans="1:58" ht="42.75" customHeight="1" x14ac:dyDescent="0.25">
      <c r="A23" s="2017"/>
      <c r="B23" s="2017"/>
      <c r="C23" s="2017"/>
      <c r="D23" s="2017"/>
      <c r="E23" s="2017"/>
      <c r="F23" s="2017"/>
      <c r="G23" s="2017"/>
      <c r="H23" s="2305"/>
      <c r="I23" s="1090"/>
      <c r="J23" s="1090"/>
      <c r="K23" s="1090"/>
      <c r="L23" s="1090"/>
      <c r="M23" s="1090"/>
      <c r="N23" s="1090"/>
      <c r="O23" s="1090"/>
      <c r="P23" s="51" t="s">
        <v>15</v>
      </c>
      <c r="Q23" s="1385" t="s">
        <v>16</v>
      </c>
      <c r="R23" s="1579"/>
      <c r="S23" s="1579"/>
      <c r="T23" s="616"/>
      <c r="U23" s="616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</row>
    <row r="24" spans="1:58" x14ac:dyDescent="0.25">
      <c r="A24" s="13">
        <v>2</v>
      </c>
      <c r="B24" s="42" t="s">
        <v>237</v>
      </c>
      <c r="C24" s="13">
        <v>1964</v>
      </c>
      <c r="D24" s="13">
        <v>2</v>
      </c>
      <c r="E24" s="13">
        <v>12</v>
      </c>
      <c r="F24" s="13">
        <v>35</v>
      </c>
      <c r="G24" s="37">
        <v>503.3</v>
      </c>
      <c r="H24" s="1118"/>
      <c r="I24" s="1118"/>
      <c r="J24" s="1118"/>
      <c r="K24" s="1118"/>
      <c r="L24" s="1118"/>
      <c r="M24" s="1118"/>
      <c r="N24" s="1118"/>
      <c r="O24" s="1118"/>
      <c r="P24" s="29">
        <v>13589.1</v>
      </c>
      <c r="Q24" s="29">
        <v>11225.59</v>
      </c>
      <c r="R24" s="29"/>
      <c r="S24" s="29"/>
      <c r="T24" s="1049"/>
      <c r="U24" s="1049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</row>
    <row r="25" spans="1:58" ht="15.75" customHeight="1" thickBot="1" x14ac:dyDescent="0.3">
      <c r="A25" s="13">
        <v>3</v>
      </c>
      <c r="B25" s="42" t="s">
        <v>238</v>
      </c>
      <c r="C25" s="13">
        <v>1967</v>
      </c>
      <c r="D25" s="13">
        <v>2</v>
      </c>
      <c r="E25" s="13">
        <v>12</v>
      </c>
      <c r="F25" s="13">
        <v>29</v>
      </c>
      <c r="G25" s="37">
        <v>501.4</v>
      </c>
      <c r="H25" s="1118"/>
      <c r="I25" s="1118"/>
      <c r="J25" s="1118"/>
      <c r="K25" s="1118"/>
      <c r="L25" s="1118"/>
      <c r="M25" s="1118"/>
      <c r="N25" s="1118"/>
      <c r="O25" s="1118"/>
      <c r="P25" s="29">
        <v>13537.8</v>
      </c>
      <c r="Q25" s="29">
        <v>10583.38</v>
      </c>
      <c r="R25" s="29"/>
      <c r="S25" s="29"/>
      <c r="T25" s="1049"/>
      <c r="U25" s="1049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</row>
    <row r="26" spans="1:58" ht="16.5" thickBot="1" x14ac:dyDescent="0.3">
      <c r="A26" s="551"/>
      <c r="B26" s="552" t="s">
        <v>23</v>
      </c>
      <c r="C26" s="553"/>
      <c r="D26" s="553"/>
      <c r="E26" s="554">
        <f>SUM(E24:E25)</f>
        <v>24</v>
      </c>
      <c r="F26" s="554">
        <f>SUM(F24:F25)</f>
        <v>64</v>
      </c>
      <c r="G26" s="555">
        <f>SUM(G24:G25)</f>
        <v>1004.7</v>
      </c>
      <c r="H26" s="1119"/>
      <c r="I26" s="1120"/>
      <c r="J26" s="1120"/>
      <c r="K26" s="1120"/>
      <c r="L26" s="1120"/>
      <c r="M26" s="1120"/>
      <c r="N26" s="1120"/>
      <c r="O26" s="1120"/>
      <c r="P26" s="433">
        <f>SUM(P24:P25)</f>
        <v>27126.9</v>
      </c>
      <c r="Q26" s="556">
        <f>SUM(Q24:Q25)</f>
        <v>21808.97</v>
      </c>
      <c r="R26" s="556"/>
      <c r="S26" s="556"/>
      <c r="T26" s="1121"/>
      <c r="U26" s="1121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</row>
    <row r="27" spans="1:58" ht="15.75" customHeight="1" x14ac:dyDescent="0.25">
      <c r="A27" s="1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297" t="s">
        <v>180</v>
      </c>
      <c r="Q27" s="297" t="s">
        <v>180</v>
      </c>
      <c r="R27" s="297"/>
      <c r="S27" s="297"/>
      <c r="T27" s="297"/>
      <c r="U27" s="297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</row>
    <row r="28" spans="1:58" x14ac:dyDescent="0.25">
      <c r="A28" s="223"/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</row>
    <row r="29" spans="1:58" x14ac:dyDescent="0.25"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</row>
    <row r="30" spans="1:58" x14ac:dyDescent="0.25">
      <c r="H30" s="353"/>
    </row>
    <row r="31" spans="1:58" x14ac:dyDescent="0.25">
      <c r="G31" s="353"/>
      <c r="H31" s="1613" t="s">
        <v>769</v>
      </c>
      <c r="N31" s="353" t="s">
        <v>774</v>
      </c>
    </row>
    <row r="34" spans="1:59" ht="27" customHeight="1" x14ac:dyDescent="0.25">
      <c r="A34" s="2017" t="s">
        <v>0</v>
      </c>
      <c r="B34" s="2017" t="s">
        <v>184</v>
      </c>
      <c r="C34" s="2017" t="s">
        <v>54</v>
      </c>
      <c r="D34" s="2017" t="s">
        <v>55</v>
      </c>
      <c r="E34" s="2017" t="s">
        <v>56</v>
      </c>
      <c r="F34" s="2017" t="s">
        <v>57</v>
      </c>
      <c r="G34" s="2017" t="s">
        <v>6</v>
      </c>
      <c r="H34" s="2097" t="s">
        <v>593</v>
      </c>
      <c r="I34" s="2060"/>
      <c r="J34" s="1991" t="s">
        <v>656</v>
      </c>
      <c r="K34" s="1992"/>
      <c r="L34" s="2214" t="s">
        <v>658</v>
      </c>
      <c r="M34" s="2215"/>
      <c r="N34" s="1991" t="s">
        <v>310</v>
      </c>
      <c r="O34" s="1992"/>
      <c r="P34" s="2097" t="s">
        <v>593</v>
      </c>
      <c r="Q34" s="2060"/>
      <c r="R34" s="2249" t="s">
        <v>284</v>
      </c>
      <c r="S34" s="2250"/>
      <c r="T34" s="2017" t="s">
        <v>726</v>
      </c>
      <c r="U34" s="2017"/>
      <c r="V34" s="2022" t="s">
        <v>747</v>
      </c>
      <c r="W34" s="2009" t="s">
        <v>370</v>
      </c>
      <c r="X34" s="1987" t="s">
        <v>333</v>
      </c>
      <c r="Y34" s="2102" t="s">
        <v>542</v>
      </c>
      <c r="Z34" s="2003" t="s">
        <v>578</v>
      </c>
      <c r="AA34" s="2003" t="s">
        <v>767</v>
      </c>
      <c r="AB34" s="2107" t="s">
        <v>503</v>
      </c>
      <c r="AC34" s="2009" t="s">
        <v>316</v>
      </c>
      <c r="AD34" s="2009" t="s">
        <v>369</v>
      </c>
      <c r="AE34" s="2003" t="s">
        <v>321</v>
      </c>
      <c r="AF34" s="2005" t="s">
        <v>554</v>
      </c>
      <c r="AG34" s="2022" t="s">
        <v>688</v>
      </c>
      <c r="AH34" s="1987" t="s">
        <v>689</v>
      </c>
      <c r="AI34" s="2003" t="s">
        <v>606</v>
      </c>
      <c r="AJ34" s="2003" t="s">
        <v>375</v>
      </c>
      <c r="AK34" s="2003" t="s">
        <v>372</v>
      </c>
      <c r="AL34" s="1987" t="s">
        <v>314</v>
      </c>
      <c r="AM34" s="1987" t="s">
        <v>616</v>
      </c>
      <c r="AN34" s="2024" t="s">
        <v>691</v>
      </c>
      <c r="AO34" s="2009" t="s">
        <v>727</v>
      </c>
      <c r="AP34" s="2009" t="s">
        <v>690</v>
      </c>
      <c r="AQ34" s="1987" t="s">
        <v>313</v>
      </c>
      <c r="AR34" s="1987" t="s">
        <v>554</v>
      </c>
      <c r="AS34" s="2022" t="s">
        <v>692</v>
      </c>
      <c r="AT34" s="1987" t="s">
        <v>693</v>
      </c>
      <c r="AU34" s="1987" t="s">
        <v>656</v>
      </c>
      <c r="AV34" s="1987" t="s">
        <v>694</v>
      </c>
      <c r="AW34" s="1987" t="s">
        <v>772</v>
      </c>
      <c r="AX34" s="1987" t="s">
        <v>773</v>
      </c>
      <c r="AY34" s="2005" t="s">
        <v>724</v>
      </c>
      <c r="AZ34" s="2001" t="s">
        <v>182</v>
      </c>
      <c r="BA34" s="2001" t="s">
        <v>736</v>
      </c>
      <c r="BB34" s="2001" t="s">
        <v>770</v>
      </c>
      <c r="BC34" s="2001" t="s">
        <v>771</v>
      </c>
      <c r="BD34" s="2001" t="s">
        <v>725</v>
      </c>
      <c r="BE34" s="1999" t="s">
        <v>715</v>
      </c>
      <c r="BF34" s="1999" t="s">
        <v>716</v>
      </c>
      <c r="BG34" s="2001"/>
    </row>
    <row r="35" spans="1:59" ht="81.75" customHeight="1" x14ac:dyDescent="0.25">
      <c r="A35" s="2017"/>
      <c r="B35" s="2017"/>
      <c r="C35" s="2017"/>
      <c r="D35" s="2017"/>
      <c r="E35" s="2017"/>
      <c r="F35" s="2017"/>
      <c r="G35" s="2017"/>
      <c r="H35" s="150" t="s">
        <v>15</v>
      </c>
      <c r="I35" s="1612" t="s">
        <v>16</v>
      </c>
      <c r="J35" s="51" t="s">
        <v>15</v>
      </c>
      <c r="K35" s="1607" t="s">
        <v>16</v>
      </c>
      <c r="L35" s="51" t="s">
        <v>15</v>
      </c>
      <c r="M35" s="1607" t="s">
        <v>16</v>
      </c>
      <c r="N35" s="51" t="s">
        <v>15</v>
      </c>
      <c r="O35" s="1607" t="s">
        <v>16</v>
      </c>
      <c r="P35" s="51" t="s">
        <v>15</v>
      </c>
      <c r="Q35" s="1607" t="s">
        <v>16</v>
      </c>
      <c r="R35" s="51" t="s">
        <v>15</v>
      </c>
      <c r="S35" s="1607" t="s">
        <v>16</v>
      </c>
      <c r="T35" s="150" t="s">
        <v>15</v>
      </c>
      <c r="U35" s="1612" t="s">
        <v>16</v>
      </c>
      <c r="V35" s="2023"/>
      <c r="W35" s="2009"/>
      <c r="X35" s="1988"/>
      <c r="Y35" s="2102"/>
      <c r="Z35" s="2004"/>
      <c r="AA35" s="2004"/>
      <c r="AB35" s="2107"/>
      <c r="AC35" s="2009"/>
      <c r="AD35" s="2108"/>
      <c r="AE35" s="2004"/>
      <c r="AF35" s="2002"/>
      <c r="AG35" s="2023"/>
      <c r="AH35" s="1988"/>
      <c r="AI35" s="2004"/>
      <c r="AJ35" s="2004"/>
      <c r="AK35" s="2004"/>
      <c r="AL35" s="1988"/>
      <c r="AM35" s="1988"/>
      <c r="AN35" s="2025"/>
      <c r="AO35" s="2009"/>
      <c r="AP35" s="2009"/>
      <c r="AQ35" s="1988"/>
      <c r="AR35" s="1988"/>
      <c r="AS35" s="2023"/>
      <c r="AT35" s="1988"/>
      <c r="AU35" s="1988"/>
      <c r="AV35" s="1988"/>
      <c r="AW35" s="1988"/>
      <c r="AX35" s="1988"/>
      <c r="AY35" s="2006"/>
      <c r="AZ35" s="2002"/>
      <c r="BA35" s="2002"/>
      <c r="BB35" s="2002"/>
      <c r="BC35" s="2002"/>
      <c r="BD35" s="2002"/>
      <c r="BE35" s="2000"/>
      <c r="BF35" s="2000"/>
      <c r="BG35" s="2002"/>
    </row>
    <row r="36" spans="1:59" x14ac:dyDescent="0.25">
      <c r="A36" s="13">
        <v>1</v>
      </c>
      <c r="B36" s="42" t="s">
        <v>237</v>
      </c>
      <c r="C36" s="705">
        <v>1964</v>
      </c>
      <c r="D36" s="705">
        <v>2</v>
      </c>
      <c r="E36" s="705">
        <v>12</v>
      </c>
      <c r="F36" s="705">
        <v>35</v>
      </c>
      <c r="G36" s="706">
        <v>503.3</v>
      </c>
      <c r="H36" s="706">
        <v>906.3</v>
      </c>
      <c r="I36" s="706">
        <v>421.5</v>
      </c>
      <c r="J36" s="706">
        <v>483.12</v>
      </c>
      <c r="K36" s="706">
        <v>488.05</v>
      </c>
      <c r="L36" s="706">
        <v>1721.28</v>
      </c>
      <c r="M36" s="706">
        <v>1704.92</v>
      </c>
      <c r="N36" s="706">
        <v>25426.71</v>
      </c>
      <c r="O36" s="706">
        <v>20785.47</v>
      </c>
      <c r="P36" s="625">
        <v>1424.88</v>
      </c>
      <c r="Q36" s="625">
        <v>1326.29</v>
      </c>
      <c r="R36" s="625">
        <v>13589.1</v>
      </c>
      <c r="S36" s="625">
        <v>11225.59</v>
      </c>
      <c r="T36" s="625">
        <f>J36+L36+N36+P36+R36</f>
        <v>42645.090000000004</v>
      </c>
      <c r="U36" s="625">
        <f>K36+M36+O36+Q36+S36</f>
        <v>35530.320000000007</v>
      </c>
      <c r="V36" s="655">
        <f>AG36+AN36+AS36+AT36+AU36+AV36</f>
        <v>47314.923734475975</v>
      </c>
      <c r="W36" s="656">
        <v>368.72</v>
      </c>
      <c r="X36" s="656"/>
      <c r="Y36" s="656">
        <v>2149.98</v>
      </c>
      <c r="Z36" s="656">
        <f>512.16/1004.7*G36</f>
        <v>256.56427590325467</v>
      </c>
      <c r="AA36" s="656"/>
      <c r="AB36" s="656">
        <f>1490.98/1004.7*G36</f>
        <v>746.89980491689062</v>
      </c>
      <c r="AC36" s="656">
        <f>14869.72/1004.7*G36</f>
        <v>7448.9201512889413</v>
      </c>
      <c r="AD36" s="1117">
        <v>1751.77</v>
      </c>
      <c r="AE36" s="1117">
        <v>13121.62</v>
      </c>
      <c r="AF36" s="1095">
        <f>AE36*0.202</f>
        <v>2650.5672400000003</v>
      </c>
      <c r="AG36" s="1593">
        <f>AF36+AE36+AD36+AC36+AB36+AA36+Z36+Y36+X36+W36</f>
        <v>28495.041472109089</v>
      </c>
      <c r="AH36" s="1593">
        <v>15632</v>
      </c>
      <c r="AI36" s="1593"/>
      <c r="AJ36" s="1593"/>
      <c r="AK36" s="1594"/>
      <c r="AL36" s="1594"/>
      <c r="AM36" s="1593"/>
      <c r="AN36" s="1595">
        <f>AM36+AL36+AK36+AJ36+AI36+AH36</f>
        <v>15632</v>
      </c>
      <c r="AO36" s="1596"/>
      <c r="AP36" s="1597"/>
      <c r="AQ36" s="1597"/>
      <c r="AR36" s="1597"/>
      <c r="AS36" s="1598">
        <f>AR36+AQ36+AP36+AO36</f>
        <v>0</v>
      </c>
      <c r="AT36" s="1598"/>
      <c r="AU36" s="1598">
        <f>1209.43/1004.7*G36</f>
        <v>605.85858365681293</v>
      </c>
      <c r="AV36" s="1598">
        <f>5154.3/1004.7*G36</f>
        <v>2582.023678710063</v>
      </c>
      <c r="AW36" s="1598">
        <f>T36-V36</f>
        <v>-4669.8337344759711</v>
      </c>
      <c r="AX36" s="1598">
        <f>R36-AN36</f>
        <v>-2042.8999999999996</v>
      </c>
      <c r="AY36" s="1598">
        <f>U36/T36*100</f>
        <v>83.316320823804119</v>
      </c>
      <c r="AZ36" s="1598">
        <f>V36/G36/9</f>
        <v>10.445487280498924</v>
      </c>
      <c r="BA36" s="1598">
        <f>T36-U36</f>
        <v>7114.7699999999968</v>
      </c>
      <c r="BB36" s="1598">
        <f>N36-O36</f>
        <v>4641.239999999998</v>
      </c>
      <c r="BC36" s="1598">
        <f>N36-AG36</f>
        <v>-3068.3314721090901</v>
      </c>
      <c r="BD36" s="1598">
        <f>R36-S36</f>
        <v>2363.5100000000002</v>
      </c>
      <c r="BE36" s="1598">
        <v>6.1</v>
      </c>
      <c r="BF36" s="1598">
        <v>3</v>
      </c>
      <c r="BG36" s="15"/>
    </row>
    <row r="37" spans="1:59" x14ac:dyDescent="0.25">
      <c r="A37" s="13">
        <v>2</v>
      </c>
      <c r="B37" s="42" t="s">
        <v>238</v>
      </c>
      <c r="C37" s="705">
        <v>1967</v>
      </c>
      <c r="D37" s="705">
        <v>2</v>
      </c>
      <c r="E37" s="705">
        <v>12</v>
      </c>
      <c r="F37" s="705">
        <v>29</v>
      </c>
      <c r="G37" s="706">
        <v>501.4</v>
      </c>
      <c r="H37" s="706">
        <v>897</v>
      </c>
      <c r="I37" s="706">
        <v>517.07000000000005</v>
      </c>
      <c r="J37" s="706">
        <v>481.32</v>
      </c>
      <c r="K37" s="706">
        <v>452.62</v>
      </c>
      <c r="L37" s="706">
        <v>1714.92</v>
      </c>
      <c r="M37" s="706">
        <v>1626.62</v>
      </c>
      <c r="N37" s="706">
        <v>25330.86</v>
      </c>
      <c r="O37" s="706">
        <v>19610.59</v>
      </c>
      <c r="P37" s="625">
        <v>1410.28</v>
      </c>
      <c r="Q37" s="625">
        <v>1133.9000000000001</v>
      </c>
      <c r="R37" s="625">
        <v>13537.8</v>
      </c>
      <c r="S37" s="625">
        <v>10583.38</v>
      </c>
      <c r="T37" s="625">
        <f>J37+L37+N37+P37+R37</f>
        <v>42475.18</v>
      </c>
      <c r="U37" s="625">
        <f>K37+M37+O37+Q37+S37</f>
        <v>33407.11</v>
      </c>
      <c r="V37" s="655">
        <f>AG37+AN37+AS37+AT37+AU37+AV37</f>
        <v>49351.040845524032</v>
      </c>
      <c r="W37" s="656">
        <v>77.94</v>
      </c>
      <c r="X37" s="656"/>
      <c r="Y37" s="656">
        <v>2149.98</v>
      </c>
      <c r="Z37" s="656">
        <f>512.16/1004.7*G37</f>
        <v>255.59572409674527</v>
      </c>
      <c r="AA37" s="656"/>
      <c r="AB37" s="656">
        <f>1490.98/1004.7*G37</f>
        <v>744.0801950831094</v>
      </c>
      <c r="AC37" s="656">
        <f>14869.72/1004.7*G37</f>
        <v>7420.7998487110572</v>
      </c>
      <c r="AD37" s="1117">
        <v>1745.15</v>
      </c>
      <c r="AE37" s="1117">
        <v>13061.67</v>
      </c>
      <c r="AF37" s="1095">
        <f>AE37*0.202</f>
        <v>2638.4573400000004</v>
      </c>
      <c r="AG37" s="1593">
        <f>AF37+AE37+AD37+AC37+AB37+AA37+Z37+Y37+X37+W37</f>
        <v>28093.673107890907</v>
      </c>
      <c r="AH37" s="1593">
        <v>18081.52</v>
      </c>
      <c r="AI37" s="1593"/>
      <c r="AJ37" s="1593"/>
      <c r="AK37" s="1594"/>
      <c r="AL37" s="1594"/>
      <c r="AM37" s="1593"/>
      <c r="AN37" s="1595">
        <f>AM37+AL37+AK37+AJ37+AI37+AH37</f>
        <v>18081.52</v>
      </c>
      <c r="AO37" s="1596"/>
      <c r="AP37" s="1597"/>
      <c r="AQ37" s="1597"/>
      <c r="AR37" s="1597"/>
      <c r="AS37" s="1598">
        <f>AR37+AQ37+AP37+AO37</f>
        <v>0</v>
      </c>
      <c r="AT37" s="1598"/>
      <c r="AU37" s="1598">
        <f>1209.43/1004.7*G37</f>
        <v>603.57141634318702</v>
      </c>
      <c r="AV37" s="1598">
        <f>5154.3/1004.7*G37</f>
        <v>2572.2763212899372</v>
      </c>
      <c r="AW37" s="1598">
        <f>T37-V37</f>
        <v>-6875.8608455240319</v>
      </c>
      <c r="AX37" s="1598">
        <f>R37-AN37</f>
        <v>-4543.7200000000012</v>
      </c>
      <c r="AY37" s="1598">
        <f>U37/T37*100</f>
        <v>78.650896829630852</v>
      </c>
      <c r="AZ37" s="1598">
        <f t="shared" ref="AZ37:AZ38" si="6">V37/G37/9</f>
        <v>10.936276391775037</v>
      </c>
      <c r="BA37" s="1598">
        <f>T37-U37</f>
        <v>9068.07</v>
      </c>
      <c r="BB37" s="1598">
        <f>N37-O37</f>
        <v>5720.27</v>
      </c>
      <c r="BC37" s="1598">
        <f>N37-AG37</f>
        <v>-2762.8131078909064</v>
      </c>
      <c r="BD37" s="1598">
        <f>R37-S37</f>
        <v>2954.42</v>
      </c>
      <c r="BE37" s="1598">
        <v>6.1</v>
      </c>
      <c r="BF37" s="1598">
        <v>3</v>
      </c>
      <c r="BG37" s="15"/>
    </row>
    <row r="38" spans="1:59" x14ac:dyDescent="0.25">
      <c r="A38" s="13"/>
      <c r="B38" s="1143" t="s">
        <v>303</v>
      </c>
      <c r="C38" s="918"/>
      <c r="D38" s="918"/>
      <c r="E38" s="918">
        <f t="shared" ref="E38:AN38" si="7">SUM(E36:E37)</f>
        <v>24</v>
      </c>
      <c r="F38" s="918">
        <f t="shared" si="7"/>
        <v>64</v>
      </c>
      <c r="G38" s="692">
        <f t="shared" si="7"/>
        <v>1004.7</v>
      </c>
      <c r="H38" s="692">
        <f t="shared" si="7"/>
        <v>1803.3</v>
      </c>
      <c r="I38" s="692">
        <f t="shared" si="7"/>
        <v>938.57</v>
      </c>
      <c r="J38" s="692">
        <f t="shared" si="7"/>
        <v>964.44</v>
      </c>
      <c r="K38" s="692">
        <f t="shared" si="7"/>
        <v>940.67000000000007</v>
      </c>
      <c r="L38" s="692">
        <f t="shared" si="7"/>
        <v>3436.2</v>
      </c>
      <c r="M38" s="692">
        <f t="shared" si="7"/>
        <v>3331.54</v>
      </c>
      <c r="N38" s="692">
        <f t="shared" si="7"/>
        <v>50757.57</v>
      </c>
      <c r="O38" s="692">
        <f t="shared" si="7"/>
        <v>40396.06</v>
      </c>
      <c r="P38" s="692">
        <f t="shared" si="7"/>
        <v>2835.16</v>
      </c>
      <c r="Q38" s="692">
        <f t="shared" si="7"/>
        <v>2460.19</v>
      </c>
      <c r="R38" s="692">
        <f t="shared" si="7"/>
        <v>27126.9</v>
      </c>
      <c r="S38" s="692">
        <f t="shared" si="7"/>
        <v>21808.97</v>
      </c>
      <c r="T38" s="692">
        <f t="shared" si="7"/>
        <v>85120.27</v>
      </c>
      <c r="U38" s="692">
        <f t="shared" si="7"/>
        <v>68937.430000000008</v>
      </c>
      <c r="V38" s="1156">
        <f t="shared" si="7"/>
        <v>96665.96458</v>
      </c>
      <c r="W38" s="1156">
        <f t="shared" si="7"/>
        <v>446.66</v>
      </c>
      <c r="X38" s="1156">
        <f t="shared" si="7"/>
        <v>0</v>
      </c>
      <c r="Y38" s="1156">
        <f t="shared" si="7"/>
        <v>4299.96</v>
      </c>
      <c r="Z38" s="1156">
        <f t="shared" si="7"/>
        <v>512.16</v>
      </c>
      <c r="AA38" s="1156">
        <f t="shared" si="7"/>
        <v>0</v>
      </c>
      <c r="AB38" s="1156">
        <f t="shared" si="7"/>
        <v>1490.98</v>
      </c>
      <c r="AC38" s="1156">
        <f t="shared" si="7"/>
        <v>14869.719999999998</v>
      </c>
      <c r="AD38" s="1156">
        <v>3496.92</v>
      </c>
      <c r="AE38" s="1156">
        <v>26183.29</v>
      </c>
      <c r="AF38" s="1156">
        <f t="shared" si="7"/>
        <v>5289.0245800000012</v>
      </c>
      <c r="AG38" s="1156">
        <f t="shared" si="7"/>
        <v>56588.71458</v>
      </c>
      <c r="AH38" s="1156">
        <f t="shared" si="7"/>
        <v>33713.520000000004</v>
      </c>
      <c r="AI38" s="1156">
        <f t="shared" si="7"/>
        <v>0</v>
      </c>
      <c r="AJ38" s="1156">
        <f t="shared" si="7"/>
        <v>0</v>
      </c>
      <c r="AK38" s="1156">
        <f t="shared" si="7"/>
        <v>0</v>
      </c>
      <c r="AL38" s="1156">
        <f t="shared" si="7"/>
        <v>0</v>
      </c>
      <c r="AM38" s="1156">
        <f t="shared" si="7"/>
        <v>0</v>
      </c>
      <c r="AN38" s="1156">
        <f t="shared" si="7"/>
        <v>33713.520000000004</v>
      </c>
      <c r="AO38" s="1156">
        <f>SUM(AO36:AO37)</f>
        <v>0</v>
      </c>
      <c r="AP38" s="1156">
        <f t="shared" ref="AP38:AX38" si="8">SUM(AP36:AP37)</f>
        <v>0</v>
      </c>
      <c r="AQ38" s="1156">
        <f t="shared" si="8"/>
        <v>0</v>
      </c>
      <c r="AR38" s="1156">
        <f t="shared" si="8"/>
        <v>0</v>
      </c>
      <c r="AS38" s="1156">
        <f t="shared" si="8"/>
        <v>0</v>
      </c>
      <c r="AT38" s="1156">
        <f t="shared" si="8"/>
        <v>0</v>
      </c>
      <c r="AU38" s="1156">
        <f t="shared" si="8"/>
        <v>1209.4299999999998</v>
      </c>
      <c r="AV38" s="1156">
        <f t="shared" si="8"/>
        <v>5154.3</v>
      </c>
      <c r="AW38" s="1156">
        <f t="shared" si="8"/>
        <v>-11545.694580000003</v>
      </c>
      <c r="AX38" s="1156">
        <f t="shared" si="8"/>
        <v>-6586.6200000000008</v>
      </c>
      <c r="AY38" s="1599">
        <f>U38/T38*100</f>
        <v>80.988265192297916</v>
      </c>
      <c r="AZ38" s="1599">
        <f t="shared" si="6"/>
        <v>10.690417767603375</v>
      </c>
      <c r="BA38" s="1156">
        <f t="shared" ref="BA38:BD38" si="9">SUM(BA36:BA37)</f>
        <v>16182.839999999997</v>
      </c>
      <c r="BB38" s="1156">
        <f t="shared" si="9"/>
        <v>10361.509999999998</v>
      </c>
      <c r="BC38" s="1156">
        <f t="shared" si="9"/>
        <v>-5831.1445799999965</v>
      </c>
      <c r="BD38" s="1156">
        <f t="shared" si="9"/>
        <v>5317.93</v>
      </c>
      <c r="BE38" s="1156"/>
      <c r="BF38" s="1156"/>
      <c r="BG38" s="15"/>
    </row>
    <row r="39" spans="1:59" x14ac:dyDescent="0.25">
      <c r="A39" s="36">
        <v>3</v>
      </c>
      <c r="B39" s="188" t="s">
        <v>541</v>
      </c>
      <c r="C39" s="1144">
        <v>1960</v>
      </c>
      <c r="D39" s="1144">
        <v>1</v>
      </c>
      <c r="E39" s="1144">
        <v>4</v>
      </c>
      <c r="F39" s="1144">
        <v>2</v>
      </c>
      <c r="G39" s="706">
        <v>66.3</v>
      </c>
      <c r="H39" s="706"/>
      <c r="I39" s="706"/>
      <c r="J39" s="706">
        <v>55.12</v>
      </c>
      <c r="K39" s="706">
        <v>0</v>
      </c>
      <c r="L39" s="706">
        <v>196.5</v>
      </c>
      <c r="M39" s="706">
        <v>0</v>
      </c>
      <c r="N39" s="706">
        <v>1737.63</v>
      </c>
      <c r="O39" s="706">
        <v>0</v>
      </c>
      <c r="P39" s="871">
        <v>0</v>
      </c>
      <c r="Q39" s="871">
        <v>0</v>
      </c>
      <c r="R39" s="871"/>
      <c r="S39" s="871"/>
      <c r="T39" s="625">
        <f>J39+L39+N39+P39+R39</f>
        <v>1989.25</v>
      </c>
      <c r="U39" s="625">
        <f>K39+M39+O39+Q39+S39</f>
        <v>0</v>
      </c>
      <c r="V39" s="655">
        <f>AG39+AN39+AS39+AT39+AU39+AV39</f>
        <v>1146.3651832460735</v>
      </c>
      <c r="W39" s="1157"/>
      <c r="X39" s="1157"/>
      <c r="Y39" s="1157"/>
      <c r="Z39" s="1157">
        <f>58.42/114.6*G39</f>
        <v>33.797958115183242</v>
      </c>
      <c r="AA39" s="1157"/>
      <c r="AB39" s="1157">
        <f>132.75/114.6*G39</f>
        <v>76.800392670157066</v>
      </c>
      <c r="AC39" s="1157">
        <f>1215.66/114.6*G39</f>
        <v>703.30068062827229</v>
      </c>
      <c r="AD39" s="1157"/>
      <c r="AE39" s="1157"/>
      <c r="AF39" s="1159"/>
      <c r="AG39" s="1159">
        <f>AF39+AE39+AD39+AC39+AB39+AA39+Z39+Y39+X39</f>
        <v>813.89903141361265</v>
      </c>
      <c r="AH39" s="1159"/>
      <c r="AI39" s="1159"/>
      <c r="AJ39" s="1159"/>
      <c r="AK39" s="591"/>
      <c r="AL39" s="591"/>
      <c r="AM39" s="1159"/>
      <c r="AN39" s="678">
        <f>AM39+AL39+AK39+AJ39+AI39+AH39</f>
        <v>0</v>
      </c>
      <c r="AO39" s="1600"/>
      <c r="AP39" s="38"/>
      <c r="AQ39" s="38"/>
      <c r="AR39" s="38"/>
      <c r="AS39" s="1465">
        <f>AR39+AQ39+AP39+AO39</f>
        <v>0</v>
      </c>
      <c r="AT39" s="1464"/>
      <c r="AU39" s="1465">
        <f>137.95/114.6*G39</f>
        <v>79.808769633507836</v>
      </c>
      <c r="AV39" s="1465">
        <f>436.72/114.6*G39</f>
        <v>252.65738219895292</v>
      </c>
      <c r="AW39" s="1465">
        <f>T39-V39</f>
        <v>842.88481675392654</v>
      </c>
      <c r="AX39" s="1598">
        <f>R39-AN39</f>
        <v>0</v>
      </c>
      <c r="AY39" s="1465">
        <f>U39/T39*100</f>
        <v>0</v>
      </c>
      <c r="AZ39" s="1465">
        <f>V39/G39/9</f>
        <v>1.9211751018033745</v>
      </c>
      <c r="BA39" s="1465">
        <f>T39-U39</f>
        <v>1989.25</v>
      </c>
      <c r="BB39" s="1598">
        <f>N39-O39</f>
        <v>1737.63</v>
      </c>
      <c r="BC39" s="1598">
        <f>N39-AG39</f>
        <v>923.73096858638746</v>
      </c>
      <c r="BD39" s="1465"/>
      <c r="BE39" s="1464"/>
      <c r="BF39" s="1465"/>
      <c r="BG39" s="15"/>
    </row>
    <row r="40" spans="1:59" x14ac:dyDescent="0.25">
      <c r="A40" s="182">
        <v>4</v>
      </c>
      <c r="B40" s="188" t="s">
        <v>239</v>
      </c>
      <c r="C40" s="1145"/>
      <c r="D40" s="1146">
        <v>1</v>
      </c>
      <c r="E40" s="1146">
        <v>1</v>
      </c>
      <c r="F40" s="1146">
        <v>4</v>
      </c>
      <c r="G40" s="1099">
        <v>48.3</v>
      </c>
      <c r="H40" s="1099"/>
      <c r="I40" s="1160"/>
      <c r="J40" s="1160">
        <v>46.38</v>
      </c>
      <c r="K40" s="1160">
        <v>0</v>
      </c>
      <c r="L40" s="1160">
        <v>165.18</v>
      </c>
      <c r="M40" s="1160">
        <v>0</v>
      </c>
      <c r="N40" s="1160">
        <v>2296.65</v>
      </c>
      <c r="O40" s="1160">
        <v>0</v>
      </c>
      <c r="P40" s="1161">
        <v>0</v>
      </c>
      <c r="Q40" s="1161">
        <v>0</v>
      </c>
      <c r="R40" s="1161"/>
      <c r="S40" s="1161"/>
      <c r="T40" s="1584">
        <f>J40+L40+N40+P40</f>
        <v>2508.21</v>
      </c>
      <c r="U40" s="625">
        <f>K40+M40+O40+Q40+S40</f>
        <v>0</v>
      </c>
      <c r="V40" s="655">
        <f>AG40+AN40+AS40+AT40+AU40+AV40</f>
        <v>835.13481675392677</v>
      </c>
      <c r="W40" s="1162"/>
      <c r="X40" s="1163"/>
      <c r="Y40" s="1585"/>
      <c r="Z40" s="1157">
        <f>58.42/114.6*G40</f>
        <v>24.622041884816753</v>
      </c>
      <c r="AA40" s="1162"/>
      <c r="AB40" s="1157">
        <f>132.75/114.6*G40</f>
        <v>55.949607329842934</v>
      </c>
      <c r="AC40" s="1157">
        <f>1215.66/114.6*G40</f>
        <v>512.35931937172779</v>
      </c>
      <c r="AD40" s="1165"/>
      <c r="AE40" s="1585"/>
      <c r="AF40" s="1586"/>
      <c r="AG40" s="1159">
        <f>AF40+AE40+AD40+AC40+AB40+AA40+Z40+Y40+X40</f>
        <v>592.93096858638751</v>
      </c>
      <c r="AH40" s="1169"/>
      <c r="AI40" s="1169"/>
      <c r="AJ40" s="1586"/>
      <c r="AK40" s="632"/>
      <c r="AL40" s="1168"/>
      <c r="AM40" s="1169"/>
      <c r="AN40" s="678">
        <f>AM40+AL40+AK40+AJ40+AI40+AH40</f>
        <v>0</v>
      </c>
      <c r="AO40" s="1601"/>
      <c r="AP40" s="1602"/>
      <c r="AQ40" s="38"/>
      <c r="AR40" s="38"/>
      <c r="AS40" s="1465">
        <f>AR40+AQ40+AP40+AO40</f>
        <v>0</v>
      </c>
      <c r="AT40" s="1464"/>
      <c r="AU40" s="1465">
        <f>137.95/114.6*G40</f>
        <v>58.141230366492138</v>
      </c>
      <c r="AV40" s="1465">
        <f>436.72/114.6*G40</f>
        <v>184.06261780104714</v>
      </c>
      <c r="AW40" s="1465">
        <f>T40-V40</f>
        <v>1673.0751832460733</v>
      </c>
      <c r="AX40" s="1598">
        <f>R40-AN40</f>
        <v>0</v>
      </c>
      <c r="AY40" s="1465">
        <f>U40/T40*100</f>
        <v>0</v>
      </c>
      <c r="AZ40" s="1465">
        <f>V40/G40/9</f>
        <v>1.9211751018033745</v>
      </c>
      <c r="BA40" s="1465">
        <f>T40-U40</f>
        <v>2508.21</v>
      </c>
      <c r="BB40" s="1598">
        <f>N40-O40</f>
        <v>2296.65</v>
      </c>
      <c r="BC40" s="1598">
        <f>N40-AG40</f>
        <v>1703.7190314136126</v>
      </c>
      <c r="BD40" s="1465"/>
      <c r="BE40" s="1464">
        <v>5.77</v>
      </c>
      <c r="BF40" s="1465">
        <v>0</v>
      </c>
      <c r="BG40" s="15"/>
    </row>
    <row r="41" spans="1:59" ht="15.75" x14ac:dyDescent="0.25">
      <c r="A41" s="1589"/>
      <c r="B41" s="1590" t="s">
        <v>624</v>
      </c>
      <c r="C41" s="1459"/>
      <c r="D41" s="1459"/>
      <c r="E41" s="1591">
        <f>SUM(E39:E40)</f>
        <v>5</v>
      </c>
      <c r="F41" s="1591">
        <f>SUM(F39:F40)</f>
        <v>6</v>
      </c>
      <c r="G41" s="1592">
        <f>SUM(G39:G40)</f>
        <v>114.6</v>
      </c>
      <c r="H41" s="1592">
        <f t="shared" ref="H41:U41" si="10">SUM(H39:H40)</f>
        <v>0</v>
      </c>
      <c r="I41" s="1592">
        <f t="shared" si="10"/>
        <v>0</v>
      </c>
      <c r="J41" s="1592">
        <f t="shared" si="10"/>
        <v>101.5</v>
      </c>
      <c r="K41" s="1592">
        <f t="shared" si="10"/>
        <v>0</v>
      </c>
      <c r="L41" s="1592">
        <f t="shared" si="10"/>
        <v>361.68</v>
      </c>
      <c r="M41" s="1592">
        <f t="shared" si="10"/>
        <v>0</v>
      </c>
      <c r="N41" s="1592">
        <f t="shared" si="10"/>
        <v>4034.28</v>
      </c>
      <c r="O41" s="1592">
        <f t="shared" si="10"/>
        <v>0</v>
      </c>
      <c r="P41" s="1592">
        <f t="shared" si="10"/>
        <v>0</v>
      </c>
      <c r="Q41" s="1592">
        <f t="shared" si="10"/>
        <v>0</v>
      </c>
      <c r="R41" s="1592">
        <f t="shared" si="10"/>
        <v>0</v>
      </c>
      <c r="S41" s="1592">
        <f t="shared" si="10"/>
        <v>0</v>
      </c>
      <c r="T41" s="1592">
        <f t="shared" si="10"/>
        <v>4497.46</v>
      </c>
      <c r="U41" s="1592">
        <f t="shared" si="10"/>
        <v>0</v>
      </c>
      <c r="V41" s="877">
        <f>SUM(V39:V40)</f>
        <v>1981.5000000000002</v>
      </c>
      <c r="W41" s="877">
        <f t="shared" ref="W41:AY41" si="11">SUM(W39:W40)</f>
        <v>0</v>
      </c>
      <c r="X41" s="877">
        <f t="shared" si="11"/>
        <v>0</v>
      </c>
      <c r="Y41" s="877">
        <f t="shared" si="11"/>
        <v>0</v>
      </c>
      <c r="Z41" s="877">
        <f t="shared" si="11"/>
        <v>58.419999999999995</v>
      </c>
      <c r="AA41" s="877">
        <f t="shared" si="11"/>
        <v>0</v>
      </c>
      <c r="AB41" s="877">
        <f t="shared" si="11"/>
        <v>132.75</v>
      </c>
      <c r="AC41" s="877">
        <f t="shared" si="11"/>
        <v>1215.6600000000001</v>
      </c>
      <c r="AD41" s="877">
        <f t="shared" si="11"/>
        <v>0</v>
      </c>
      <c r="AE41" s="877">
        <f t="shared" si="11"/>
        <v>0</v>
      </c>
      <c r="AF41" s="877">
        <f t="shared" si="11"/>
        <v>0</v>
      </c>
      <c r="AG41" s="877">
        <f t="shared" si="11"/>
        <v>1406.8300000000002</v>
      </c>
      <c r="AH41" s="877">
        <f t="shared" si="11"/>
        <v>0</v>
      </c>
      <c r="AI41" s="877">
        <f t="shared" si="11"/>
        <v>0</v>
      </c>
      <c r="AJ41" s="877">
        <f t="shared" si="11"/>
        <v>0</v>
      </c>
      <c r="AK41" s="877">
        <f t="shared" si="11"/>
        <v>0</v>
      </c>
      <c r="AL41" s="877">
        <f t="shared" si="11"/>
        <v>0</v>
      </c>
      <c r="AM41" s="877">
        <f t="shared" si="11"/>
        <v>0</v>
      </c>
      <c r="AN41" s="877">
        <f t="shared" si="11"/>
        <v>0</v>
      </c>
      <c r="AO41" s="877">
        <f t="shared" si="11"/>
        <v>0</v>
      </c>
      <c r="AP41" s="877">
        <f t="shared" si="11"/>
        <v>0</v>
      </c>
      <c r="AQ41" s="877">
        <f t="shared" si="11"/>
        <v>0</v>
      </c>
      <c r="AR41" s="877">
        <f t="shared" si="11"/>
        <v>0</v>
      </c>
      <c r="AS41" s="877">
        <f t="shared" si="11"/>
        <v>0</v>
      </c>
      <c r="AT41" s="877">
        <f t="shared" si="11"/>
        <v>0</v>
      </c>
      <c r="AU41" s="877">
        <f t="shared" si="11"/>
        <v>137.94999999999999</v>
      </c>
      <c r="AV41" s="877">
        <f t="shared" si="11"/>
        <v>436.72</v>
      </c>
      <c r="AW41" s="877">
        <f t="shared" si="11"/>
        <v>2515.96</v>
      </c>
      <c r="AX41" s="877">
        <f t="shared" si="11"/>
        <v>0</v>
      </c>
      <c r="AY41" s="877">
        <f t="shared" si="11"/>
        <v>0</v>
      </c>
      <c r="AZ41" s="1603">
        <f>V41/G41/9</f>
        <v>1.9211751018033745</v>
      </c>
      <c r="BA41" s="877">
        <f t="shared" ref="BA41:BD41" si="12">SUM(BA39:BA40)</f>
        <v>4497.46</v>
      </c>
      <c r="BB41" s="877">
        <f t="shared" si="12"/>
        <v>4034.28</v>
      </c>
      <c r="BC41" s="877">
        <f t="shared" si="12"/>
        <v>2627.45</v>
      </c>
      <c r="BD41" s="877">
        <f t="shared" si="12"/>
        <v>0</v>
      </c>
      <c r="BE41" s="877"/>
      <c r="BF41" s="877"/>
      <c r="BG41" s="15"/>
    </row>
    <row r="42" spans="1:59" ht="15.75" x14ac:dyDescent="0.25">
      <c r="A42" s="115"/>
      <c r="B42" s="1590" t="s">
        <v>625</v>
      </c>
      <c r="C42" s="1588"/>
      <c r="D42" s="1588"/>
      <c r="E42" s="1588">
        <f t="shared" ref="E42:I42" si="13">E38+E41</f>
        <v>29</v>
      </c>
      <c r="F42" s="1588">
        <f t="shared" si="13"/>
        <v>70</v>
      </c>
      <c r="G42" s="1588">
        <f t="shared" si="13"/>
        <v>1119.3</v>
      </c>
      <c r="H42" s="1588">
        <f t="shared" si="13"/>
        <v>1803.3</v>
      </c>
      <c r="I42" s="1588">
        <f t="shared" si="13"/>
        <v>938.57</v>
      </c>
      <c r="J42" s="1588">
        <f>J38+J41</f>
        <v>1065.94</v>
      </c>
      <c r="K42" s="1588">
        <f t="shared" ref="K42:Q42" si="14">K38+K41</f>
        <v>940.67000000000007</v>
      </c>
      <c r="L42" s="1588">
        <f t="shared" si="14"/>
        <v>3797.8799999999997</v>
      </c>
      <c r="M42" s="1588">
        <f t="shared" si="14"/>
        <v>3331.54</v>
      </c>
      <c r="N42" s="1588">
        <f t="shared" si="14"/>
        <v>54791.85</v>
      </c>
      <c r="O42" s="1588">
        <f t="shared" si="14"/>
        <v>40396.06</v>
      </c>
      <c r="P42" s="1588">
        <f t="shared" si="14"/>
        <v>2835.16</v>
      </c>
      <c r="Q42" s="1588">
        <f t="shared" si="14"/>
        <v>2460.19</v>
      </c>
      <c r="R42" s="1588"/>
      <c r="S42" s="1588"/>
      <c r="T42" s="1588">
        <f t="shared" ref="T42:BF42" si="15">T38+T41</f>
        <v>89617.73000000001</v>
      </c>
      <c r="U42" s="1588">
        <f t="shared" si="15"/>
        <v>68937.430000000008</v>
      </c>
      <c r="V42" s="1588">
        <f t="shared" si="15"/>
        <v>98647.46458</v>
      </c>
      <c r="W42" s="1588">
        <f t="shared" si="15"/>
        <v>446.66</v>
      </c>
      <c r="X42" s="1588">
        <f t="shared" si="15"/>
        <v>0</v>
      </c>
      <c r="Y42" s="1588">
        <f t="shared" si="15"/>
        <v>4299.96</v>
      </c>
      <c r="Z42" s="1588">
        <f t="shared" si="15"/>
        <v>570.57999999999993</v>
      </c>
      <c r="AA42" s="1588">
        <f t="shared" si="15"/>
        <v>0</v>
      </c>
      <c r="AB42" s="1588">
        <f t="shared" si="15"/>
        <v>1623.73</v>
      </c>
      <c r="AC42" s="1588">
        <f t="shared" si="15"/>
        <v>16085.379999999997</v>
      </c>
      <c r="AD42" s="1588">
        <f t="shared" si="15"/>
        <v>3496.92</v>
      </c>
      <c r="AE42" s="1588">
        <f t="shared" si="15"/>
        <v>26183.29</v>
      </c>
      <c r="AF42" s="1588">
        <f t="shared" si="15"/>
        <v>5289.0245800000012</v>
      </c>
      <c r="AG42" s="1588">
        <f t="shared" si="15"/>
        <v>57995.544580000002</v>
      </c>
      <c r="AH42" s="1588">
        <f t="shared" si="15"/>
        <v>33713.520000000004</v>
      </c>
      <c r="AI42" s="1588">
        <f t="shared" si="15"/>
        <v>0</v>
      </c>
      <c r="AJ42" s="1588">
        <f t="shared" si="15"/>
        <v>0</v>
      </c>
      <c r="AK42" s="1588">
        <f t="shared" si="15"/>
        <v>0</v>
      </c>
      <c r="AL42" s="1588">
        <f t="shared" si="15"/>
        <v>0</v>
      </c>
      <c r="AM42" s="1588">
        <f t="shared" si="15"/>
        <v>0</v>
      </c>
      <c r="AN42" s="1588">
        <f t="shared" si="15"/>
        <v>33713.520000000004</v>
      </c>
      <c r="AO42" s="1588">
        <f t="shared" si="15"/>
        <v>0</v>
      </c>
      <c r="AP42" s="1588">
        <f t="shared" si="15"/>
        <v>0</v>
      </c>
      <c r="AQ42" s="1588">
        <f t="shared" si="15"/>
        <v>0</v>
      </c>
      <c r="AR42" s="1588">
        <f t="shared" si="15"/>
        <v>0</v>
      </c>
      <c r="AS42" s="1588">
        <f t="shared" si="15"/>
        <v>0</v>
      </c>
      <c r="AT42" s="1588">
        <f t="shared" si="15"/>
        <v>0</v>
      </c>
      <c r="AU42" s="1588">
        <f t="shared" si="15"/>
        <v>1347.3799999999999</v>
      </c>
      <c r="AV42" s="1588">
        <f t="shared" si="15"/>
        <v>5591.02</v>
      </c>
      <c r="AW42" s="1588">
        <f t="shared" si="15"/>
        <v>-9029.7345800000039</v>
      </c>
      <c r="AX42" s="1588">
        <f t="shared" si="15"/>
        <v>-6586.6200000000008</v>
      </c>
      <c r="AY42" s="1588">
        <f t="shared" si="15"/>
        <v>80.988265192297916</v>
      </c>
      <c r="AZ42" s="1588">
        <f t="shared" si="15"/>
        <v>12.611592869406749</v>
      </c>
      <c r="BA42" s="1588">
        <f t="shared" si="15"/>
        <v>20680.299999999996</v>
      </c>
      <c r="BB42" s="1588">
        <f t="shared" si="15"/>
        <v>14395.789999999999</v>
      </c>
      <c r="BC42" s="1588">
        <f t="shared" si="15"/>
        <v>-3203.6945799999967</v>
      </c>
      <c r="BD42" s="1588">
        <f t="shared" si="15"/>
        <v>5317.93</v>
      </c>
      <c r="BE42" s="1588">
        <f t="shared" si="15"/>
        <v>0</v>
      </c>
      <c r="BF42" s="1588">
        <f t="shared" si="15"/>
        <v>0</v>
      </c>
      <c r="BG42" s="15"/>
    </row>
  </sheetData>
  <mergeCells count="109">
    <mergeCell ref="BD34:BD35"/>
    <mergeCell ref="BE34:BE35"/>
    <mergeCell ref="BF34:BF35"/>
    <mergeCell ref="BG34:BG35"/>
    <mergeCell ref="BB34:BB35"/>
    <mergeCell ref="BC34:BC35"/>
    <mergeCell ref="AV34:AV35"/>
    <mergeCell ref="AW34:AW35"/>
    <mergeCell ref="AY34:AY35"/>
    <mergeCell ref="AZ34:AZ35"/>
    <mergeCell ref="BA34:BA35"/>
    <mergeCell ref="AX34:AX35"/>
    <mergeCell ref="AQ34:AQ35"/>
    <mergeCell ref="AR34:AR35"/>
    <mergeCell ref="AS34:AS35"/>
    <mergeCell ref="AT34:AT35"/>
    <mergeCell ref="AU34:AU35"/>
    <mergeCell ref="AL34:AL35"/>
    <mergeCell ref="AM34:AM35"/>
    <mergeCell ref="AN34:AN35"/>
    <mergeCell ref="AO34:AO35"/>
    <mergeCell ref="AP34:AP35"/>
    <mergeCell ref="AG34:AG35"/>
    <mergeCell ref="AH34:AH35"/>
    <mergeCell ref="AI34:AI35"/>
    <mergeCell ref="AJ34:AJ35"/>
    <mergeCell ref="AK34:AK35"/>
    <mergeCell ref="AB34:AB35"/>
    <mergeCell ref="AC34:AC35"/>
    <mergeCell ref="AD34:AD35"/>
    <mergeCell ref="AE34:AE35"/>
    <mergeCell ref="AF34:AF35"/>
    <mergeCell ref="W34:W35"/>
    <mergeCell ref="X34:X35"/>
    <mergeCell ref="Y34:Y35"/>
    <mergeCell ref="Z34:Z35"/>
    <mergeCell ref="AA34:AA35"/>
    <mergeCell ref="N34:O34"/>
    <mergeCell ref="P34:Q34"/>
    <mergeCell ref="R34:S34"/>
    <mergeCell ref="T34:U34"/>
    <mergeCell ref="V34:V35"/>
    <mergeCell ref="F34:F35"/>
    <mergeCell ref="G34:G35"/>
    <mergeCell ref="H34:I34"/>
    <mergeCell ref="J34:K34"/>
    <mergeCell ref="L34:M34"/>
    <mergeCell ref="A34:A35"/>
    <mergeCell ref="B34:B35"/>
    <mergeCell ref="C34:C35"/>
    <mergeCell ref="D34:D35"/>
    <mergeCell ref="E34:E35"/>
    <mergeCell ref="F8:F9"/>
    <mergeCell ref="A8:A9"/>
    <mergeCell ref="B8:B9"/>
    <mergeCell ref="C8:C9"/>
    <mergeCell ref="D8:D9"/>
    <mergeCell ref="E8:E9"/>
    <mergeCell ref="F22:F23"/>
    <mergeCell ref="AJ8:AJ9"/>
    <mergeCell ref="AK8:AK9"/>
    <mergeCell ref="A22:A23"/>
    <mergeCell ref="B22:B23"/>
    <mergeCell ref="C22:C23"/>
    <mergeCell ref="D22:D23"/>
    <mergeCell ref="E22:E23"/>
    <mergeCell ref="G22:G23"/>
    <mergeCell ref="H22:H23"/>
    <mergeCell ref="P22:Q22"/>
    <mergeCell ref="X8:X9"/>
    <mergeCell ref="Y8:Y9"/>
    <mergeCell ref="Z8:Z9"/>
    <mergeCell ref="AA8:AA9"/>
    <mergeCell ref="AB8:AB9"/>
    <mergeCell ref="AC8:AC9"/>
    <mergeCell ref="G8:G9"/>
    <mergeCell ref="H8:I8"/>
    <mergeCell ref="P8:Q8"/>
    <mergeCell ref="T8:U8"/>
    <mergeCell ref="V8:V9"/>
    <mergeCell ref="J8:K8"/>
    <mergeCell ref="L8:M8"/>
    <mergeCell ref="N8:O8"/>
    <mergeCell ref="W8:W9"/>
    <mergeCell ref="R8:S8"/>
    <mergeCell ref="AP8:AP9"/>
    <mergeCell ref="AQ8:AQ9"/>
    <mergeCell ref="AR8:AR9"/>
    <mergeCell ref="AN8:AN9"/>
    <mergeCell ref="AO8:AO9"/>
    <mergeCell ref="AD8:AD9"/>
    <mergeCell ref="AE8:AE9"/>
    <mergeCell ref="AF8:AF9"/>
    <mergeCell ref="AG8:AG9"/>
    <mergeCell ref="AH8:AH9"/>
    <mergeCell ref="AI8:AI9"/>
    <mergeCell ref="AL8:AL9"/>
    <mergeCell ref="AM8:AM9"/>
    <mergeCell ref="AS8:AS9"/>
    <mergeCell ref="AT8:AT9"/>
    <mergeCell ref="BA8:BA9"/>
    <mergeCell ref="BD8:BD9"/>
    <mergeCell ref="BE8:BE9"/>
    <mergeCell ref="BF8:BF9"/>
    <mergeCell ref="AU8:AU9"/>
    <mergeCell ref="AV8:AV9"/>
    <mergeCell ref="AW8:AW9"/>
    <mergeCell ref="AY8:AY9"/>
    <mergeCell ref="AZ8:AZ9"/>
  </mergeCells>
  <pageMargins left="0.7" right="0.7" top="0.75" bottom="0.75" header="0.3" footer="0.3"/>
  <pageSetup paperSize="9" orientation="landscape" verticalDpi="0" r:id="rId1"/>
  <ignoredErrors>
    <ignoredError sqref="T12:V12 AY12 AN12 AS12 AZ15 BA12 T38:V38 AN38 AS38 AW38:AX38 BA38:BC38 AZ41 AW12" formula="1"/>
    <ignoredError sqref="AD41:AE41" formulaRange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3"/>
  <sheetViews>
    <sheetView topLeftCell="W1" workbookViewId="0">
      <selection activeCell="J22" sqref="J22:P23"/>
    </sheetView>
  </sheetViews>
  <sheetFormatPr defaultRowHeight="15" x14ac:dyDescent="0.25"/>
  <cols>
    <col min="1" max="1" width="1.7109375" customWidth="1"/>
    <col min="2" max="2" width="28.28515625" customWidth="1"/>
    <col min="3" max="3" width="7.85546875" hidden="1" customWidth="1"/>
    <col min="4" max="4" width="7.5703125" hidden="1" customWidth="1"/>
    <col min="5" max="5" width="8" hidden="1" customWidth="1"/>
    <col min="6" max="6" width="8.42578125" hidden="1" customWidth="1"/>
    <col min="7" max="7" width="9.28515625" customWidth="1"/>
    <col min="8" max="8" width="11" customWidth="1"/>
    <col min="9" max="13" width="11.5703125" customWidth="1"/>
    <col min="14" max="14" width="11.5703125" hidden="1" customWidth="1"/>
    <col min="15" max="15" width="11.5703125" customWidth="1"/>
    <col min="16" max="16" width="12.5703125" customWidth="1"/>
    <col min="17" max="17" width="13.42578125" customWidth="1"/>
    <col min="18" max="18" width="11.140625" customWidth="1"/>
    <col min="19" max="19" width="10.7109375" customWidth="1"/>
    <col min="20" max="20" width="10.140625" customWidth="1"/>
    <col min="21" max="21" width="10.42578125" customWidth="1"/>
    <col min="22" max="22" width="10.7109375" customWidth="1"/>
    <col min="23" max="23" width="9.140625" customWidth="1"/>
    <col min="24" max="24" width="10.42578125" customWidth="1"/>
    <col min="25" max="25" width="10" customWidth="1"/>
    <col min="26" max="26" width="9.140625" customWidth="1"/>
    <col min="27" max="27" width="10" customWidth="1"/>
    <col min="28" max="28" width="9.140625" hidden="1" customWidth="1"/>
    <col min="29" max="29" width="10.140625" customWidth="1"/>
    <col min="30" max="31" width="9.140625" customWidth="1"/>
    <col min="32" max="32" width="10.140625" customWidth="1"/>
    <col min="33" max="35" width="9.140625" customWidth="1"/>
    <col min="36" max="36" width="9.85546875" customWidth="1"/>
    <col min="37" max="37" width="9.5703125" customWidth="1"/>
    <col min="38" max="39" width="9.140625" customWidth="1"/>
  </cols>
  <sheetData>
    <row r="1" spans="1:39" ht="15" customHeight="1" x14ac:dyDescent="0.25">
      <c r="A1" s="160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</row>
    <row r="2" spans="1:39" x14ac:dyDescent="0.25">
      <c r="A2" s="1604"/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</row>
    <row r="3" spans="1:39" ht="15" customHeight="1" x14ac:dyDescent="0.25">
      <c r="A3" s="160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</row>
    <row r="4" spans="1:39" ht="15.75" x14ac:dyDescent="0.25">
      <c r="A4" s="1604"/>
      <c r="B4" s="344"/>
      <c r="C4" s="344"/>
      <c r="D4" s="344"/>
      <c r="E4" s="344"/>
      <c r="F4" s="1738" t="s">
        <v>835</v>
      </c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</row>
    <row r="5" spans="1:39" ht="15" customHeight="1" x14ac:dyDescent="0.25">
      <c r="A5" s="1604"/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44"/>
      <c r="AA5" s="344"/>
      <c r="AB5" s="344"/>
      <c r="AC5" s="344"/>
    </row>
    <row r="6" spans="1:39" x14ac:dyDescent="0.25">
      <c r="A6" s="1604"/>
      <c r="B6" s="344"/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344"/>
      <c r="W6" s="344"/>
      <c r="X6" s="344"/>
      <c r="Y6" s="344"/>
      <c r="Z6" s="344"/>
      <c r="AA6" s="344"/>
      <c r="AB6" s="344"/>
      <c r="AC6" s="344"/>
      <c r="AK6" s="250"/>
      <c r="AL6" s="250"/>
      <c r="AM6" s="250"/>
    </row>
    <row r="7" spans="1:39" ht="15" customHeight="1" x14ac:dyDescent="0.25">
      <c r="A7" s="1605"/>
      <c r="B7" s="1606"/>
      <c r="C7" s="1606"/>
      <c r="D7" s="1606"/>
      <c r="E7" s="1606"/>
      <c r="F7" s="1606"/>
      <c r="G7" s="1606"/>
      <c r="H7" s="1606"/>
      <c r="I7" s="1606"/>
      <c r="J7" s="1606"/>
      <c r="K7" s="1606"/>
      <c r="L7" s="1606"/>
      <c r="M7" s="1606"/>
      <c r="N7" s="1606"/>
      <c r="O7" s="1606"/>
      <c r="P7" s="1606"/>
      <c r="Q7" s="1606"/>
      <c r="R7" s="1606"/>
      <c r="S7" s="1606"/>
      <c r="T7" s="1606"/>
      <c r="U7" s="1606"/>
      <c r="V7" s="1606"/>
      <c r="W7" s="1606"/>
      <c r="X7" s="1606"/>
      <c r="Y7" s="1606"/>
      <c r="Z7" s="1606"/>
      <c r="AA7" s="1606"/>
      <c r="AB7" s="1606"/>
      <c r="AC7" s="1606"/>
      <c r="AK7" s="250"/>
      <c r="AL7" s="250"/>
      <c r="AM7" s="250"/>
    </row>
    <row r="8" spans="1:39" ht="42.75" customHeight="1" x14ac:dyDescent="0.25">
      <c r="A8" s="2017" t="s">
        <v>0</v>
      </c>
      <c r="B8" s="2017" t="s">
        <v>184</v>
      </c>
      <c r="C8" s="2017" t="s">
        <v>54</v>
      </c>
      <c r="D8" s="2017" t="s">
        <v>55</v>
      </c>
      <c r="E8" s="2017" t="s">
        <v>56</v>
      </c>
      <c r="F8" s="2017" t="s">
        <v>57</v>
      </c>
      <c r="G8" s="2017" t="s">
        <v>6</v>
      </c>
      <c r="H8" s="2097" t="s">
        <v>593</v>
      </c>
      <c r="I8" s="2060"/>
      <c r="J8" s="1991" t="s">
        <v>656</v>
      </c>
      <c r="K8" s="1992"/>
      <c r="L8" s="2214" t="s">
        <v>658</v>
      </c>
      <c r="M8" s="2215"/>
      <c r="N8" s="1991" t="s">
        <v>310</v>
      </c>
      <c r="O8" s="1992"/>
      <c r="P8" s="2017" t="s">
        <v>726</v>
      </c>
      <c r="Q8" s="2017"/>
      <c r="R8" s="2069" t="s">
        <v>747</v>
      </c>
      <c r="S8" s="2147" t="s">
        <v>370</v>
      </c>
      <c r="T8" s="2041" t="s">
        <v>333</v>
      </c>
      <c r="U8" s="2274" t="s">
        <v>542</v>
      </c>
      <c r="V8" s="2132" t="s">
        <v>578</v>
      </c>
      <c r="W8" s="2132" t="s">
        <v>767</v>
      </c>
      <c r="X8" s="2146" t="s">
        <v>503</v>
      </c>
      <c r="Y8" s="2147" t="s">
        <v>316</v>
      </c>
      <c r="Z8" s="2147" t="s">
        <v>369</v>
      </c>
      <c r="AA8" s="2132" t="s">
        <v>864</v>
      </c>
      <c r="AB8" s="2134"/>
      <c r="AC8" s="2069" t="s">
        <v>688</v>
      </c>
      <c r="AD8" s="2041" t="s">
        <v>656</v>
      </c>
      <c r="AE8" s="2041" t="s">
        <v>694</v>
      </c>
      <c r="AF8" s="2041" t="s">
        <v>735</v>
      </c>
      <c r="AG8" s="2134" t="s">
        <v>724</v>
      </c>
      <c r="AH8" s="2043" t="s">
        <v>182</v>
      </c>
      <c r="AI8" s="2043" t="s">
        <v>736</v>
      </c>
      <c r="AJ8" s="2045" t="s">
        <v>830</v>
      </c>
      <c r="AK8" s="250"/>
      <c r="AL8" s="250"/>
      <c r="AM8" s="250"/>
    </row>
    <row r="9" spans="1:39" ht="61.5" customHeight="1" x14ac:dyDescent="0.25">
      <c r="A9" s="2017"/>
      <c r="B9" s="2017"/>
      <c r="C9" s="2017"/>
      <c r="D9" s="2017"/>
      <c r="E9" s="2017"/>
      <c r="F9" s="2017"/>
      <c r="G9" s="2017"/>
      <c r="H9" s="150" t="s">
        <v>15</v>
      </c>
      <c r="I9" s="1729" t="s">
        <v>16</v>
      </c>
      <c r="J9" s="51" t="s">
        <v>15</v>
      </c>
      <c r="K9" s="1728" t="s">
        <v>16</v>
      </c>
      <c r="L9" s="51" t="s">
        <v>15</v>
      </c>
      <c r="M9" s="1728" t="s">
        <v>16</v>
      </c>
      <c r="N9" s="51" t="s">
        <v>15</v>
      </c>
      <c r="O9" s="1728" t="s">
        <v>16</v>
      </c>
      <c r="P9" s="150" t="s">
        <v>15</v>
      </c>
      <c r="Q9" s="1729" t="s">
        <v>16</v>
      </c>
      <c r="R9" s="2070"/>
      <c r="S9" s="2147"/>
      <c r="T9" s="2042"/>
      <c r="U9" s="2274"/>
      <c r="V9" s="2133"/>
      <c r="W9" s="2133"/>
      <c r="X9" s="2146"/>
      <c r="Y9" s="2147"/>
      <c r="Z9" s="2148"/>
      <c r="AA9" s="2133"/>
      <c r="AB9" s="2044"/>
      <c r="AC9" s="2070"/>
      <c r="AD9" s="2042"/>
      <c r="AE9" s="2042"/>
      <c r="AF9" s="2042"/>
      <c r="AG9" s="2135"/>
      <c r="AH9" s="2044"/>
      <c r="AI9" s="2044"/>
      <c r="AJ9" s="2046"/>
      <c r="AK9" s="250"/>
      <c r="AL9" s="250"/>
      <c r="AM9" s="250"/>
    </row>
    <row r="10" spans="1:39" x14ac:dyDescent="0.25">
      <c r="A10" s="13">
        <v>1</v>
      </c>
      <c r="B10" s="42" t="s">
        <v>237</v>
      </c>
      <c r="C10" s="705">
        <v>1964</v>
      </c>
      <c r="D10" s="705">
        <v>2</v>
      </c>
      <c r="E10" s="705">
        <v>12</v>
      </c>
      <c r="F10" s="705">
        <v>35</v>
      </c>
      <c r="G10" s="706">
        <v>503.3</v>
      </c>
      <c r="H10" s="706">
        <v>1587.24</v>
      </c>
      <c r="I10" s="706">
        <v>1435.35</v>
      </c>
      <c r="J10" s="706">
        <v>483.12</v>
      </c>
      <c r="K10" s="706">
        <v>488.7</v>
      </c>
      <c r="L10" s="706">
        <v>1721.28</v>
      </c>
      <c r="M10" s="706">
        <v>1765.05</v>
      </c>
      <c r="N10" s="706">
        <v>34637.1</v>
      </c>
      <c r="O10" s="706">
        <v>27043.759999999998</v>
      </c>
      <c r="P10" s="625">
        <f>H10+J10+L10+N10</f>
        <v>38428.74</v>
      </c>
      <c r="Q10" s="625">
        <f>I10+K10+M10+O10</f>
        <v>30732.859999999997</v>
      </c>
      <c r="R10" s="1956">
        <f>AC10+AD10+AE10</f>
        <v>41551.630815168712</v>
      </c>
      <c r="S10" s="1957">
        <v>417.94</v>
      </c>
      <c r="T10" s="1957"/>
      <c r="U10" s="1957">
        <v>2326.1799999999998</v>
      </c>
      <c r="V10" s="1957">
        <f>512.16/1004.7*G10</f>
        <v>256.56427590325467</v>
      </c>
      <c r="W10" s="1957"/>
      <c r="X10" s="1957">
        <f>1938.84/1004.7*G10</f>
        <v>971.25328157658998</v>
      </c>
      <c r="Y10" s="1957">
        <f>19449.49/1004.7*G10</f>
        <v>9743.1355797750584</v>
      </c>
      <c r="Z10" s="1958">
        <f>10400/1004.7*G10</f>
        <v>5209.8337812282271</v>
      </c>
      <c r="AA10" s="1958">
        <f>36768.94/1004.7*G10</f>
        <v>18419.237087687867</v>
      </c>
      <c r="AB10" s="1959"/>
      <c r="AC10" s="1960">
        <f>AB10+AA10+Z10+Y10+X10+W10+V10+U10+T10+S10</f>
        <v>37344.144006171002</v>
      </c>
      <c r="AD10" s="1960">
        <f>1526.75/1004.7*G10</f>
        <v>764.81862745098033</v>
      </c>
      <c r="AE10" s="1960">
        <f>6872.34/1004.7*G10</f>
        <v>3442.6681815467305</v>
      </c>
      <c r="AF10" s="1960">
        <f>P10-R10</f>
        <v>-3122.8908151687137</v>
      </c>
      <c r="AG10" s="1960">
        <f>Q10/P10*100</f>
        <v>79.973634316399639</v>
      </c>
      <c r="AH10" s="1960">
        <f>R10/G10/12</f>
        <v>6.8798646955375702</v>
      </c>
      <c r="AI10" s="1960">
        <f>P10-Q10</f>
        <v>7695.880000000001</v>
      </c>
      <c r="AJ10" s="1960">
        <v>6.1</v>
      </c>
      <c r="AK10" s="250"/>
      <c r="AL10" s="250"/>
      <c r="AM10" s="250"/>
    </row>
    <row r="11" spans="1:39" ht="15" customHeight="1" x14ac:dyDescent="0.25">
      <c r="A11" s="13">
        <v>2</v>
      </c>
      <c r="B11" s="42" t="s">
        <v>238</v>
      </c>
      <c r="C11" s="705">
        <v>1967</v>
      </c>
      <c r="D11" s="705">
        <v>2</v>
      </c>
      <c r="E11" s="705">
        <v>12</v>
      </c>
      <c r="F11" s="705">
        <v>29</v>
      </c>
      <c r="G11" s="706">
        <v>501.4</v>
      </c>
      <c r="H11" s="706">
        <v>1570.99</v>
      </c>
      <c r="I11" s="706">
        <v>1322.61</v>
      </c>
      <c r="J11" s="706">
        <v>481.32</v>
      </c>
      <c r="K11" s="706">
        <v>476.31</v>
      </c>
      <c r="L11" s="706">
        <v>1714.92</v>
      </c>
      <c r="M11" s="706">
        <v>1711.02</v>
      </c>
      <c r="N11" s="706">
        <v>34506.480000000003</v>
      </c>
      <c r="O11" s="706">
        <v>27607.8</v>
      </c>
      <c r="P11" s="625">
        <f>H11+J11+L11+N11</f>
        <v>38273.710000000006</v>
      </c>
      <c r="Q11" s="625">
        <f>I11+K11+M11+O11</f>
        <v>31117.739999999998</v>
      </c>
      <c r="R11" s="655">
        <f>AC11+AD11+AE11</f>
        <v>41126.879184831298</v>
      </c>
      <c r="S11" s="656">
        <v>139.49</v>
      </c>
      <c r="T11" s="656"/>
      <c r="U11" s="656">
        <v>2326.38</v>
      </c>
      <c r="V11" s="656">
        <f>512.16/1004.7*G11</f>
        <v>255.59572409674527</v>
      </c>
      <c r="W11" s="656"/>
      <c r="X11" s="656">
        <f>1938.84/1004.7*G11</f>
        <v>967.58671842340982</v>
      </c>
      <c r="Y11" s="656">
        <f>19449.49/1004.7*G11</f>
        <v>9706.3544202249432</v>
      </c>
      <c r="Z11" s="1117">
        <f>10400/1004.7*G11</f>
        <v>5190.166218771772</v>
      </c>
      <c r="AA11" s="1117">
        <f>36768.94/1004.7*G11</f>
        <v>18349.702912312132</v>
      </c>
      <c r="AB11" s="1095"/>
      <c r="AC11" s="1593">
        <f>AB11+AA11+Z11+Y11+X11+W11+V11+U11+T11+S11</f>
        <v>36935.275993829004</v>
      </c>
      <c r="AD11" s="1598">
        <f>1526.75/1004.7*G11</f>
        <v>761.93137254901956</v>
      </c>
      <c r="AE11" s="1598">
        <f>6872.34/1004.7*G11</f>
        <v>3429.6718184532697</v>
      </c>
      <c r="AF11" s="1598">
        <f>P11-R11</f>
        <v>-2853.1691848312912</v>
      </c>
      <c r="AG11" s="1598">
        <f>Q11/P11*100</f>
        <v>81.303171289117245</v>
      </c>
      <c r="AH11" s="1598">
        <f t="shared" ref="AH11:AH12" si="0">R11/G11/12</f>
        <v>6.835340909591693</v>
      </c>
      <c r="AI11" s="1598">
        <f>P11-Q11</f>
        <v>7155.9700000000084</v>
      </c>
      <c r="AJ11" s="1598">
        <v>6.1</v>
      </c>
      <c r="AK11" s="250"/>
      <c r="AL11" s="250"/>
      <c r="AM11" s="250"/>
    </row>
    <row r="12" spans="1:39" x14ac:dyDescent="0.25">
      <c r="A12" s="13"/>
      <c r="B12" s="1143" t="s">
        <v>303</v>
      </c>
      <c r="C12" s="918"/>
      <c r="D12" s="918"/>
      <c r="E12" s="918">
        <f t="shared" ref="E12:AI12" si="1">SUM(E10:E11)</f>
        <v>24</v>
      </c>
      <c r="F12" s="918">
        <f t="shared" si="1"/>
        <v>64</v>
      </c>
      <c r="G12" s="692">
        <f t="shared" si="1"/>
        <v>1004.7</v>
      </c>
      <c r="H12" s="692">
        <f t="shared" si="1"/>
        <v>3158.23</v>
      </c>
      <c r="I12" s="692">
        <f t="shared" si="1"/>
        <v>2757.96</v>
      </c>
      <c r="J12" s="692">
        <f t="shared" si="1"/>
        <v>964.44</v>
      </c>
      <c r="K12" s="692">
        <f t="shared" si="1"/>
        <v>965.01</v>
      </c>
      <c r="L12" s="692">
        <f t="shared" si="1"/>
        <v>3436.2</v>
      </c>
      <c r="M12" s="692">
        <f t="shared" si="1"/>
        <v>3476.0699999999997</v>
      </c>
      <c r="N12" s="692">
        <f t="shared" si="1"/>
        <v>69143.58</v>
      </c>
      <c r="O12" s="692">
        <f t="shared" si="1"/>
        <v>54651.56</v>
      </c>
      <c r="P12" s="692">
        <f t="shared" si="1"/>
        <v>76702.450000000012</v>
      </c>
      <c r="Q12" s="692">
        <f t="shared" si="1"/>
        <v>61850.599999999991</v>
      </c>
      <c r="R12" s="692">
        <f t="shared" si="1"/>
        <v>82678.510000000009</v>
      </c>
      <c r="S12" s="692">
        <f t="shared" si="1"/>
        <v>557.43000000000006</v>
      </c>
      <c r="T12" s="692">
        <f t="shared" si="1"/>
        <v>0</v>
      </c>
      <c r="U12" s="692">
        <f t="shared" si="1"/>
        <v>4652.5599999999995</v>
      </c>
      <c r="V12" s="1156">
        <f t="shared" si="1"/>
        <v>512.16</v>
      </c>
      <c r="W12" s="1156">
        <f t="shared" si="1"/>
        <v>0</v>
      </c>
      <c r="X12" s="1156">
        <f t="shared" si="1"/>
        <v>1938.8399999999997</v>
      </c>
      <c r="Y12" s="1156">
        <f t="shared" si="1"/>
        <v>19449.490000000002</v>
      </c>
      <c r="Z12" s="1156">
        <f t="shared" si="1"/>
        <v>10400</v>
      </c>
      <c r="AA12" s="1156">
        <f t="shared" si="1"/>
        <v>36768.94</v>
      </c>
      <c r="AB12" s="1156">
        <f t="shared" si="1"/>
        <v>0</v>
      </c>
      <c r="AC12" s="1156">
        <f t="shared" si="1"/>
        <v>74279.420000000013</v>
      </c>
      <c r="AD12" s="1156">
        <f t="shared" si="1"/>
        <v>1526.75</v>
      </c>
      <c r="AE12" s="1156">
        <f t="shared" si="1"/>
        <v>6872.34</v>
      </c>
      <c r="AF12" s="1156">
        <f t="shared" si="1"/>
        <v>-5976.0600000000049</v>
      </c>
      <c r="AG12" s="1156">
        <f t="shared" si="1"/>
        <v>161.27680560551687</v>
      </c>
      <c r="AH12" s="1599">
        <f t="shared" si="0"/>
        <v>6.8576449022925585</v>
      </c>
      <c r="AI12" s="1156">
        <f t="shared" si="1"/>
        <v>14851.850000000009</v>
      </c>
      <c r="AJ12" s="1156"/>
      <c r="AK12" s="250"/>
      <c r="AL12" s="250"/>
      <c r="AM12" s="250"/>
    </row>
    <row r="13" spans="1:39" ht="15" customHeight="1" x14ac:dyDescent="0.25">
      <c r="A13" s="36">
        <v>3</v>
      </c>
      <c r="B13" s="188" t="s">
        <v>541</v>
      </c>
      <c r="C13" s="1144">
        <v>1960</v>
      </c>
      <c r="D13" s="1144">
        <v>1</v>
      </c>
      <c r="E13" s="1144">
        <v>4</v>
      </c>
      <c r="F13" s="1144">
        <v>2</v>
      </c>
      <c r="G13" s="706">
        <v>66.3</v>
      </c>
      <c r="H13" s="706"/>
      <c r="I13" s="706"/>
      <c r="J13" s="706">
        <v>55.12</v>
      </c>
      <c r="K13" s="706">
        <v>0</v>
      </c>
      <c r="L13" s="706">
        <v>196.5</v>
      </c>
      <c r="M13" s="706">
        <v>0</v>
      </c>
      <c r="N13" s="706">
        <v>1737.63</v>
      </c>
      <c r="O13" s="706">
        <v>0</v>
      </c>
      <c r="P13" s="625">
        <f>H13+J13+L13+N13</f>
        <v>1989.25</v>
      </c>
      <c r="Q13" s="625">
        <f>I13+K13+M13+O13</f>
        <v>0</v>
      </c>
      <c r="R13" s="655">
        <f>AC13+AD13+AE13</f>
        <v>1349.0892931937174</v>
      </c>
      <c r="S13" s="1157"/>
      <c r="T13" s="1157"/>
      <c r="U13" s="1157"/>
      <c r="V13" s="1157">
        <f>58.42/114.6*G13</f>
        <v>33.797958115183242</v>
      </c>
      <c r="W13" s="1157"/>
      <c r="X13" s="1157">
        <f>153.12/114.6*G13</f>
        <v>88.585130890052369</v>
      </c>
      <c r="Y13" s="1157">
        <f>1426.91/114.6*G13</f>
        <v>825.51599476439799</v>
      </c>
      <c r="Z13" s="1157"/>
      <c r="AA13" s="1157"/>
      <c r="AB13" s="1159"/>
      <c r="AC13" s="1159">
        <f>AB13+AA13+Z13+Y13+X13+W13+V13+U13+T13</f>
        <v>947.89908376963365</v>
      </c>
      <c r="AD13" s="1465">
        <f>174.15/114.6*G13</f>
        <v>100.75170157068064</v>
      </c>
      <c r="AE13" s="1465">
        <f>519.31/114.6*G13</f>
        <v>300.43850785340311</v>
      </c>
      <c r="AF13" s="1598">
        <f>P13-R13</f>
        <v>640.16070680628263</v>
      </c>
      <c r="AG13" s="1598">
        <f>Q13/P13*100</f>
        <v>0</v>
      </c>
      <c r="AH13" s="1465"/>
      <c r="AI13" s="1465">
        <f>P13-Q13</f>
        <v>1989.25</v>
      </c>
      <c r="AJ13" s="1464"/>
      <c r="AK13" s="250"/>
      <c r="AL13" s="250"/>
      <c r="AM13" s="250"/>
    </row>
    <row r="14" spans="1:39" x14ac:dyDescent="0.25">
      <c r="A14" s="182">
        <v>4</v>
      </c>
      <c r="B14" s="188" t="s">
        <v>239</v>
      </c>
      <c r="C14" s="1145"/>
      <c r="D14" s="1146">
        <v>1</v>
      </c>
      <c r="E14" s="1146">
        <v>1</v>
      </c>
      <c r="F14" s="1146">
        <v>4</v>
      </c>
      <c r="G14" s="1099">
        <v>48.3</v>
      </c>
      <c r="H14" s="1099"/>
      <c r="I14" s="1160"/>
      <c r="J14" s="1160">
        <v>46.38</v>
      </c>
      <c r="K14" s="1160">
        <v>0</v>
      </c>
      <c r="L14" s="1160">
        <v>165.18</v>
      </c>
      <c r="M14" s="1160">
        <v>0</v>
      </c>
      <c r="N14" s="1160">
        <v>3132.72</v>
      </c>
      <c r="O14" s="1160">
        <v>0</v>
      </c>
      <c r="P14" s="625">
        <f>H14+J14+L14+N14</f>
        <v>3344.2799999999997</v>
      </c>
      <c r="Q14" s="625">
        <f>I14+K14+M14+O14</f>
        <v>0</v>
      </c>
      <c r="R14" s="655">
        <f>AC14+AD14+AE14</f>
        <v>982.82070680628271</v>
      </c>
      <c r="S14" s="1162"/>
      <c r="T14" s="1163"/>
      <c r="U14" s="1585"/>
      <c r="V14" s="1157">
        <f>58.42/114.6*G14</f>
        <v>24.622041884816753</v>
      </c>
      <c r="W14" s="1162"/>
      <c r="X14" s="1157">
        <f>153.12/114.6*G14</f>
        <v>64.53486910994765</v>
      </c>
      <c r="Y14" s="1157">
        <f>1426.91/114.6*G14</f>
        <v>601.39400523560209</v>
      </c>
      <c r="Z14" s="1165"/>
      <c r="AA14" s="1585"/>
      <c r="AB14" s="1586"/>
      <c r="AC14" s="1159">
        <f>AB14+AA14+Z14+Y14+X14+W14+V14+U14+T14</f>
        <v>690.55091623036651</v>
      </c>
      <c r="AD14" s="1465">
        <f t="shared" ref="AD14:AD15" si="2">174.15/114.6*G14</f>
        <v>73.398298429319382</v>
      </c>
      <c r="AE14" s="1465">
        <f>519.31/114.6*G14</f>
        <v>218.87149214659684</v>
      </c>
      <c r="AF14" s="1598">
        <f>P14-R14</f>
        <v>2361.4592931937168</v>
      </c>
      <c r="AG14" s="1598">
        <f>Q14/P14*100</f>
        <v>0</v>
      </c>
      <c r="AH14" s="1465"/>
      <c r="AI14" s="1465">
        <f>P14-Q14</f>
        <v>3344.2799999999997</v>
      </c>
      <c r="AJ14" s="1464">
        <v>5.77</v>
      </c>
      <c r="AK14" s="250"/>
      <c r="AL14" s="250"/>
      <c r="AM14" s="250"/>
    </row>
    <row r="15" spans="1:39" ht="16.5" customHeight="1" x14ac:dyDescent="0.25">
      <c r="A15" s="1589"/>
      <c r="B15" s="1590" t="s">
        <v>624</v>
      </c>
      <c r="C15" s="1459"/>
      <c r="D15" s="1459"/>
      <c r="E15" s="1591">
        <f>SUM(E13:E14)</f>
        <v>5</v>
      </c>
      <c r="F15" s="1591">
        <f>SUM(F13:F14)</f>
        <v>6</v>
      </c>
      <c r="G15" s="1592">
        <f>SUM(G13:G14)</f>
        <v>114.6</v>
      </c>
      <c r="H15" s="1592">
        <f t="shared" ref="H15:R15" si="3">SUM(H13:H14)</f>
        <v>0</v>
      </c>
      <c r="I15" s="1592">
        <f t="shared" si="3"/>
        <v>0</v>
      </c>
      <c r="J15" s="1592">
        <f t="shared" si="3"/>
        <v>101.5</v>
      </c>
      <c r="K15" s="1592">
        <f t="shared" si="3"/>
        <v>0</v>
      </c>
      <c r="L15" s="1592">
        <f t="shared" si="3"/>
        <v>361.68</v>
      </c>
      <c r="M15" s="1592">
        <f t="shared" si="3"/>
        <v>0</v>
      </c>
      <c r="N15" s="1592">
        <f t="shared" si="3"/>
        <v>4870.3500000000004</v>
      </c>
      <c r="O15" s="1592">
        <f t="shared" si="3"/>
        <v>0</v>
      </c>
      <c r="P15" s="1592">
        <f t="shared" si="3"/>
        <v>5333.53</v>
      </c>
      <c r="Q15" s="1592">
        <f t="shared" si="3"/>
        <v>0</v>
      </c>
      <c r="R15" s="1592">
        <f t="shared" si="3"/>
        <v>2331.91</v>
      </c>
      <c r="S15" s="877">
        <f t="shared" ref="S15:AI15" si="4">SUM(S13:S14)</f>
        <v>0</v>
      </c>
      <c r="T15" s="877">
        <f t="shared" si="4"/>
        <v>0</v>
      </c>
      <c r="U15" s="877">
        <f t="shared" si="4"/>
        <v>0</v>
      </c>
      <c r="V15" s="877">
        <f t="shared" si="4"/>
        <v>58.419999999999995</v>
      </c>
      <c r="W15" s="877">
        <f t="shared" si="4"/>
        <v>0</v>
      </c>
      <c r="X15" s="877">
        <f t="shared" si="4"/>
        <v>153.12</v>
      </c>
      <c r="Y15" s="877">
        <f t="shared" si="4"/>
        <v>1426.91</v>
      </c>
      <c r="Z15" s="877">
        <f t="shared" si="4"/>
        <v>0</v>
      </c>
      <c r="AA15" s="877">
        <f t="shared" si="4"/>
        <v>0</v>
      </c>
      <c r="AB15" s="877">
        <f t="shared" si="4"/>
        <v>0</v>
      </c>
      <c r="AC15" s="877">
        <f t="shared" si="4"/>
        <v>1638.4500000000003</v>
      </c>
      <c r="AD15" s="1603">
        <f t="shared" si="2"/>
        <v>174.15</v>
      </c>
      <c r="AE15" s="877">
        <f t="shared" si="4"/>
        <v>519.30999999999995</v>
      </c>
      <c r="AF15" s="877">
        <f t="shared" si="4"/>
        <v>3001.6199999999994</v>
      </c>
      <c r="AG15" s="877">
        <f t="shared" si="4"/>
        <v>0</v>
      </c>
      <c r="AH15" s="1603"/>
      <c r="AI15" s="877">
        <f t="shared" si="4"/>
        <v>5333.53</v>
      </c>
      <c r="AJ15" s="877"/>
      <c r="AK15" s="250"/>
      <c r="AL15" s="250"/>
      <c r="AM15" s="250"/>
    </row>
    <row r="16" spans="1:39" ht="15.75" x14ac:dyDescent="0.25">
      <c r="A16" s="115"/>
      <c r="B16" s="1587" t="s">
        <v>625</v>
      </c>
      <c r="C16" s="1588"/>
      <c r="D16" s="1588"/>
      <c r="E16" s="1588">
        <f t="shared" ref="E16:AJ16" si="5">E12+E15</f>
        <v>29</v>
      </c>
      <c r="F16" s="1588">
        <f t="shared" si="5"/>
        <v>70</v>
      </c>
      <c r="G16" s="1588">
        <f t="shared" si="5"/>
        <v>1119.3</v>
      </c>
      <c r="H16" s="1588">
        <f t="shared" si="5"/>
        <v>3158.23</v>
      </c>
      <c r="I16" s="1588">
        <f t="shared" si="5"/>
        <v>2757.96</v>
      </c>
      <c r="J16" s="1588">
        <f>J12+J15</f>
        <v>1065.94</v>
      </c>
      <c r="K16" s="1588">
        <f t="shared" ref="K16:Q16" si="6">K12+K15</f>
        <v>965.01</v>
      </c>
      <c r="L16" s="1588">
        <f t="shared" si="6"/>
        <v>3797.8799999999997</v>
      </c>
      <c r="M16" s="1588">
        <f t="shared" si="6"/>
        <v>3476.0699999999997</v>
      </c>
      <c r="N16" s="1588">
        <f t="shared" si="6"/>
        <v>74013.930000000008</v>
      </c>
      <c r="O16" s="1588">
        <f t="shared" si="6"/>
        <v>54651.56</v>
      </c>
      <c r="P16" s="1588">
        <f t="shared" si="6"/>
        <v>82035.98000000001</v>
      </c>
      <c r="Q16" s="1588">
        <f t="shared" si="6"/>
        <v>61850.599999999991</v>
      </c>
      <c r="R16" s="1588"/>
      <c r="S16" s="1588">
        <f t="shared" si="5"/>
        <v>557.43000000000006</v>
      </c>
      <c r="T16" s="1588">
        <f t="shared" si="5"/>
        <v>0</v>
      </c>
      <c r="U16" s="1588">
        <f t="shared" si="5"/>
        <v>4652.5599999999995</v>
      </c>
      <c r="V16" s="1588">
        <f t="shared" si="5"/>
        <v>570.57999999999993</v>
      </c>
      <c r="W16" s="1588">
        <f t="shared" si="5"/>
        <v>0</v>
      </c>
      <c r="X16" s="1588">
        <f t="shared" si="5"/>
        <v>2091.9599999999996</v>
      </c>
      <c r="Y16" s="1588">
        <f t="shared" si="5"/>
        <v>20876.400000000001</v>
      </c>
      <c r="Z16" s="1588">
        <f t="shared" si="5"/>
        <v>10400</v>
      </c>
      <c r="AA16" s="1588">
        <f t="shared" si="5"/>
        <v>36768.94</v>
      </c>
      <c r="AB16" s="1588">
        <f t="shared" si="5"/>
        <v>0</v>
      </c>
      <c r="AC16" s="1588">
        <f t="shared" si="5"/>
        <v>75917.87000000001</v>
      </c>
      <c r="AD16" s="1588">
        <f t="shared" si="5"/>
        <v>1700.9</v>
      </c>
      <c r="AE16" s="1588">
        <f t="shared" si="5"/>
        <v>7391.65</v>
      </c>
      <c r="AF16" s="1588">
        <f t="shared" si="5"/>
        <v>-2974.4400000000055</v>
      </c>
      <c r="AG16" s="1588">
        <f t="shared" si="5"/>
        <v>161.27680560551687</v>
      </c>
      <c r="AH16" s="1588"/>
      <c r="AI16" s="1588">
        <f t="shared" si="5"/>
        <v>20185.380000000008</v>
      </c>
      <c r="AJ16" s="1588">
        <f t="shared" si="5"/>
        <v>0</v>
      </c>
      <c r="AK16" s="250"/>
      <c r="AL16" s="250"/>
      <c r="AM16" s="250"/>
    </row>
    <row r="17" spans="1:41" ht="18" customHeight="1" x14ac:dyDescent="0.25">
      <c r="A17" s="113"/>
      <c r="B17" s="118"/>
      <c r="C17" s="118"/>
      <c r="D17" s="118"/>
      <c r="E17" s="118"/>
      <c r="F17" s="118"/>
      <c r="G17" s="206"/>
      <c r="H17" s="206" t="s">
        <v>180</v>
      </c>
      <c r="I17" s="206" t="s">
        <v>180</v>
      </c>
      <c r="J17" s="206" t="s">
        <v>180</v>
      </c>
      <c r="K17" s="206" t="s">
        <v>180</v>
      </c>
      <c r="L17" s="206" t="s">
        <v>180</v>
      </c>
      <c r="M17" s="206" t="s">
        <v>180</v>
      </c>
      <c r="N17" s="206" t="s">
        <v>180</v>
      </c>
      <c r="O17" s="206" t="s">
        <v>180</v>
      </c>
      <c r="P17" s="1867" t="s">
        <v>180</v>
      </c>
      <c r="Q17" s="1867" t="s">
        <v>180</v>
      </c>
      <c r="R17" s="15" t="s">
        <v>180</v>
      </c>
      <c r="S17" s="47"/>
      <c r="T17" s="47"/>
      <c r="U17" s="15"/>
      <c r="V17" s="15"/>
      <c r="W17" s="47"/>
      <c r="X17" s="15"/>
      <c r="Y17" s="15"/>
      <c r="Z17" s="15"/>
      <c r="AA17" s="15"/>
      <c r="AB17" s="47"/>
      <c r="AC17" s="47"/>
      <c r="AD17" s="15"/>
      <c r="AE17" s="15"/>
      <c r="AF17" s="15"/>
      <c r="AG17" s="15"/>
      <c r="AH17" s="15"/>
      <c r="AI17" s="15"/>
      <c r="AJ17" s="15"/>
      <c r="AK17" s="250"/>
      <c r="AL17" s="250"/>
      <c r="AM17" s="250"/>
    </row>
    <row r="18" spans="1:41" x14ac:dyDescent="0.25">
      <c r="AK18" s="250"/>
      <c r="AL18" s="250"/>
      <c r="AM18" s="250"/>
    </row>
    <row r="19" spans="1:41" ht="15" customHeight="1" x14ac:dyDescent="0.25">
      <c r="B19" s="353" t="s">
        <v>933</v>
      </c>
      <c r="AK19" s="250"/>
      <c r="AL19" s="250"/>
      <c r="AM19" s="250"/>
    </row>
    <row r="20" spans="1:41" x14ac:dyDescent="0.25">
      <c r="A20" s="250"/>
      <c r="B20" s="250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K20" s="250"/>
      <c r="AL20" s="250"/>
      <c r="AM20" s="250"/>
    </row>
    <row r="21" spans="1:41" ht="15" customHeight="1" x14ac:dyDescent="0.25">
      <c r="A21" s="250"/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</row>
    <row r="22" spans="1:41" ht="15" customHeight="1" x14ac:dyDescent="0.25">
      <c r="A22" s="2017" t="s">
        <v>0</v>
      </c>
      <c r="B22" s="2017" t="s">
        <v>184</v>
      </c>
      <c r="C22" s="2017" t="s">
        <v>54</v>
      </c>
      <c r="D22" s="2017" t="s">
        <v>55</v>
      </c>
      <c r="E22" s="2017" t="s">
        <v>56</v>
      </c>
      <c r="F22" s="2017" t="s">
        <v>57</v>
      </c>
      <c r="G22" s="2017" t="s">
        <v>6</v>
      </c>
      <c r="H22" s="2249" t="s">
        <v>284</v>
      </c>
      <c r="I22" s="2250"/>
      <c r="J22" s="2069" t="s">
        <v>865</v>
      </c>
      <c r="K22" s="2147" t="s">
        <v>370</v>
      </c>
      <c r="L22" s="2041" t="s">
        <v>735</v>
      </c>
      <c r="M22" s="2134" t="s">
        <v>724</v>
      </c>
      <c r="N22" s="2043" t="s">
        <v>182</v>
      </c>
      <c r="O22" s="2043" t="s">
        <v>736</v>
      </c>
      <c r="P22" s="2045" t="s">
        <v>932</v>
      </c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</row>
    <row r="23" spans="1:41" ht="61.5" customHeight="1" x14ac:dyDescent="0.25">
      <c r="A23" s="2017"/>
      <c r="B23" s="2017"/>
      <c r="C23" s="2017"/>
      <c r="D23" s="2017"/>
      <c r="E23" s="2017"/>
      <c r="F23" s="2017"/>
      <c r="G23" s="2017"/>
      <c r="H23" s="51" t="s">
        <v>15</v>
      </c>
      <c r="I23" s="1854" t="s">
        <v>16</v>
      </c>
      <c r="J23" s="2070"/>
      <c r="K23" s="2147"/>
      <c r="L23" s="2042"/>
      <c r="M23" s="2135"/>
      <c r="N23" s="2044"/>
      <c r="O23" s="2044"/>
      <c r="P23" s="2046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</row>
    <row r="24" spans="1:41" x14ac:dyDescent="0.25">
      <c r="A24" s="13">
        <v>2</v>
      </c>
      <c r="B24" s="42" t="s">
        <v>237</v>
      </c>
      <c r="C24" s="13">
        <v>1964</v>
      </c>
      <c r="D24" s="13">
        <v>2</v>
      </c>
      <c r="E24" s="13">
        <v>12</v>
      </c>
      <c r="F24" s="13">
        <v>35</v>
      </c>
      <c r="G24" s="37">
        <v>503.3</v>
      </c>
      <c r="H24" s="29">
        <v>18118.8</v>
      </c>
      <c r="I24" s="29">
        <v>14301.27</v>
      </c>
      <c r="J24" s="37">
        <f>K24</f>
        <v>15632</v>
      </c>
      <c r="K24" s="37">
        <v>15632</v>
      </c>
      <c r="L24" s="37">
        <f>H24-J24</f>
        <v>2486.7999999999993</v>
      </c>
      <c r="M24" s="37">
        <f>I24/H24*100</f>
        <v>78.930558315120209</v>
      </c>
      <c r="N24" s="37"/>
      <c r="O24" s="37">
        <f>H24-I24</f>
        <v>3817.5299999999988</v>
      </c>
      <c r="P24" s="48">
        <v>3</v>
      </c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</row>
    <row r="25" spans="1:41" ht="15.75" customHeight="1" x14ac:dyDescent="0.25">
      <c r="A25" s="187">
        <v>3</v>
      </c>
      <c r="B25" s="202" t="s">
        <v>238</v>
      </c>
      <c r="C25" s="187">
        <v>1967</v>
      </c>
      <c r="D25" s="187">
        <v>2</v>
      </c>
      <c r="E25" s="187">
        <v>12</v>
      </c>
      <c r="F25" s="187">
        <v>29</v>
      </c>
      <c r="G25" s="298">
        <v>501.4</v>
      </c>
      <c r="H25" s="1861">
        <v>18050.400000000001</v>
      </c>
      <c r="I25" s="1861">
        <v>14569.56</v>
      </c>
      <c r="J25" s="298">
        <f>K25</f>
        <v>18081.52</v>
      </c>
      <c r="K25" s="298">
        <v>18081.52</v>
      </c>
      <c r="L25" s="298">
        <f>H25-J25</f>
        <v>-31.119999999998981</v>
      </c>
      <c r="M25" s="298">
        <f t="shared" ref="M25:M26" si="7">I25/H25*100</f>
        <v>80.715995213402465</v>
      </c>
      <c r="N25" s="298"/>
      <c r="O25" s="37">
        <f>H25-I25</f>
        <v>3480.840000000002</v>
      </c>
      <c r="P25" s="1862">
        <v>3</v>
      </c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</row>
    <row r="26" spans="1:41" ht="15.75" x14ac:dyDescent="0.25">
      <c r="A26" s="1863"/>
      <c r="B26" s="1590" t="s">
        <v>23</v>
      </c>
      <c r="C26" s="1863"/>
      <c r="D26" s="1863"/>
      <c r="E26" s="1864">
        <f>SUM(E24:E25)</f>
        <v>24</v>
      </c>
      <c r="F26" s="1864">
        <f>SUM(F24:F25)</f>
        <v>64</v>
      </c>
      <c r="G26" s="1865">
        <f>SUM(G24:G25)</f>
        <v>1004.7</v>
      </c>
      <c r="H26" s="1866">
        <f>SUM(H24:H25)</f>
        <v>36169.199999999997</v>
      </c>
      <c r="I26" s="1866">
        <f>SUM(I24:I25)</f>
        <v>28870.83</v>
      </c>
      <c r="J26" s="1866">
        <f t="shared" ref="J26:O26" si="8">SUM(J24:J25)</f>
        <v>33713.520000000004</v>
      </c>
      <c r="K26" s="1866">
        <f t="shared" si="8"/>
        <v>33713.520000000004</v>
      </c>
      <c r="L26" s="1866">
        <f t="shared" si="8"/>
        <v>2455.6800000000003</v>
      </c>
      <c r="M26" s="1860">
        <f t="shared" si="7"/>
        <v>79.821588533890719</v>
      </c>
      <c r="N26" s="1866">
        <f t="shared" si="8"/>
        <v>0</v>
      </c>
      <c r="O26" s="1866">
        <f t="shared" si="8"/>
        <v>7298.3700000000008</v>
      </c>
      <c r="P26" s="1866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</row>
    <row r="27" spans="1:41" ht="15.75" customHeight="1" x14ac:dyDescent="0.25">
      <c r="A27" s="1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297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</row>
    <row r="28" spans="1:41" x14ac:dyDescent="0.25">
      <c r="A28" s="223"/>
      <c r="B28" s="223"/>
      <c r="C28" s="223"/>
      <c r="D28" s="223"/>
      <c r="E28" s="223"/>
      <c r="F28" s="223"/>
      <c r="G28" s="223"/>
      <c r="H28" s="1739"/>
      <c r="I28" s="1739"/>
      <c r="J28" s="1739"/>
      <c r="K28" s="1739"/>
      <c r="L28" s="1739"/>
      <c r="M28" s="1739"/>
      <c r="N28" s="1739"/>
      <c r="O28" s="1739"/>
      <c r="P28" s="223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</row>
    <row r="29" spans="1:41" x14ac:dyDescent="0.25">
      <c r="I29" s="1953" t="s">
        <v>891</v>
      </c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</row>
    <row r="30" spans="1:41" x14ac:dyDescent="0.25">
      <c r="H30" s="353"/>
    </row>
    <row r="31" spans="1:41" x14ac:dyDescent="0.25">
      <c r="A31" s="250"/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0"/>
      <c r="AC31" s="250"/>
      <c r="AD31" s="250"/>
      <c r="AE31" s="250"/>
      <c r="AF31" s="250"/>
      <c r="AG31" s="250"/>
      <c r="AH31" s="250"/>
      <c r="AI31" s="250"/>
      <c r="AJ31" s="250"/>
      <c r="AK31" s="250"/>
      <c r="AL31" s="250"/>
      <c r="AM31" s="250"/>
      <c r="AN31" s="250"/>
      <c r="AO31" s="250"/>
    </row>
    <row r="32" spans="1:41" x14ac:dyDescent="0.25">
      <c r="A32" s="250"/>
      <c r="B32" s="250"/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0"/>
      <c r="Z32" s="250"/>
      <c r="AA32" s="250"/>
      <c r="AB32" s="250"/>
      <c r="AC32" s="250"/>
      <c r="AD32" s="250"/>
      <c r="AE32" s="250"/>
      <c r="AF32" s="250"/>
      <c r="AG32" s="250"/>
      <c r="AH32" s="250"/>
      <c r="AI32" s="250"/>
      <c r="AJ32" s="250"/>
      <c r="AK32" s="250"/>
      <c r="AL32" s="250"/>
      <c r="AM32" s="250"/>
      <c r="AN32" s="250"/>
      <c r="AO32" s="250"/>
    </row>
    <row r="33" spans="1:41" x14ac:dyDescent="0.25">
      <c r="A33" s="250"/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</row>
    <row r="34" spans="1:41" ht="27" customHeight="1" x14ac:dyDescent="0.25">
      <c r="A34" s="250"/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</row>
    <row r="35" spans="1:41" ht="81.75" customHeight="1" x14ac:dyDescent="0.25">
      <c r="A35" s="250"/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0"/>
      <c r="AC35" s="250"/>
      <c r="AD35" s="250"/>
      <c r="AE35" s="250"/>
      <c r="AF35" s="250"/>
      <c r="AG35" s="250"/>
      <c r="AH35" s="250"/>
      <c r="AI35" s="250"/>
      <c r="AJ35" s="250"/>
      <c r="AK35" s="250"/>
      <c r="AL35" s="250"/>
      <c r="AM35" s="250"/>
      <c r="AN35" s="250"/>
      <c r="AO35" s="250"/>
    </row>
    <row r="36" spans="1:41" x14ac:dyDescent="0.25">
      <c r="A36" s="250"/>
      <c r="B36" s="250"/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0"/>
      <c r="AL36" s="250"/>
      <c r="AM36" s="250"/>
      <c r="AN36" s="250"/>
      <c r="AO36" s="250"/>
    </row>
    <row r="37" spans="1:41" x14ac:dyDescent="0.25">
      <c r="A37" s="250"/>
      <c r="B37" s="250"/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0"/>
      <c r="V37" s="250"/>
      <c r="W37" s="250"/>
      <c r="X37" s="250"/>
      <c r="Y37" s="250"/>
      <c r="Z37" s="250"/>
      <c r="AA37" s="250"/>
      <c r="AB37" s="250"/>
      <c r="AC37" s="250"/>
      <c r="AD37" s="250"/>
      <c r="AE37" s="250"/>
      <c r="AF37" s="250"/>
      <c r="AG37" s="250"/>
      <c r="AH37" s="250"/>
      <c r="AI37" s="250"/>
      <c r="AJ37" s="250"/>
      <c r="AK37" s="250"/>
      <c r="AL37" s="250"/>
      <c r="AM37" s="250"/>
      <c r="AN37" s="250"/>
      <c r="AO37" s="250"/>
    </row>
    <row r="38" spans="1:41" x14ac:dyDescent="0.25">
      <c r="A38" s="250"/>
      <c r="B38" s="250"/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0"/>
      <c r="Y38" s="250"/>
      <c r="Z38" s="250"/>
      <c r="AA38" s="250"/>
      <c r="AB38" s="250"/>
      <c r="AC38" s="250"/>
      <c r="AD38" s="250"/>
      <c r="AE38" s="250"/>
      <c r="AF38" s="250"/>
      <c r="AG38" s="250"/>
      <c r="AH38" s="250"/>
      <c r="AI38" s="250"/>
      <c r="AJ38" s="250"/>
      <c r="AK38" s="250"/>
      <c r="AL38" s="250"/>
      <c r="AM38" s="250"/>
      <c r="AN38" s="250"/>
      <c r="AO38" s="250"/>
    </row>
    <row r="39" spans="1:41" x14ac:dyDescent="0.25">
      <c r="A39" s="250"/>
      <c r="B39" s="250"/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250"/>
      <c r="AL39" s="250"/>
      <c r="AM39" s="250"/>
      <c r="AN39" s="250"/>
      <c r="AO39" s="250"/>
    </row>
    <row r="40" spans="1:41" x14ac:dyDescent="0.25">
      <c r="A40" s="250"/>
      <c r="B40" s="250"/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</row>
    <row r="41" spans="1:41" ht="15.75" customHeight="1" x14ac:dyDescent="0.25">
      <c r="A41" s="250"/>
      <c r="B41" s="250"/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  <c r="V41" s="250"/>
      <c r="W41" s="250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250"/>
      <c r="AL41" s="250"/>
      <c r="AM41" s="250"/>
      <c r="AN41" s="250"/>
      <c r="AO41" s="250"/>
    </row>
    <row r="42" spans="1:41" ht="15.75" customHeight="1" x14ac:dyDescent="0.25">
      <c r="A42" s="250"/>
      <c r="B42" s="250"/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  <c r="V42" s="250"/>
      <c r="W42" s="250"/>
      <c r="X42" s="250"/>
      <c r="Y42" s="250"/>
      <c r="Z42" s="250"/>
      <c r="AA42" s="250"/>
      <c r="AB42" s="250"/>
      <c r="AC42" s="250"/>
      <c r="AD42" s="250"/>
      <c r="AE42" s="250"/>
      <c r="AF42" s="250"/>
      <c r="AG42" s="250"/>
      <c r="AH42" s="250"/>
      <c r="AI42" s="250"/>
      <c r="AJ42" s="250"/>
      <c r="AK42" s="250"/>
      <c r="AL42" s="250"/>
      <c r="AM42" s="250"/>
      <c r="AN42" s="250"/>
      <c r="AO42" s="250"/>
    </row>
    <row r="43" spans="1:41" x14ac:dyDescent="0.25">
      <c r="A43" s="250"/>
      <c r="B43" s="250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50"/>
      <c r="Z43" s="250"/>
      <c r="AA43" s="250"/>
      <c r="AB43" s="250"/>
      <c r="AC43" s="250"/>
      <c r="AD43" s="250"/>
      <c r="AE43" s="250"/>
      <c r="AF43" s="250"/>
      <c r="AG43" s="250"/>
      <c r="AH43" s="250"/>
      <c r="AI43" s="250"/>
      <c r="AJ43" s="250"/>
      <c r="AK43" s="250"/>
      <c r="AL43" s="250"/>
      <c r="AM43" s="250"/>
      <c r="AN43" s="250"/>
      <c r="AO43" s="250"/>
    </row>
  </sheetData>
  <mergeCells count="46">
    <mergeCell ref="AJ8:AJ9"/>
    <mergeCell ref="G22:G23"/>
    <mergeCell ref="A22:A23"/>
    <mergeCell ref="B22:B23"/>
    <mergeCell ref="C22:C23"/>
    <mergeCell ref="D22:D23"/>
    <mergeCell ref="E22:E23"/>
    <mergeCell ref="F22:F23"/>
    <mergeCell ref="AE8:AE9"/>
    <mergeCell ref="AF8:AF9"/>
    <mergeCell ref="AG8:AG9"/>
    <mergeCell ref="AH8:AH9"/>
    <mergeCell ref="AI8:AI9"/>
    <mergeCell ref="AB8:AB9"/>
    <mergeCell ref="AC8:AC9"/>
    <mergeCell ref="H22:I22"/>
    <mergeCell ref="P22:P23"/>
    <mergeCell ref="AD8:AD9"/>
    <mergeCell ref="N8:O8"/>
    <mergeCell ref="AA8:AA9"/>
    <mergeCell ref="P8:Q8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F8:F9"/>
    <mergeCell ref="G8:G9"/>
    <mergeCell ref="H8:I8"/>
    <mergeCell ref="J8:K8"/>
    <mergeCell ref="L8:M8"/>
    <mergeCell ref="A8:A9"/>
    <mergeCell ref="B8:B9"/>
    <mergeCell ref="C8:C9"/>
    <mergeCell ref="D8:D9"/>
    <mergeCell ref="E8:E9"/>
    <mergeCell ref="L22:L23"/>
    <mergeCell ref="M22:M23"/>
    <mergeCell ref="N22:N23"/>
    <mergeCell ref="O22:O23"/>
    <mergeCell ref="J22:J23"/>
    <mergeCell ref="K22:K23"/>
  </mergeCells>
  <pageMargins left="0.7" right="0.7" top="0.75" bottom="0.75" header="0.3" footer="0.3"/>
  <pageSetup paperSize="9" orientation="landscape" verticalDpi="0" r:id="rId1"/>
  <ignoredErrors>
    <ignoredError sqref="Q12:R12 P12 AD12:AF12 M26 AG12 AI12:AI15 AH12 AD15:AE15 AG15" formula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E25" sqref="E25:F25"/>
    </sheetView>
  </sheetViews>
  <sheetFormatPr defaultRowHeight="15" x14ac:dyDescent="0.25"/>
  <cols>
    <col min="1" max="1" width="3.28515625" customWidth="1"/>
    <col min="2" max="2" width="19.28515625" customWidth="1"/>
    <col min="3" max="3" width="11" customWidth="1"/>
    <col min="4" max="4" width="12.28515625" customWidth="1"/>
    <col min="5" max="5" width="15.28515625" customWidth="1"/>
    <col min="6" max="6" width="15.7109375" customWidth="1"/>
    <col min="7" max="7" width="14.140625" customWidth="1"/>
    <col min="8" max="8" width="14.5703125" customWidth="1"/>
    <col min="9" max="9" width="13.140625" customWidth="1"/>
  </cols>
  <sheetData>
    <row r="1" spans="1:11" x14ac:dyDescent="0.25">
      <c r="D1" s="353" t="s">
        <v>711</v>
      </c>
    </row>
    <row r="3" spans="1:11" ht="34.5" customHeight="1" x14ac:dyDescent="0.25">
      <c r="A3" s="15"/>
      <c r="B3" s="15"/>
      <c r="C3" s="1461" t="s">
        <v>741</v>
      </c>
      <c r="D3" s="495" t="s">
        <v>740</v>
      </c>
      <c r="E3" s="493" t="s">
        <v>742</v>
      </c>
      <c r="F3" s="495" t="s">
        <v>739</v>
      </c>
      <c r="G3" s="493" t="s">
        <v>710</v>
      </c>
      <c r="H3" s="493" t="s">
        <v>809</v>
      </c>
      <c r="I3" s="495" t="s">
        <v>810</v>
      </c>
    </row>
    <row r="4" spans="1:11" x14ac:dyDescent="0.25">
      <c r="A4" s="15"/>
      <c r="B4" s="15"/>
      <c r="C4" s="15"/>
      <c r="D4" s="495"/>
      <c r="E4" s="495"/>
      <c r="F4" s="495"/>
      <c r="G4" s="15"/>
      <c r="H4" s="495"/>
      <c r="I4" s="15"/>
    </row>
    <row r="5" spans="1:11" x14ac:dyDescent="0.25">
      <c r="A5" s="15">
        <v>1</v>
      </c>
      <c r="B5" s="493" t="s">
        <v>339</v>
      </c>
      <c r="C5" s="495">
        <v>20417.900000000001</v>
      </c>
      <c r="D5" s="495">
        <f>151484.61/203074.02*C5</f>
        <v>15230.887823656616</v>
      </c>
      <c r="E5" s="495">
        <v>20417.900000000001</v>
      </c>
      <c r="F5" s="495">
        <f>106948.04/206434.02*E5</f>
        <v>10577.977340730951</v>
      </c>
      <c r="G5" s="495">
        <f>D5+F5</f>
        <v>25808.865164387567</v>
      </c>
      <c r="H5" s="495">
        <v>20417.900000000001</v>
      </c>
      <c r="I5" s="47">
        <f>329402.13/206434.02*H5</f>
        <v>32580.384522507487</v>
      </c>
    </row>
    <row r="6" spans="1:11" x14ac:dyDescent="0.25">
      <c r="A6" s="15">
        <v>2</v>
      </c>
      <c r="B6" s="493" t="s">
        <v>700</v>
      </c>
      <c r="C6" s="495">
        <v>37786.480000000003</v>
      </c>
      <c r="D6" s="495">
        <f t="shared" ref="D6:D18" si="0">151484.61/203074.02*C6</f>
        <v>28187.112197182094</v>
      </c>
      <c r="E6" s="495">
        <v>37786.480000000003</v>
      </c>
      <c r="F6" s="495">
        <f t="shared" ref="F6:F18" si="1">106948.04/206434.02*E6</f>
        <v>19576.182135576295</v>
      </c>
      <c r="G6" s="495">
        <f t="shared" ref="G6:G18" si="2">D6+F6</f>
        <v>47763.294332758393</v>
      </c>
      <c r="H6" s="495">
        <v>37786.480000000003</v>
      </c>
      <c r="I6" s="47">
        <f t="shared" ref="I6:I18" si="3">329402.13/206434.02*H6</f>
        <v>60295.037597012364</v>
      </c>
    </row>
    <row r="7" spans="1:11" x14ac:dyDescent="0.25">
      <c r="A7" s="15">
        <v>3</v>
      </c>
      <c r="B7" s="493" t="s">
        <v>701</v>
      </c>
      <c r="C7" s="495">
        <v>6252</v>
      </c>
      <c r="D7" s="495">
        <f t="shared" si="0"/>
        <v>4663.7269588694799</v>
      </c>
      <c r="E7" s="495">
        <v>6252</v>
      </c>
      <c r="F7" s="495">
        <f t="shared" si="1"/>
        <v>3238.9968769682437</v>
      </c>
      <c r="G7" s="495">
        <f t="shared" si="2"/>
        <v>7902.7238358377235</v>
      </c>
      <c r="H7" s="495">
        <v>6252</v>
      </c>
      <c r="I7" s="47">
        <f t="shared" si="3"/>
        <v>9976.1760041295529</v>
      </c>
    </row>
    <row r="8" spans="1:11" x14ac:dyDescent="0.25">
      <c r="A8" s="15">
        <v>4</v>
      </c>
      <c r="B8" s="493" t="s">
        <v>702</v>
      </c>
      <c r="C8" s="495">
        <v>17476.13</v>
      </c>
      <c r="D8" s="495">
        <f t="shared" si="0"/>
        <v>13036.4521141567</v>
      </c>
      <c r="E8" s="495">
        <v>17476.13</v>
      </c>
      <c r="F8" s="495">
        <f t="shared" si="1"/>
        <v>9053.9236230791794</v>
      </c>
      <c r="G8" s="495">
        <f t="shared" si="2"/>
        <v>22090.375737235881</v>
      </c>
      <c r="H8" s="495">
        <v>17476.13</v>
      </c>
      <c r="I8" s="47">
        <f t="shared" si="3"/>
        <v>27886.268194345586</v>
      </c>
    </row>
    <row r="9" spans="1:11" x14ac:dyDescent="0.25">
      <c r="A9" s="15">
        <v>5</v>
      </c>
      <c r="B9" s="493" t="s">
        <v>703</v>
      </c>
      <c r="C9" s="495">
        <v>15652.35</v>
      </c>
      <c r="D9" s="495">
        <f t="shared" si="0"/>
        <v>11675.989549689813</v>
      </c>
      <c r="E9" s="495">
        <v>15652.35</v>
      </c>
      <c r="F9" s="495">
        <f t="shared" si="1"/>
        <v>8109.0711399894253</v>
      </c>
      <c r="G9" s="495">
        <f t="shared" si="2"/>
        <v>19785.060689679238</v>
      </c>
      <c r="H9" s="495">
        <v>15652.35</v>
      </c>
      <c r="I9" s="47">
        <f t="shared" si="3"/>
        <v>24976.103403428857</v>
      </c>
    </row>
    <row r="10" spans="1:11" x14ac:dyDescent="0.25">
      <c r="A10" s="15">
        <v>6</v>
      </c>
      <c r="B10" s="493" t="s">
        <v>478</v>
      </c>
      <c r="C10" s="495">
        <v>27715.26</v>
      </c>
      <c r="D10" s="495">
        <f t="shared" si="0"/>
        <v>20674.409026563811</v>
      </c>
      <c r="E10" s="495">
        <v>27715.26</v>
      </c>
      <c r="F10" s="495">
        <f t="shared" si="1"/>
        <v>14358.547758215431</v>
      </c>
      <c r="G10" s="495">
        <f t="shared" si="2"/>
        <v>35032.956784779242</v>
      </c>
      <c r="H10" s="495">
        <v>27715.26</v>
      </c>
      <c r="I10" s="47">
        <f t="shared" si="3"/>
        <v>44224.618003872616</v>
      </c>
      <c r="K10" t="s">
        <v>178</v>
      </c>
    </row>
    <row r="11" spans="1:11" x14ac:dyDescent="0.25">
      <c r="A11" s="15">
        <v>7</v>
      </c>
      <c r="B11" s="493" t="s">
        <v>704</v>
      </c>
      <c r="C11" s="495">
        <v>19301.57</v>
      </c>
      <c r="D11" s="495">
        <f t="shared" si="0"/>
        <v>14398.152968251183</v>
      </c>
      <c r="E11" s="495">
        <v>19301.57</v>
      </c>
      <c r="F11" s="495">
        <f t="shared" si="1"/>
        <v>9999.636108538698</v>
      </c>
      <c r="G11" s="495">
        <f t="shared" si="2"/>
        <v>24397.789076789879</v>
      </c>
      <c r="H11" s="495">
        <v>19301.57</v>
      </c>
      <c r="I11" s="47">
        <f t="shared" si="3"/>
        <v>30799.081809985099</v>
      </c>
    </row>
    <row r="12" spans="1:11" x14ac:dyDescent="0.25">
      <c r="A12" s="15">
        <v>8</v>
      </c>
      <c r="B12" s="493" t="s">
        <v>705</v>
      </c>
      <c r="C12" s="495">
        <v>26250.75</v>
      </c>
      <c r="D12" s="495">
        <f t="shared" si="0"/>
        <v>19581.946651558381</v>
      </c>
      <c r="E12" s="495">
        <v>26250.75</v>
      </c>
      <c r="F12" s="495">
        <f t="shared" si="1"/>
        <v>13599.823619333672</v>
      </c>
      <c r="G12" s="495">
        <f t="shared" si="2"/>
        <v>33181.770270892055</v>
      </c>
      <c r="H12" s="495">
        <v>26250.75</v>
      </c>
      <c r="I12" s="47">
        <f t="shared" si="3"/>
        <v>41887.732284133694</v>
      </c>
    </row>
    <row r="13" spans="1:11" x14ac:dyDescent="0.25">
      <c r="A13" s="15">
        <v>9</v>
      </c>
      <c r="B13" s="493" t="s">
        <v>706</v>
      </c>
      <c r="C13" s="495">
        <v>20286.400000000001</v>
      </c>
      <c r="D13" s="495">
        <f t="shared" si="0"/>
        <v>15132.794398338105</v>
      </c>
      <c r="E13" s="495">
        <v>20286.400000000001</v>
      </c>
      <c r="F13" s="495">
        <f t="shared" si="1"/>
        <v>10509.850646981538</v>
      </c>
      <c r="G13" s="495">
        <f t="shared" si="2"/>
        <v>25642.645045319645</v>
      </c>
      <c r="H13" s="495">
        <v>20286.400000000001</v>
      </c>
      <c r="I13" s="47">
        <f t="shared" si="3"/>
        <v>32370.552925491647</v>
      </c>
    </row>
    <row r="14" spans="1:11" x14ac:dyDescent="0.25">
      <c r="A14" s="15">
        <v>10</v>
      </c>
      <c r="B14" s="493" t="s">
        <v>707</v>
      </c>
      <c r="C14" s="495">
        <v>6183.4</v>
      </c>
      <c r="D14" s="495">
        <f t="shared" si="0"/>
        <v>4612.5542670303166</v>
      </c>
      <c r="E14" s="495">
        <v>6183.4</v>
      </c>
      <c r="F14" s="495">
        <f t="shared" si="1"/>
        <v>3203.4570200008693</v>
      </c>
      <c r="G14" s="495">
        <f t="shared" si="2"/>
        <v>7816.0112870311859</v>
      </c>
      <c r="H14" s="495">
        <v>6183.4</v>
      </c>
      <c r="I14" s="47">
        <f t="shared" si="3"/>
        <v>9866.7125246216692</v>
      </c>
    </row>
    <row r="15" spans="1:11" x14ac:dyDescent="0.25">
      <c r="A15" s="15">
        <v>11</v>
      </c>
      <c r="B15" s="493" t="s">
        <v>708</v>
      </c>
      <c r="C15" s="495">
        <v>4685.84</v>
      </c>
      <c r="D15" s="495">
        <f t="shared" si="0"/>
        <v>3495.4379931140379</v>
      </c>
      <c r="E15" s="495">
        <v>4685.84</v>
      </c>
      <c r="F15" s="495">
        <f t="shared" si="1"/>
        <v>2427.6105447813302</v>
      </c>
      <c r="G15" s="495">
        <f t="shared" si="2"/>
        <v>5923.0485378953681</v>
      </c>
      <c r="H15" s="495">
        <v>4685.84</v>
      </c>
      <c r="I15" s="47">
        <f t="shared" si="3"/>
        <v>7477.0896620586091</v>
      </c>
    </row>
    <row r="16" spans="1:11" x14ac:dyDescent="0.25">
      <c r="A16" s="15">
        <v>12</v>
      </c>
      <c r="B16" s="493" t="s">
        <v>709</v>
      </c>
      <c r="C16" s="495">
        <v>1065.94</v>
      </c>
      <c r="D16" s="495">
        <f t="shared" si="0"/>
        <v>795.14605158946483</v>
      </c>
      <c r="E16" s="495">
        <v>1065.94</v>
      </c>
      <c r="F16" s="495">
        <f t="shared" si="1"/>
        <v>552.23549760645074</v>
      </c>
      <c r="G16" s="495">
        <f t="shared" si="2"/>
        <v>1347.3815491959156</v>
      </c>
      <c r="H16" s="495">
        <v>1065.94</v>
      </c>
      <c r="I16" s="47">
        <f t="shared" si="3"/>
        <v>1700.8965210879487</v>
      </c>
    </row>
    <row r="17" spans="1:9" x14ac:dyDescent="0.25">
      <c r="A17" s="15">
        <v>13</v>
      </c>
      <c r="B17" s="493" t="s">
        <v>699</v>
      </c>
      <c r="C17" s="495"/>
      <c r="D17" s="495">
        <f t="shared" si="0"/>
        <v>0</v>
      </c>
      <c r="E17" s="495">
        <v>3360</v>
      </c>
      <c r="F17" s="495">
        <f t="shared" si="1"/>
        <v>1740.7276881979044</v>
      </c>
      <c r="G17" s="495">
        <f t="shared" si="2"/>
        <v>1740.7276881979044</v>
      </c>
      <c r="H17" s="495">
        <v>3360</v>
      </c>
      <c r="I17" s="47">
        <f t="shared" si="3"/>
        <v>5361.4765473249035</v>
      </c>
    </row>
    <row r="18" spans="1:9" x14ac:dyDescent="0.25">
      <c r="A18" s="15">
        <v>13</v>
      </c>
      <c r="B18" s="493"/>
      <c r="C18" s="495">
        <f>SUM(C5:C17)</f>
        <v>203074.02</v>
      </c>
      <c r="D18" s="495">
        <f t="shared" si="0"/>
        <v>151484.60999999999</v>
      </c>
      <c r="E18" s="495">
        <f>SUM(E5:E17)</f>
        <v>206434.02</v>
      </c>
      <c r="F18" s="495">
        <f t="shared" si="1"/>
        <v>106948.03999999998</v>
      </c>
      <c r="G18" s="495">
        <f t="shared" si="2"/>
        <v>258432.64999999997</v>
      </c>
      <c r="H18" s="495">
        <f>SUM(H5:H17)</f>
        <v>206434.02</v>
      </c>
      <c r="I18" s="493">
        <f t="shared" si="3"/>
        <v>329402.13</v>
      </c>
    </row>
    <row r="19" spans="1:9" x14ac:dyDescent="0.25">
      <c r="A19" s="15"/>
      <c r="B19" s="493"/>
      <c r="C19" s="495"/>
      <c r="D19" s="495"/>
      <c r="E19" s="495"/>
      <c r="F19" s="495"/>
      <c r="G19" s="15"/>
      <c r="H19" s="15"/>
      <c r="I19" s="15"/>
    </row>
    <row r="20" spans="1:9" x14ac:dyDescent="0.25">
      <c r="C20" s="50"/>
      <c r="D20" s="352"/>
      <c r="E20" s="352"/>
      <c r="F20" s="352"/>
    </row>
    <row r="21" spans="1:9" x14ac:dyDescent="0.25">
      <c r="C21" s="50"/>
      <c r="F21" s="352">
        <f>D18+F18</f>
        <v>258432.64999999997</v>
      </c>
      <c r="H21" s="352">
        <v>329402.13</v>
      </c>
    </row>
    <row r="22" spans="1:9" x14ac:dyDescent="0.25">
      <c r="C22" s="50"/>
    </row>
    <row r="23" spans="1:9" x14ac:dyDescent="0.25">
      <c r="C23" s="50"/>
    </row>
    <row r="25" spans="1:9" ht="41.25" customHeight="1" x14ac:dyDescent="0.25">
      <c r="A25" s="15"/>
      <c r="B25" s="493" t="s">
        <v>811</v>
      </c>
      <c r="C25" s="1702" t="s">
        <v>816</v>
      </c>
      <c r="D25" s="1701" t="s">
        <v>813</v>
      </c>
      <c r="E25" s="1740" t="s">
        <v>814</v>
      </c>
      <c r="F25" s="1741" t="s">
        <v>815</v>
      </c>
    </row>
    <row r="26" spans="1:9" x14ac:dyDescent="0.25">
      <c r="A26" s="15"/>
      <c r="B26" s="493"/>
      <c r="C26" s="493"/>
      <c r="D26" s="15"/>
      <c r="E26" s="15"/>
      <c r="F26" s="15"/>
    </row>
    <row r="27" spans="1:9" x14ac:dyDescent="0.25">
      <c r="A27" s="15"/>
      <c r="B27" s="493" t="s">
        <v>812</v>
      </c>
      <c r="C27" s="493">
        <v>5</v>
      </c>
      <c r="D27" s="495">
        <f>162269.09/22*C27</f>
        <v>36879.338636363638</v>
      </c>
      <c r="E27" s="47">
        <v>40045.980000000003</v>
      </c>
      <c r="F27" s="47">
        <f>D27+E27</f>
        <v>76925.318636363634</v>
      </c>
    </row>
    <row r="28" spans="1:9" x14ac:dyDescent="0.25">
      <c r="A28" s="15"/>
      <c r="B28" s="493" t="s">
        <v>478</v>
      </c>
      <c r="C28" s="493">
        <v>3</v>
      </c>
      <c r="D28" s="495">
        <f t="shared" ref="D28:D31" si="4">162269.09/22*C28</f>
        <v>22127.60318181818</v>
      </c>
      <c r="E28" s="47">
        <v>13073.5</v>
      </c>
      <c r="F28" s="47">
        <f t="shared" ref="F28:F31" si="5">D28+E28</f>
        <v>35201.10318181818</v>
      </c>
    </row>
    <row r="29" spans="1:9" x14ac:dyDescent="0.25">
      <c r="A29" s="15"/>
      <c r="B29" s="493" t="s">
        <v>339</v>
      </c>
      <c r="C29" s="493">
        <v>7</v>
      </c>
      <c r="D29" s="495">
        <f t="shared" si="4"/>
        <v>51631.074090909089</v>
      </c>
      <c r="E29" s="47">
        <v>70544.69</v>
      </c>
      <c r="F29" s="47">
        <f t="shared" si="5"/>
        <v>122175.7640909091</v>
      </c>
    </row>
    <row r="30" spans="1:9" x14ac:dyDescent="0.25">
      <c r="A30" s="15"/>
      <c r="B30" s="493" t="s">
        <v>700</v>
      </c>
      <c r="C30" s="493">
        <v>4</v>
      </c>
      <c r="D30" s="495">
        <f t="shared" si="4"/>
        <v>29503.470909090909</v>
      </c>
      <c r="E30" s="47">
        <v>35945.519999999997</v>
      </c>
      <c r="F30" s="47">
        <f t="shared" si="5"/>
        <v>65448.990909090906</v>
      </c>
    </row>
    <row r="31" spans="1:9" x14ac:dyDescent="0.25">
      <c r="A31" s="15"/>
      <c r="B31" s="493" t="s">
        <v>704</v>
      </c>
      <c r="C31" s="493">
        <v>3</v>
      </c>
      <c r="D31" s="495">
        <f t="shared" si="4"/>
        <v>22127.60318181818</v>
      </c>
      <c r="E31" s="47">
        <v>22945.3</v>
      </c>
      <c r="F31" s="47">
        <f t="shared" si="5"/>
        <v>45072.903181818183</v>
      </c>
    </row>
    <row r="32" spans="1:9" x14ac:dyDescent="0.25">
      <c r="A32" s="15"/>
      <c r="B32" s="493" t="s">
        <v>23</v>
      </c>
      <c r="C32" s="493">
        <f>SUM(C26:C31)</f>
        <v>22</v>
      </c>
      <c r="D32" s="495">
        <f>SUM(D27:D31)</f>
        <v>162269.09</v>
      </c>
      <c r="E32" s="495">
        <f t="shared" ref="E32:F32" si="6">SUM(E27:E31)</f>
        <v>182554.99</v>
      </c>
      <c r="F32" s="495">
        <f t="shared" si="6"/>
        <v>344824.08</v>
      </c>
    </row>
    <row r="33" spans="2:2" x14ac:dyDescent="0.25">
      <c r="B33" s="353"/>
    </row>
    <row r="34" spans="2:2" x14ac:dyDescent="0.25">
      <c r="B34" s="353"/>
    </row>
    <row r="35" spans="2:2" x14ac:dyDescent="0.25">
      <c r="B35" s="353"/>
    </row>
    <row r="36" spans="2:2" x14ac:dyDescent="0.25">
      <c r="B36" s="353"/>
    </row>
    <row r="37" spans="2:2" x14ac:dyDescent="0.25">
      <c r="B37" s="353"/>
    </row>
  </sheetData>
  <pageMargins left="0.15748031496062992" right="0.70866141732283472" top="0.74803149606299213" bottom="0.27" header="0.31496062992125984" footer="0.31496062992125984"/>
  <pageSetup paperSize="9" orientation="landscape" verticalDpi="0" r:id="rId1"/>
  <ignoredErrors>
    <ignoredError sqref="D1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47"/>
  <sheetViews>
    <sheetView workbookViewId="0">
      <selection activeCell="B1" sqref="B1"/>
    </sheetView>
  </sheetViews>
  <sheetFormatPr defaultRowHeight="15" x14ac:dyDescent="0.25"/>
  <cols>
    <col min="1" max="1" width="4.140625" customWidth="1"/>
    <col min="2" max="2" width="23.85546875" customWidth="1"/>
    <col min="3" max="3" width="7.85546875" hidden="1" customWidth="1"/>
    <col min="4" max="4" width="7.28515625" hidden="1" customWidth="1"/>
    <col min="5" max="5" width="7.5703125" hidden="1" customWidth="1"/>
    <col min="6" max="6" width="8.5703125" hidden="1" customWidth="1"/>
    <col min="7" max="7" width="9.7109375" customWidth="1"/>
    <col min="8" max="8" width="9.42578125" hidden="1" customWidth="1"/>
    <col min="9" max="9" width="13.85546875" hidden="1" customWidth="1"/>
    <col min="10" max="10" width="13" hidden="1" customWidth="1"/>
    <col min="11" max="11" width="12.7109375" customWidth="1"/>
    <col min="12" max="12" width="12.140625" customWidth="1"/>
    <col min="13" max="13" width="11.140625" customWidth="1"/>
    <col min="14" max="14" width="10.7109375" customWidth="1"/>
    <col min="15" max="15" width="11.7109375" customWidth="1"/>
    <col min="16" max="16" width="13.7109375" customWidth="1"/>
    <col min="17" max="17" width="12.28515625" customWidth="1"/>
    <col min="18" max="18" width="12.140625" customWidth="1"/>
    <col min="19" max="19" width="11.85546875" customWidth="1"/>
    <col min="20" max="20" width="11.5703125" customWidth="1"/>
    <col min="21" max="21" width="12.140625" customWidth="1"/>
    <col min="22" max="22" width="12.5703125" customWidth="1"/>
    <col min="23" max="23" width="12.42578125" customWidth="1"/>
    <col min="24" max="24" width="10.85546875" customWidth="1"/>
    <col min="25" max="25" width="11.42578125" customWidth="1"/>
    <col min="26" max="26" width="10.85546875" customWidth="1"/>
    <col min="27" max="27" width="11.28515625" customWidth="1"/>
    <col min="28" max="28" width="12.140625" customWidth="1"/>
    <col min="29" max="29" width="11" customWidth="1"/>
    <col min="30" max="30" width="10.42578125" customWidth="1"/>
    <col min="31" max="33" width="11.28515625" customWidth="1"/>
    <col min="34" max="34" width="12.140625" customWidth="1"/>
    <col min="35" max="35" width="12.28515625" customWidth="1"/>
    <col min="36" max="36" width="10.5703125" customWidth="1"/>
    <col min="37" max="39" width="12.140625" customWidth="1"/>
    <col min="40" max="40" width="12.5703125" customWidth="1"/>
    <col min="41" max="41" width="13.140625" customWidth="1"/>
    <col min="42" max="42" width="13.28515625" customWidth="1"/>
    <col min="43" max="43" width="12" customWidth="1"/>
    <col min="44" max="45" width="12.5703125" customWidth="1"/>
    <col min="46" max="46" width="12" customWidth="1"/>
    <col min="47" max="47" width="13" customWidth="1"/>
    <col min="48" max="48" width="11.42578125" customWidth="1"/>
    <col min="49" max="49" width="10" customWidth="1"/>
    <col min="50" max="50" width="12.28515625" customWidth="1"/>
    <col min="51" max="51" width="9.5703125" customWidth="1"/>
    <col min="52" max="52" width="9.85546875" customWidth="1"/>
    <col min="53" max="53" width="10.85546875" customWidth="1"/>
    <col min="54" max="54" width="10.140625" customWidth="1"/>
  </cols>
  <sheetData>
    <row r="1" spans="1:56" ht="1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U1" s="250"/>
      <c r="AV1" s="250"/>
      <c r="AW1" s="250"/>
    </row>
    <row r="2" spans="1:56" ht="18.75" x14ac:dyDescent="0.3">
      <c r="B2" s="84" t="s">
        <v>775</v>
      </c>
      <c r="C2" s="84"/>
      <c r="D2" s="84"/>
      <c r="E2" s="84"/>
      <c r="F2" s="84"/>
      <c r="AU2" s="250"/>
      <c r="AV2" s="250"/>
      <c r="AW2" s="250"/>
    </row>
    <row r="3" spans="1:56" ht="18.75" x14ac:dyDescent="0.3">
      <c r="B3" s="373"/>
      <c r="C3" s="374"/>
      <c r="D3" s="374"/>
      <c r="E3" s="374"/>
      <c r="F3" s="374"/>
      <c r="AU3" s="250"/>
      <c r="AV3" s="250"/>
      <c r="AW3" s="250"/>
      <c r="AX3" s="250"/>
      <c r="AY3" s="250"/>
      <c r="AZ3" s="250"/>
      <c r="BA3" s="250"/>
      <c r="BB3" s="250"/>
    </row>
    <row r="4" spans="1:56" x14ac:dyDescent="0.25">
      <c r="AU4" s="167"/>
      <c r="AV4" s="223"/>
      <c r="AW4" s="223"/>
      <c r="AX4" s="250"/>
      <c r="AY4" s="250"/>
      <c r="AZ4" s="250"/>
      <c r="BA4" s="250"/>
      <c r="BB4" s="250"/>
      <c r="BC4" s="250"/>
      <c r="BD4" s="250"/>
    </row>
    <row r="5" spans="1:56" ht="43.5" customHeight="1" x14ac:dyDescent="0.25">
      <c r="A5" s="1985" t="s">
        <v>0</v>
      </c>
      <c r="B5" s="1985" t="s">
        <v>184</v>
      </c>
      <c r="C5" s="1985" t="s">
        <v>54</v>
      </c>
      <c r="D5" s="1985" t="s">
        <v>55</v>
      </c>
      <c r="E5" s="1985" t="s">
        <v>56</v>
      </c>
      <c r="F5" s="1985" t="s">
        <v>57</v>
      </c>
      <c r="G5" s="1985" t="s">
        <v>6</v>
      </c>
      <c r="H5" s="1985" t="s">
        <v>288</v>
      </c>
      <c r="I5" s="2051" t="s">
        <v>290</v>
      </c>
      <c r="J5" s="2052"/>
      <c r="K5" s="1989" t="s">
        <v>656</v>
      </c>
      <c r="L5" s="1990"/>
      <c r="M5" s="1989" t="s">
        <v>657</v>
      </c>
      <c r="N5" s="1990"/>
      <c r="O5" s="1989" t="s">
        <v>658</v>
      </c>
      <c r="P5" s="1990"/>
      <c r="Q5" s="1989" t="s">
        <v>310</v>
      </c>
      <c r="R5" s="1990"/>
      <c r="S5" s="1989" t="s">
        <v>777</v>
      </c>
      <c r="T5" s="1990"/>
      <c r="U5" s="2062" t="s">
        <v>719</v>
      </c>
      <c r="V5" s="2062"/>
      <c r="W5" s="2063" t="s">
        <v>748</v>
      </c>
      <c r="X5" s="2049" t="s">
        <v>332</v>
      </c>
      <c r="Y5" s="2049" t="s">
        <v>333</v>
      </c>
      <c r="Z5" s="2049" t="s">
        <v>331</v>
      </c>
      <c r="AA5" s="2049" t="s">
        <v>562</v>
      </c>
      <c r="AB5" s="2049" t="s">
        <v>563</v>
      </c>
      <c r="AC5" s="2049" t="s">
        <v>337</v>
      </c>
      <c r="AD5" s="2049" t="s">
        <v>565</v>
      </c>
      <c r="AE5" s="2049" t="s">
        <v>564</v>
      </c>
      <c r="AF5" s="1922" t="s">
        <v>10</v>
      </c>
      <c r="AG5" s="2049" t="s">
        <v>819</v>
      </c>
      <c r="AH5" s="2049" t="s">
        <v>338</v>
      </c>
      <c r="AI5" s="2049" t="s">
        <v>817</v>
      </c>
      <c r="AJ5" s="2049" t="s">
        <v>369</v>
      </c>
      <c r="AK5" s="2049" t="s">
        <v>818</v>
      </c>
      <c r="AL5" s="2069" t="s">
        <v>688</v>
      </c>
      <c r="AM5" s="2041" t="s">
        <v>727</v>
      </c>
      <c r="AN5" s="2041" t="s">
        <v>690</v>
      </c>
      <c r="AO5" s="2041" t="s">
        <v>839</v>
      </c>
      <c r="AP5" s="2041"/>
      <c r="AQ5" s="2069" t="s">
        <v>692</v>
      </c>
      <c r="AR5" s="2041" t="s">
        <v>723</v>
      </c>
      <c r="AS5" s="2041" t="s">
        <v>693</v>
      </c>
      <c r="AT5" s="2049" t="s">
        <v>694</v>
      </c>
      <c r="AU5" s="2041" t="s">
        <v>175</v>
      </c>
      <c r="AV5" s="2041" t="s">
        <v>724</v>
      </c>
      <c r="AW5" s="2043" t="s">
        <v>182</v>
      </c>
      <c r="AX5" s="2043" t="s">
        <v>566</v>
      </c>
      <c r="AY5" s="2045" t="s">
        <v>715</v>
      </c>
      <c r="AZ5" s="250"/>
      <c r="BA5" s="250"/>
      <c r="BB5" s="250"/>
      <c r="BC5" s="250"/>
      <c r="BD5" s="250"/>
    </row>
    <row r="6" spans="1:56" ht="65.25" customHeight="1" x14ac:dyDescent="0.25">
      <c r="A6" s="1986"/>
      <c r="B6" s="1986"/>
      <c r="C6" s="1986"/>
      <c r="D6" s="1986"/>
      <c r="E6" s="1986"/>
      <c r="F6" s="1986"/>
      <c r="G6" s="1986"/>
      <c r="H6" s="1986"/>
      <c r="I6" s="1643" t="s">
        <v>15</v>
      </c>
      <c r="J6" s="1644" t="s">
        <v>16</v>
      </c>
      <c r="K6" s="150" t="s">
        <v>15</v>
      </c>
      <c r="L6" s="1618" t="s">
        <v>16</v>
      </c>
      <c r="M6" s="150" t="s">
        <v>15</v>
      </c>
      <c r="N6" s="1618" t="s">
        <v>16</v>
      </c>
      <c r="O6" s="150" t="s">
        <v>15</v>
      </c>
      <c r="P6" s="1618" t="s">
        <v>16</v>
      </c>
      <c r="Q6" s="150" t="s">
        <v>15</v>
      </c>
      <c r="R6" s="1618" t="s">
        <v>16</v>
      </c>
      <c r="S6" s="150" t="s">
        <v>15</v>
      </c>
      <c r="T6" s="1615" t="s">
        <v>16</v>
      </c>
      <c r="U6" s="1966" t="s">
        <v>15</v>
      </c>
      <c r="V6" s="1967" t="s">
        <v>16</v>
      </c>
      <c r="W6" s="2064"/>
      <c r="X6" s="2050"/>
      <c r="Y6" s="2050"/>
      <c r="Z6" s="2050"/>
      <c r="AA6" s="2050"/>
      <c r="AB6" s="2050"/>
      <c r="AC6" s="2050"/>
      <c r="AD6" s="2050"/>
      <c r="AE6" s="2050"/>
      <c r="AF6" s="1923"/>
      <c r="AG6" s="2050"/>
      <c r="AH6" s="2050"/>
      <c r="AI6" s="2050"/>
      <c r="AJ6" s="2050"/>
      <c r="AK6" s="2050"/>
      <c r="AL6" s="2070"/>
      <c r="AM6" s="2042"/>
      <c r="AN6" s="2042"/>
      <c r="AO6" s="2042"/>
      <c r="AP6" s="2042"/>
      <c r="AQ6" s="2070"/>
      <c r="AR6" s="2042"/>
      <c r="AS6" s="2042"/>
      <c r="AT6" s="2050"/>
      <c r="AU6" s="2042"/>
      <c r="AV6" s="2042"/>
      <c r="AW6" s="2044"/>
      <c r="AX6" s="2044"/>
      <c r="AY6" s="2046"/>
      <c r="AZ6" s="250"/>
      <c r="BA6" s="250"/>
      <c r="BB6" s="250"/>
      <c r="BC6" s="250"/>
      <c r="BD6" s="250"/>
    </row>
    <row r="7" spans="1:56" s="124" customFormat="1" x14ac:dyDescent="0.25">
      <c r="A7" s="2">
        <v>1</v>
      </c>
      <c r="B7" s="1319" t="s">
        <v>17</v>
      </c>
      <c r="C7" s="908">
        <v>1977</v>
      </c>
      <c r="D7" s="908">
        <v>5</v>
      </c>
      <c r="E7" s="737">
        <v>45</v>
      </c>
      <c r="F7" s="909">
        <v>132</v>
      </c>
      <c r="G7" s="910">
        <v>2366.1999999999998</v>
      </c>
      <c r="H7" s="910">
        <v>207.4</v>
      </c>
      <c r="I7" s="738">
        <v>53557.38</v>
      </c>
      <c r="J7" s="738">
        <v>64411.43</v>
      </c>
      <c r="K7" s="738">
        <v>2272.92</v>
      </c>
      <c r="L7" s="738">
        <v>2733.51</v>
      </c>
      <c r="M7" s="911">
        <v>10655.28</v>
      </c>
      <c r="N7" s="911">
        <v>12814.71</v>
      </c>
      <c r="O7" s="912">
        <v>25287</v>
      </c>
      <c r="P7" s="912">
        <v>30269.95</v>
      </c>
      <c r="Q7" s="912">
        <v>318787.08</v>
      </c>
      <c r="R7" s="912">
        <v>299242.59999999998</v>
      </c>
      <c r="S7" s="912">
        <v>6770.99</v>
      </c>
      <c r="T7" s="912">
        <v>6273</v>
      </c>
      <c r="U7" s="1968">
        <f>I7+K7+M7+O7+Q7+S7</f>
        <v>417330.65</v>
      </c>
      <c r="V7" s="1968">
        <f>J7+L7+N7+P7+R7+T7</f>
        <v>415745.19999999995</v>
      </c>
      <c r="W7" s="1969">
        <f>AL7+AQ7+AR7+AS7+AT7</f>
        <v>398169.71161750914</v>
      </c>
      <c r="X7" s="1317">
        <v>6502.07</v>
      </c>
      <c r="Y7" s="1317">
        <f>17984.61/20417.9*G7</f>
        <v>2084.2096484947028</v>
      </c>
      <c r="Z7" s="1317">
        <f>10200/20417.9*G7</f>
        <v>1182.0627978391508</v>
      </c>
      <c r="AA7" s="913">
        <v>1206.24</v>
      </c>
      <c r="AB7" s="913">
        <v>3206</v>
      </c>
      <c r="AC7" s="913">
        <v>4365.62</v>
      </c>
      <c r="AD7" s="913">
        <f>750/20417.9*G7</f>
        <v>86.916382194055203</v>
      </c>
      <c r="AE7" s="913">
        <f>750/20417.9*G7</f>
        <v>86.916382194055203</v>
      </c>
      <c r="AF7" s="913">
        <v>1139.58</v>
      </c>
      <c r="AG7" s="913">
        <f>8224.69/20417.9*G7</f>
        <v>953.14706595683197</v>
      </c>
      <c r="AH7" s="591">
        <f>72821.23/20417.9*G7</f>
        <v>8439.1438113615986</v>
      </c>
      <c r="AI7" s="591">
        <f>793344.41/20417.9*G7</f>
        <v>91939.501268102977</v>
      </c>
      <c r="AJ7" s="913">
        <f>335897.08/20417.9*G7</f>
        <v>38926.611977529516</v>
      </c>
      <c r="AK7" s="591">
        <f>806980.76/20417.9*G7</f>
        <v>93519.797545878842</v>
      </c>
      <c r="AL7" s="678">
        <f>AK7+AJ7+AI7+AH7+AG7+AF7+AE7+AD7+AC7+AB7+AA7+Z7+Y7+X7</f>
        <v>253637.81687955174</v>
      </c>
      <c r="AM7" s="678">
        <f>3782.08/20417.9*G7</f>
        <v>438.29961435798975</v>
      </c>
      <c r="AN7" s="678">
        <v>256.26</v>
      </c>
      <c r="AO7" s="678">
        <f>650359.8/20417.9*G7</f>
        <v>75369.227920599078</v>
      </c>
      <c r="AP7" s="678"/>
      <c r="AQ7" s="1129">
        <f>AP7+AO7+AN7+AM7</f>
        <v>76063.787534957068</v>
      </c>
      <c r="AR7" s="1129">
        <f>32580.38/20417.9*G7</f>
        <v>3775.6916801434027</v>
      </c>
      <c r="AS7" s="1129">
        <f>122175.76/18977.3*G7</f>
        <v>15233.583455602218</v>
      </c>
      <c r="AT7" s="678">
        <f>426779.43/20417.9*G7</f>
        <v>49458.832067254698</v>
      </c>
      <c r="AU7" s="1129">
        <f>U7-W7</f>
        <v>19160.938382490887</v>
      </c>
      <c r="AV7" s="524">
        <f>V7/U7*100</f>
        <v>99.620097397591081</v>
      </c>
      <c r="AW7" s="1444">
        <f>W7/G7/12</f>
        <v>14.0228253323722</v>
      </c>
      <c r="AX7" s="525">
        <f>U7-V7</f>
        <v>1585.4500000000698</v>
      </c>
      <c r="AY7" s="1445">
        <v>14.83</v>
      </c>
      <c r="AZ7" s="250"/>
      <c r="BA7" s="250"/>
      <c r="BB7" s="250"/>
      <c r="BC7" s="250"/>
      <c r="BD7" s="250"/>
    </row>
    <row r="8" spans="1:56" s="124" customFormat="1" x14ac:dyDescent="0.25">
      <c r="A8" s="5">
        <v>2</v>
      </c>
      <c r="B8" s="1320" t="s">
        <v>18</v>
      </c>
      <c r="C8" s="737">
        <v>1977</v>
      </c>
      <c r="D8" s="737">
        <v>5</v>
      </c>
      <c r="E8" s="737">
        <v>45</v>
      </c>
      <c r="F8" s="909">
        <v>117</v>
      </c>
      <c r="G8" s="738">
        <v>2363.9</v>
      </c>
      <c r="H8" s="738">
        <v>207.4</v>
      </c>
      <c r="I8" s="738">
        <v>53480.34</v>
      </c>
      <c r="J8" s="738">
        <v>61610</v>
      </c>
      <c r="K8" s="738">
        <v>2269.62</v>
      </c>
      <c r="L8" s="738">
        <v>2614.66</v>
      </c>
      <c r="M8" s="911">
        <v>10640.1</v>
      </c>
      <c r="N8" s="911">
        <v>12257.53</v>
      </c>
      <c r="O8" s="912">
        <v>25250.82</v>
      </c>
      <c r="P8" s="912">
        <v>29049.24</v>
      </c>
      <c r="Q8" s="912">
        <v>317747.18</v>
      </c>
      <c r="R8" s="912">
        <v>278629.62</v>
      </c>
      <c r="S8" s="912">
        <v>6903.16</v>
      </c>
      <c r="T8" s="912">
        <v>5840.28</v>
      </c>
      <c r="U8" s="1968">
        <f t="shared" ref="U8:U13" si="0">I8+K8+M8+O8+Q8+S8</f>
        <v>416291.22</v>
      </c>
      <c r="V8" s="1968">
        <f t="shared" ref="V8:V13" si="1">J8+L8+N8+P8+R8+T8</f>
        <v>390001.33</v>
      </c>
      <c r="W8" s="1969">
        <f t="shared" ref="W8:W13" si="2">AL8+AQ8+AR8+AS8+AT8</f>
        <v>396735.97086452111</v>
      </c>
      <c r="X8" s="1317">
        <v>6396.11</v>
      </c>
      <c r="Y8" s="1317">
        <f t="shared" ref="Y8:Y13" si="3">17984.61/20417.9*G8</f>
        <v>2082.1837495041118</v>
      </c>
      <c r="Z8" s="1317">
        <f t="shared" ref="Z8:Z13" si="4">10200/20417.9*G8</f>
        <v>1180.9138060231464</v>
      </c>
      <c r="AA8" s="913">
        <v>1205.06</v>
      </c>
      <c r="AB8" s="913">
        <v>1946</v>
      </c>
      <c r="AC8" s="913">
        <v>4669.84</v>
      </c>
      <c r="AD8" s="913">
        <f t="shared" ref="AD8:AD13" si="5">750/20417.9*G8</f>
        <v>86.831897501701931</v>
      </c>
      <c r="AE8" s="913">
        <f t="shared" ref="AE8:AE13" si="6">750/20417.9*G8</f>
        <v>86.831897501701931</v>
      </c>
      <c r="AF8" s="913">
        <v>1139.58</v>
      </c>
      <c r="AG8" s="913">
        <f t="shared" ref="AG8:AG13" si="7">8224.69/20417.9*G8</f>
        <v>952.22058541769729</v>
      </c>
      <c r="AH8" s="591">
        <f t="shared" ref="AH8:AH13" si="8">72821.23/20417.9*G8</f>
        <v>8430.9407724104822</v>
      </c>
      <c r="AI8" s="591">
        <f t="shared" ref="AI8:AI13" si="9">793344.41/20417.9*G8</f>
        <v>91850.133990224262</v>
      </c>
      <c r="AJ8" s="913">
        <f t="shared" ref="AJ8:AJ13" si="10">335897.08/20417.9*G8</f>
        <v>38888.774428907971</v>
      </c>
      <c r="AK8" s="591">
        <f t="shared" ref="AK8:AK13" si="11">806980.76/20417.9*G8</f>
        <v>93428.894184220713</v>
      </c>
      <c r="AL8" s="678">
        <f t="shared" ref="AL8:AL14" si="12">AK8+AJ8+AI8+AH8+AG8+AF8+AE8+AD8+AC8+AB8+AA8+Z8+Y8+X8</f>
        <v>252344.31531171172</v>
      </c>
      <c r="AM8" s="678">
        <f t="shared" ref="AM8:AM13" si="13">3782.08/20417.9*G8</f>
        <v>437.87357720431584</v>
      </c>
      <c r="AN8" s="678">
        <v>256.26</v>
      </c>
      <c r="AO8" s="678">
        <f t="shared" ref="AO8:AO13" si="14">650359.8/20417.9*G8</f>
        <v>75295.96732376983</v>
      </c>
      <c r="AP8" s="678"/>
      <c r="AQ8" s="1129">
        <f t="shared" ref="AQ8:AQ13" si="15">AP8+AO8+AN8+AM8</f>
        <v>75990.100900974139</v>
      </c>
      <c r="AR8" s="1129">
        <f t="shared" ref="AR8:AR13" si="16">32580.38/20417.9*G8</f>
        <v>3772.0216223019993</v>
      </c>
      <c r="AS8" s="1129">
        <f>122175.76/18977.3*G8</f>
        <v>15218.776067406849</v>
      </c>
      <c r="AT8" s="678">
        <f t="shared" ref="AT8:AT13" si="17">426779.43/20417.9*G8</f>
        <v>49410.756962126361</v>
      </c>
      <c r="AU8" s="1129">
        <f t="shared" ref="AU8:AU13" si="18">U8-W8</f>
        <v>19555.249135478865</v>
      </c>
      <c r="AV8" s="524">
        <f t="shared" ref="AV8:AV14" si="19">V8/U8*100</f>
        <v>93.684735892339987</v>
      </c>
      <c r="AW8" s="1444">
        <f t="shared" ref="AW8:AW14" si="20">W8/G8/12</f>
        <v>13.985926183585073</v>
      </c>
      <c r="AX8" s="525">
        <f t="shared" ref="AX8:AX13" si="21">U8-V8</f>
        <v>26289.889999999956</v>
      </c>
      <c r="AY8" s="1445">
        <v>14.81</v>
      </c>
      <c r="AZ8" s="250"/>
      <c r="BA8" s="250"/>
      <c r="BB8" s="250"/>
      <c r="BC8" s="250"/>
      <c r="BD8" s="250"/>
    </row>
    <row r="9" spans="1:56" s="124" customFormat="1" x14ac:dyDescent="0.25">
      <c r="A9" s="5">
        <v>3</v>
      </c>
      <c r="B9" s="1320" t="s">
        <v>831</v>
      </c>
      <c r="C9" s="737">
        <v>1986</v>
      </c>
      <c r="D9" s="737">
        <v>3</v>
      </c>
      <c r="E9" s="737">
        <v>24</v>
      </c>
      <c r="F9" s="909">
        <v>83</v>
      </c>
      <c r="G9" s="738">
        <v>1440.6</v>
      </c>
      <c r="H9" s="738">
        <v>174</v>
      </c>
      <c r="I9" s="738">
        <v>21263.279999999999</v>
      </c>
      <c r="J9" s="738">
        <v>24895.68</v>
      </c>
      <c r="K9" s="738">
        <v>1383</v>
      </c>
      <c r="L9" s="738">
        <v>1619.25</v>
      </c>
      <c r="M9" s="911">
        <v>0</v>
      </c>
      <c r="N9" s="911">
        <v>0</v>
      </c>
      <c r="O9" s="912">
        <v>15385.74</v>
      </c>
      <c r="P9" s="912">
        <v>17991.2</v>
      </c>
      <c r="Q9" s="912">
        <v>178231.14</v>
      </c>
      <c r="R9" s="912">
        <v>166785.95000000001</v>
      </c>
      <c r="S9" s="912">
        <v>5050.0200000000004</v>
      </c>
      <c r="T9" s="912">
        <v>4603.95</v>
      </c>
      <c r="U9" s="1968">
        <f t="shared" si="0"/>
        <v>221313.18</v>
      </c>
      <c r="V9" s="1968">
        <f t="shared" si="1"/>
        <v>215896.03000000003</v>
      </c>
      <c r="W9" s="1969">
        <f t="shared" si="2"/>
        <v>236272.78709578363</v>
      </c>
      <c r="X9" s="1317">
        <v>9636.7000000000007</v>
      </c>
      <c r="Y9" s="1317">
        <f t="shared" si="3"/>
        <v>1268.9174286288012</v>
      </c>
      <c r="Z9" s="1317">
        <f t="shared" si="4"/>
        <v>719.66852614617562</v>
      </c>
      <c r="AA9" s="913">
        <v>734.39</v>
      </c>
      <c r="AB9" s="913"/>
      <c r="AC9" s="913">
        <v>2759.19</v>
      </c>
      <c r="AD9" s="913">
        <f t="shared" si="5"/>
        <v>52.916803393101141</v>
      </c>
      <c r="AE9" s="913">
        <f t="shared" si="6"/>
        <v>52.916803393101141</v>
      </c>
      <c r="AF9" s="913"/>
      <c r="AG9" s="913">
        <f t="shared" si="7"/>
        <v>580.29907159894015</v>
      </c>
      <c r="AH9" s="591">
        <f t="shared" si="8"/>
        <v>5137.9556143383979</v>
      </c>
      <c r="AI9" s="591">
        <f t="shared" si="9"/>
        <v>55975.000222647766</v>
      </c>
      <c r="AJ9" s="913">
        <f t="shared" si="10"/>
        <v>23699.466323569024</v>
      </c>
      <c r="AK9" s="591">
        <f t="shared" si="11"/>
        <v>56937.122958580454</v>
      </c>
      <c r="AL9" s="678">
        <f t="shared" si="12"/>
        <v>157554.54375229581</v>
      </c>
      <c r="AM9" s="678">
        <f t="shared" si="13"/>
        <v>266.84744503597329</v>
      </c>
      <c r="AN9" s="678">
        <v>154.31</v>
      </c>
      <c r="AO9" s="678">
        <f t="shared" si="14"/>
        <v>45886.615561835446</v>
      </c>
      <c r="AP9" s="678"/>
      <c r="AQ9" s="1129">
        <f t="shared" si="15"/>
        <v>46307.773006871415</v>
      </c>
      <c r="AR9" s="1129">
        <f t="shared" si="16"/>
        <v>2298.7327505766993</v>
      </c>
      <c r="AS9" s="1129"/>
      <c r="AT9" s="678">
        <f t="shared" si="17"/>
        <v>30111.737586039693</v>
      </c>
      <c r="AU9" s="1129">
        <f t="shared" si="18"/>
        <v>-14959.607095783635</v>
      </c>
      <c r="AV9" s="524">
        <f t="shared" si="19"/>
        <v>97.552269593704295</v>
      </c>
      <c r="AW9" s="1444">
        <f t="shared" si="20"/>
        <v>13.667498906461638</v>
      </c>
      <c r="AX9" s="525">
        <f t="shared" si="21"/>
        <v>5417.1499999999651</v>
      </c>
      <c r="AY9" s="1445">
        <v>12.84</v>
      </c>
      <c r="AZ9" s="250"/>
      <c r="BA9" s="250"/>
      <c r="BB9" s="250"/>
      <c r="BC9" s="250"/>
      <c r="BD9" s="250"/>
    </row>
    <row r="10" spans="1:56" s="124" customFormat="1" x14ac:dyDescent="0.25">
      <c r="A10" s="5">
        <v>4</v>
      </c>
      <c r="B10" s="1320" t="s">
        <v>20</v>
      </c>
      <c r="C10" s="737">
        <v>1992</v>
      </c>
      <c r="D10" s="737">
        <v>5</v>
      </c>
      <c r="E10" s="737">
        <v>60</v>
      </c>
      <c r="F10" s="909">
        <v>167</v>
      </c>
      <c r="G10" s="738">
        <v>3634.3</v>
      </c>
      <c r="H10" s="738">
        <v>468.3</v>
      </c>
      <c r="I10" s="738">
        <v>52998.42</v>
      </c>
      <c r="J10" s="738">
        <v>60620.25</v>
      </c>
      <c r="K10" s="738">
        <v>3489.54</v>
      </c>
      <c r="L10" s="738">
        <v>3692.04</v>
      </c>
      <c r="M10" s="911">
        <v>14612.88</v>
      </c>
      <c r="N10" s="911">
        <v>16426.73</v>
      </c>
      <c r="O10" s="912">
        <v>38821.68</v>
      </c>
      <c r="P10" s="912">
        <v>44215.53</v>
      </c>
      <c r="Q10" s="912">
        <v>488980.62</v>
      </c>
      <c r="R10" s="912">
        <v>449460.54</v>
      </c>
      <c r="S10" s="912">
        <v>15697.53</v>
      </c>
      <c r="T10" s="912">
        <v>14198.64</v>
      </c>
      <c r="U10" s="1968">
        <f t="shared" si="0"/>
        <v>614600.67000000004</v>
      </c>
      <c r="V10" s="1968">
        <f t="shared" si="1"/>
        <v>588613.73</v>
      </c>
      <c r="W10" s="1969">
        <f t="shared" si="2"/>
        <v>608665.42764538666</v>
      </c>
      <c r="X10" s="1317">
        <v>6805.03</v>
      </c>
      <c r="Y10" s="1317">
        <f t="shared" si="3"/>
        <v>3201.1846528291353</v>
      </c>
      <c r="Z10" s="1317">
        <f t="shared" si="4"/>
        <v>1815.5569377849829</v>
      </c>
      <c r="AA10" s="913">
        <v>1852.69</v>
      </c>
      <c r="AB10" s="913"/>
      <c r="AC10" s="913">
        <v>11521.44</v>
      </c>
      <c r="AD10" s="913">
        <f t="shared" si="5"/>
        <v>133.49683366066049</v>
      </c>
      <c r="AE10" s="913">
        <f t="shared" si="6"/>
        <v>133.49683366066049</v>
      </c>
      <c r="AF10" s="913">
        <v>2386.8000000000002</v>
      </c>
      <c r="AG10" s="913">
        <f t="shared" si="7"/>
        <v>1463.9600971206639</v>
      </c>
      <c r="AH10" s="591">
        <f t="shared" si="8"/>
        <v>12961.871504366267</v>
      </c>
      <c r="AI10" s="591">
        <f t="shared" si="9"/>
        <v>141211.95564984647</v>
      </c>
      <c r="AJ10" s="913">
        <f t="shared" si="10"/>
        <v>59788.262154482101</v>
      </c>
      <c r="AK10" s="591">
        <f t="shared" si="11"/>
        <v>143639.16838009786</v>
      </c>
      <c r="AL10" s="678">
        <f t="shared" si="12"/>
        <v>386914.91304384882</v>
      </c>
      <c r="AM10" s="678">
        <f t="shared" si="13"/>
        <v>673.19427286841449</v>
      </c>
      <c r="AN10" s="678">
        <v>154.31</v>
      </c>
      <c r="AO10" s="678">
        <f t="shared" si="14"/>
        <v>115761.29872024058</v>
      </c>
      <c r="AP10" s="678"/>
      <c r="AQ10" s="1129">
        <f t="shared" si="15"/>
        <v>116588.80299310898</v>
      </c>
      <c r="AR10" s="1129">
        <f t="shared" si="16"/>
        <v>5799.1700926148133</v>
      </c>
      <c r="AS10" s="1129">
        <f>122175.76/18977.3*G10</f>
        <v>23397.604747145273</v>
      </c>
      <c r="AT10" s="678">
        <f t="shared" si="17"/>
        <v>75964.93676866866</v>
      </c>
      <c r="AU10" s="1129">
        <f t="shared" si="18"/>
        <v>5935.2423546133796</v>
      </c>
      <c r="AV10" s="524">
        <f t="shared" si="19"/>
        <v>95.771735816688903</v>
      </c>
      <c r="AW10" s="1444">
        <f t="shared" si="20"/>
        <v>13.956503032344299</v>
      </c>
      <c r="AX10" s="525">
        <f t="shared" si="21"/>
        <v>25986.940000000061</v>
      </c>
      <c r="AY10" s="1445">
        <v>14.09</v>
      </c>
      <c r="AZ10" s="250"/>
      <c r="BA10" s="250"/>
      <c r="BB10" s="250"/>
      <c r="BC10" s="250"/>
      <c r="BD10" s="250"/>
    </row>
    <row r="11" spans="1:56" s="124" customFormat="1" x14ac:dyDescent="0.25">
      <c r="A11" s="5">
        <v>5</v>
      </c>
      <c r="B11" s="1320" t="s">
        <v>22</v>
      </c>
      <c r="C11" s="737">
        <v>1994</v>
      </c>
      <c r="D11" s="737">
        <v>5</v>
      </c>
      <c r="E11" s="737">
        <v>60</v>
      </c>
      <c r="F11" s="909">
        <v>131</v>
      </c>
      <c r="G11" s="738">
        <v>3641.8</v>
      </c>
      <c r="H11" s="738">
        <v>468.3</v>
      </c>
      <c r="I11" s="738">
        <v>53294.1</v>
      </c>
      <c r="J11" s="738">
        <v>62435.89</v>
      </c>
      <c r="K11" s="738">
        <v>3494.84</v>
      </c>
      <c r="L11" s="738">
        <v>4065.66</v>
      </c>
      <c r="M11" s="911">
        <v>14634.16</v>
      </c>
      <c r="N11" s="911">
        <v>17024.330000000002</v>
      </c>
      <c r="O11" s="912">
        <v>38879.910000000003</v>
      </c>
      <c r="P11" s="912">
        <v>45378.8</v>
      </c>
      <c r="Q11" s="912">
        <v>485619.85</v>
      </c>
      <c r="R11" s="912">
        <v>446990.28</v>
      </c>
      <c r="S11" s="912">
        <v>19987.34</v>
      </c>
      <c r="T11" s="912">
        <v>17672.560000000001</v>
      </c>
      <c r="U11" s="1968">
        <f t="shared" si="0"/>
        <v>615910.19999999995</v>
      </c>
      <c r="V11" s="1968">
        <f t="shared" si="1"/>
        <v>593567.52000000014</v>
      </c>
      <c r="W11" s="1969">
        <f t="shared" si="2"/>
        <v>614345.39575295604</v>
      </c>
      <c r="X11" s="1317">
        <v>6885.79</v>
      </c>
      <c r="Y11" s="1317">
        <f t="shared" si="3"/>
        <v>3207.7908451897601</v>
      </c>
      <c r="Z11" s="1317">
        <f t="shared" si="4"/>
        <v>1819.303650228476</v>
      </c>
      <c r="AA11" s="913">
        <v>1856.51</v>
      </c>
      <c r="AB11" s="913"/>
      <c r="AC11" s="913">
        <v>18294.43</v>
      </c>
      <c r="AD11" s="913">
        <f t="shared" si="5"/>
        <v>133.77232722268207</v>
      </c>
      <c r="AE11" s="913">
        <f t="shared" si="6"/>
        <v>133.77232722268207</v>
      </c>
      <c r="AF11" s="913"/>
      <c r="AG11" s="913">
        <f t="shared" si="7"/>
        <v>1466.9812293134946</v>
      </c>
      <c r="AH11" s="591">
        <f t="shared" si="8"/>
        <v>12988.620544424255</v>
      </c>
      <c r="AI11" s="591">
        <f t="shared" si="9"/>
        <v>141503.37068640752</v>
      </c>
      <c r="AJ11" s="913">
        <f t="shared" si="10"/>
        <v>59911.645465204558</v>
      </c>
      <c r="AK11" s="591">
        <f t="shared" si="11"/>
        <v>143935.59238550486</v>
      </c>
      <c r="AL11" s="678">
        <f t="shared" si="12"/>
        <v>392137.57946071826</v>
      </c>
      <c r="AM11" s="678">
        <f t="shared" si="13"/>
        <v>674.58352445648188</v>
      </c>
      <c r="AN11" s="678">
        <v>154.31</v>
      </c>
      <c r="AO11" s="678">
        <f t="shared" si="14"/>
        <v>116000.19197077074</v>
      </c>
      <c r="AP11" s="678"/>
      <c r="AQ11" s="1129">
        <f t="shared" si="15"/>
        <v>116829.08549522722</v>
      </c>
      <c r="AR11" s="1129">
        <f t="shared" si="16"/>
        <v>5811.1376725324344</v>
      </c>
      <c r="AS11" s="1129">
        <f t="shared" ref="AS11:AS13" si="22">122175.76/18977.3*G11</f>
        <v>23445.889708651917</v>
      </c>
      <c r="AT11" s="678">
        <f t="shared" si="17"/>
        <v>76121.703415826298</v>
      </c>
      <c r="AU11" s="1129">
        <f t="shared" si="18"/>
        <v>1564.8042470439104</v>
      </c>
      <c r="AV11" s="524">
        <f t="shared" si="19"/>
        <v>96.372412731596285</v>
      </c>
      <c r="AW11" s="1444">
        <f t="shared" si="20"/>
        <v>14.057732342819394</v>
      </c>
      <c r="AX11" s="525">
        <f t="shared" si="21"/>
        <v>22342.679999999818</v>
      </c>
      <c r="AY11" s="1445">
        <v>14</v>
      </c>
      <c r="AZ11" s="250"/>
      <c r="BA11" s="250"/>
      <c r="BB11" s="250"/>
      <c r="BC11" s="250"/>
      <c r="BD11" s="250"/>
    </row>
    <row r="12" spans="1:56" s="124" customFormat="1" x14ac:dyDescent="0.25">
      <c r="A12" s="6">
        <v>6</v>
      </c>
      <c r="B12" s="1320" t="s">
        <v>21</v>
      </c>
      <c r="C12" s="737">
        <v>1981</v>
      </c>
      <c r="D12" s="737">
        <v>5</v>
      </c>
      <c r="E12" s="737">
        <v>60</v>
      </c>
      <c r="F12" s="909">
        <v>159</v>
      </c>
      <c r="G12" s="738">
        <v>3289.5</v>
      </c>
      <c r="H12" s="738">
        <v>397</v>
      </c>
      <c r="I12" s="738">
        <v>63406.12</v>
      </c>
      <c r="J12" s="738">
        <v>75638.83</v>
      </c>
      <c r="K12" s="738">
        <v>3160.5</v>
      </c>
      <c r="L12" s="738">
        <v>3591.26</v>
      </c>
      <c r="M12" s="911">
        <v>13431.79</v>
      </c>
      <c r="N12" s="911">
        <v>15933.36</v>
      </c>
      <c r="O12" s="912">
        <v>35159.71</v>
      </c>
      <c r="P12" s="912">
        <v>41863.31</v>
      </c>
      <c r="Q12" s="912">
        <v>445618.86</v>
      </c>
      <c r="R12" s="912">
        <v>416764.38</v>
      </c>
      <c r="S12" s="912">
        <v>12624.78</v>
      </c>
      <c r="T12" s="912">
        <v>11532.67</v>
      </c>
      <c r="U12" s="1968">
        <f t="shared" si="0"/>
        <v>573401.76</v>
      </c>
      <c r="V12" s="1968">
        <f t="shared" si="1"/>
        <v>565323.81000000006</v>
      </c>
      <c r="W12" s="1969">
        <f t="shared" si="2"/>
        <v>550623.16998005076</v>
      </c>
      <c r="X12" s="1317">
        <v>7737.33</v>
      </c>
      <c r="Y12" s="1317">
        <f t="shared" si="3"/>
        <v>2897.4759693700134</v>
      </c>
      <c r="Z12" s="1317">
        <f t="shared" si="4"/>
        <v>1643.3080777161215</v>
      </c>
      <c r="AA12" s="913">
        <v>1676.92</v>
      </c>
      <c r="AB12" s="913">
        <v>1948</v>
      </c>
      <c r="AC12" s="913">
        <v>8866.83</v>
      </c>
      <c r="AD12" s="913">
        <f t="shared" si="5"/>
        <v>120.83147630265599</v>
      </c>
      <c r="AE12" s="913">
        <f t="shared" si="6"/>
        <v>120.83147630265599</v>
      </c>
      <c r="AF12" s="913"/>
      <c r="AG12" s="913">
        <f t="shared" si="7"/>
        <v>1325.0685797755891</v>
      </c>
      <c r="AH12" s="591">
        <f t="shared" si="8"/>
        <v>11732.128969433683</v>
      </c>
      <c r="AI12" s="591">
        <f t="shared" si="9"/>
        <v>127814.63503567947</v>
      </c>
      <c r="AJ12" s="913">
        <f t="shared" si="10"/>
        <v>54115.920082868462</v>
      </c>
      <c r="AK12" s="591">
        <f t="shared" si="11"/>
        <v>130011.5687715191</v>
      </c>
      <c r="AL12" s="678">
        <f t="shared" si="12"/>
        <v>350010.84843896766</v>
      </c>
      <c r="AM12" s="678">
        <f t="shared" si="13"/>
        <v>609.3257465263323</v>
      </c>
      <c r="AN12" s="678">
        <v>39.799999999999997</v>
      </c>
      <c r="AO12" s="678">
        <f t="shared" si="14"/>
        <v>104778.57968253345</v>
      </c>
      <c r="AP12" s="678"/>
      <c r="AQ12" s="1129">
        <f t="shared" si="15"/>
        <v>105427.70542905979</v>
      </c>
      <c r="AR12" s="1129">
        <f t="shared" si="16"/>
        <v>5248.9805518687026</v>
      </c>
      <c r="AS12" s="1129">
        <f t="shared" si="22"/>
        <v>21177.784116813244</v>
      </c>
      <c r="AT12" s="678">
        <f t="shared" si="17"/>
        <v>68757.851443341366</v>
      </c>
      <c r="AU12" s="1129">
        <f t="shared" si="18"/>
        <v>22778.590019949246</v>
      </c>
      <c r="AV12" s="524">
        <f t="shared" si="19"/>
        <v>98.591223368411022</v>
      </c>
      <c r="AW12" s="1444">
        <f t="shared" si="20"/>
        <v>13.949008714091574</v>
      </c>
      <c r="AX12" s="525">
        <f t="shared" si="21"/>
        <v>8077.9499999999534</v>
      </c>
      <c r="AY12" s="1445">
        <v>14.57</v>
      </c>
      <c r="AZ12" s="250"/>
      <c r="BA12" s="250"/>
      <c r="BB12" s="250"/>
      <c r="BC12" s="250"/>
      <c r="BD12" s="250"/>
    </row>
    <row r="13" spans="1:56" s="124" customFormat="1" x14ac:dyDescent="0.25">
      <c r="A13" s="6">
        <v>7</v>
      </c>
      <c r="B13" s="1320" t="s">
        <v>311</v>
      </c>
      <c r="C13" s="737">
        <v>1993</v>
      </c>
      <c r="D13" s="737">
        <v>5</v>
      </c>
      <c r="E13" s="737">
        <v>60</v>
      </c>
      <c r="F13" s="909">
        <v>134</v>
      </c>
      <c r="G13" s="738">
        <v>3681.6</v>
      </c>
      <c r="H13" s="738">
        <v>485</v>
      </c>
      <c r="I13" s="738">
        <v>70019.39</v>
      </c>
      <c r="J13" s="738">
        <v>81758.490000000005</v>
      </c>
      <c r="K13" s="738">
        <v>3533.94</v>
      </c>
      <c r="L13" s="738">
        <v>4094.61</v>
      </c>
      <c r="M13" s="911">
        <v>14799.3</v>
      </c>
      <c r="N13" s="911">
        <v>17280.47</v>
      </c>
      <c r="O13" s="912">
        <v>39316.68</v>
      </c>
      <c r="P13" s="912">
        <v>45555.53</v>
      </c>
      <c r="Q13" s="912">
        <v>513327.3</v>
      </c>
      <c r="R13" s="912">
        <v>484254.27</v>
      </c>
      <c r="S13" s="912">
        <v>14678.43</v>
      </c>
      <c r="T13" s="912">
        <v>13951.93</v>
      </c>
      <c r="U13" s="1968">
        <f t="shared" si="0"/>
        <v>655675.04</v>
      </c>
      <c r="V13" s="1968">
        <f t="shared" si="1"/>
        <v>646895.30000000005</v>
      </c>
      <c r="W13" s="1969">
        <f t="shared" si="2"/>
        <v>645242.00704379252</v>
      </c>
      <c r="X13" s="1317">
        <v>12027.09</v>
      </c>
      <c r="Y13" s="1317">
        <f t="shared" si="3"/>
        <v>3242.847705983475</v>
      </c>
      <c r="Z13" s="1317">
        <f t="shared" si="4"/>
        <v>1839.1862042619464</v>
      </c>
      <c r="AA13" s="913">
        <v>1876.8</v>
      </c>
      <c r="AB13" s="913"/>
      <c r="AC13" s="913">
        <v>37344.65</v>
      </c>
      <c r="AD13" s="913">
        <f t="shared" si="5"/>
        <v>135.23427972514313</v>
      </c>
      <c r="AE13" s="913">
        <f t="shared" si="6"/>
        <v>135.23427972514313</v>
      </c>
      <c r="AF13" s="913"/>
      <c r="AG13" s="913">
        <f t="shared" si="7"/>
        <v>1483.0133708167832</v>
      </c>
      <c r="AH13" s="591">
        <f t="shared" si="8"/>
        <v>13130.568783665312</v>
      </c>
      <c r="AI13" s="591">
        <f t="shared" si="9"/>
        <v>143049.81314709151</v>
      </c>
      <c r="AJ13" s="913">
        <f t="shared" si="10"/>
        <v>60566.399567438377</v>
      </c>
      <c r="AK13" s="591">
        <f t="shared" si="11"/>
        <v>145508.61577419812</v>
      </c>
      <c r="AL13" s="678">
        <f t="shared" si="12"/>
        <v>420339.45311290585</v>
      </c>
      <c r="AM13" s="678">
        <f t="shared" si="13"/>
        <v>681.95581955049238</v>
      </c>
      <c r="AN13" s="678">
        <v>422.3</v>
      </c>
      <c r="AO13" s="678">
        <f t="shared" si="14"/>
        <v>117267.91882025085</v>
      </c>
      <c r="AP13" s="678"/>
      <c r="AQ13" s="1129">
        <f t="shared" si="15"/>
        <v>118372.17463980135</v>
      </c>
      <c r="AR13" s="1129">
        <f t="shared" si="16"/>
        <v>5874.645629961944</v>
      </c>
      <c r="AS13" s="1129">
        <f t="shared" si="22"/>
        <v>23702.121904380496</v>
      </c>
      <c r="AT13" s="678">
        <f t="shared" si="17"/>
        <v>76953.611756742845</v>
      </c>
      <c r="AU13" s="1129">
        <f t="shared" si="18"/>
        <v>10433.03295620752</v>
      </c>
      <c r="AV13" s="524">
        <f t="shared" si="19"/>
        <v>98.660961686142585</v>
      </c>
      <c r="AW13" s="1444">
        <f t="shared" si="20"/>
        <v>14.605108445689204</v>
      </c>
      <c r="AX13" s="525">
        <f t="shared" si="21"/>
        <v>8779.7399999999907</v>
      </c>
      <c r="AY13" s="1445">
        <v>14.89</v>
      </c>
      <c r="AZ13" s="250"/>
      <c r="BA13" s="250"/>
      <c r="BB13" s="250"/>
      <c r="BC13" s="250"/>
      <c r="BD13" s="250"/>
    </row>
    <row r="14" spans="1:56" x14ac:dyDescent="0.25">
      <c r="A14" s="4"/>
      <c r="B14" s="1321" t="s">
        <v>23</v>
      </c>
      <c r="C14" s="737"/>
      <c r="D14" s="737"/>
      <c r="E14" s="918">
        <f>SUM(E7:E13)</f>
        <v>354</v>
      </c>
      <c r="F14" s="918">
        <f>SUM(F7:F13)</f>
        <v>923</v>
      </c>
      <c r="G14" s="56">
        <f>SUM(G7:G13)</f>
        <v>20417.899999999998</v>
      </c>
      <c r="H14" s="1636">
        <f>SUM(H7:H13)</f>
        <v>2407.3999999999996</v>
      </c>
      <c r="I14" s="1642">
        <f t="shared" ref="I14:J14" si="23">SUM(I7:I13)</f>
        <v>368019.03</v>
      </c>
      <c r="J14" s="1642">
        <f t="shared" si="23"/>
        <v>431370.57</v>
      </c>
      <c r="K14" s="1636">
        <f t="shared" ref="K14:AU14" si="24">SUM(K7:K13)</f>
        <v>19604.36</v>
      </c>
      <c r="L14" s="1636">
        <f t="shared" si="24"/>
        <v>22410.989999999998</v>
      </c>
      <c r="M14" s="1636">
        <f t="shared" si="24"/>
        <v>78773.509999999995</v>
      </c>
      <c r="N14" s="1636">
        <f t="shared" si="24"/>
        <v>91737.13</v>
      </c>
      <c r="O14" s="1636">
        <f t="shared" si="24"/>
        <v>218101.53999999998</v>
      </c>
      <c r="P14" s="1636">
        <f t="shared" si="24"/>
        <v>254323.56</v>
      </c>
      <c r="Q14" s="1636">
        <f t="shared" si="24"/>
        <v>2748312.03</v>
      </c>
      <c r="R14" s="1636">
        <f t="shared" si="24"/>
        <v>2542127.64</v>
      </c>
      <c r="S14" s="1636">
        <f t="shared" si="24"/>
        <v>81712.25</v>
      </c>
      <c r="T14" s="1636">
        <f t="shared" si="24"/>
        <v>74073.03</v>
      </c>
      <c r="U14" s="1970">
        <f t="shared" si="24"/>
        <v>3514522.7199999997</v>
      </c>
      <c r="V14" s="1970">
        <f t="shared" si="24"/>
        <v>3416042.92</v>
      </c>
      <c r="W14" s="1970">
        <f t="shared" si="24"/>
        <v>3450054.47</v>
      </c>
      <c r="X14" s="1636">
        <f t="shared" si="24"/>
        <v>55990.119999999995</v>
      </c>
      <c r="Y14" s="1636">
        <f t="shared" si="24"/>
        <v>17984.61</v>
      </c>
      <c r="Z14" s="1636">
        <f t="shared" si="24"/>
        <v>10200</v>
      </c>
      <c r="AA14" s="1636">
        <f t="shared" si="24"/>
        <v>10408.61</v>
      </c>
      <c r="AB14" s="1636">
        <f t="shared" si="24"/>
        <v>7100</v>
      </c>
      <c r="AC14" s="1636">
        <f t="shared" si="24"/>
        <v>87822</v>
      </c>
      <c r="AD14" s="1636">
        <f t="shared" si="24"/>
        <v>749.99999999999989</v>
      </c>
      <c r="AE14" s="1636">
        <f t="shared" si="24"/>
        <v>749.99999999999989</v>
      </c>
      <c r="AF14" s="1636">
        <f t="shared" si="24"/>
        <v>4665.96</v>
      </c>
      <c r="AG14" s="1636">
        <f t="shared" si="24"/>
        <v>8224.69</v>
      </c>
      <c r="AH14" s="1636">
        <f t="shared" si="24"/>
        <v>72821.23</v>
      </c>
      <c r="AI14" s="1636">
        <f t="shared" si="24"/>
        <v>793344.41</v>
      </c>
      <c r="AJ14" s="1636">
        <f t="shared" si="24"/>
        <v>335897.08000000007</v>
      </c>
      <c r="AK14" s="1636">
        <f t="shared" si="24"/>
        <v>806980.75999999989</v>
      </c>
      <c r="AL14" s="1878">
        <f t="shared" si="12"/>
        <v>2212939.4699999997</v>
      </c>
      <c r="AM14" s="1878">
        <f>SUM(AM7:AM13)</f>
        <v>3782.08</v>
      </c>
      <c r="AN14" s="1878">
        <f t="shared" ref="AN14:AP14" si="25">SUM(AN7:AN13)</f>
        <v>1437.5499999999997</v>
      </c>
      <c r="AO14" s="1878">
        <f t="shared" si="25"/>
        <v>650359.79999999993</v>
      </c>
      <c r="AP14" s="1878">
        <f t="shared" si="25"/>
        <v>0</v>
      </c>
      <c r="AQ14" s="1636">
        <f t="shared" si="24"/>
        <v>655579.43000000005</v>
      </c>
      <c r="AR14" s="1636">
        <f t="shared" si="24"/>
        <v>32580.379999999997</v>
      </c>
      <c r="AS14" s="1636">
        <f t="shared" si="24"/>
        <v>122175.75999999998</v>
      </c>
      <c r="AT14" s="1636">
        <f t="shared" si="24"/>
        <v>426779.42999999993</v>
      </c>
      <c r="AU14" s="1636">
        <f t="shared" si="24"/>
        <v>64468.250000000175</v>
      </c>
      <c r="AV14" s="1418">
        <f t="shared" si="19"/>
        <v>97.197918242508905</v>
      </c>
      <c r="AW14" s="1419">
        <f t="shared" si="20"/>
        <v>14.081004371980796</v>
      </c>
      <c r="AX14" s="654">
        <f>U14-V14</f>
        <v>98479.799999999814</v>
      </c>
      <c r="AY14" s="1420"/>
      <c r="AZ14" s="250"/>
      <c r="BA14" s="250"/>
      <c r="BB14" s="250"/>
      <c r="BC14" s="250"/>
      <c r="BD14" s="250"/>
    </row>
    <row r="15" spans="1:56" x14ac:dyDescent="0.25">
      <c r="A15" s="8"/>
      <c r="B15" s="1622"/>
      <c r="C15" s="1622"/>
      <c r="D15" s="1622"/>
      <c r="E15" s="1622"/>
      <c r="F15" s="1622"/>
      <c r="G15" s="1622"/>
      <c r="H15" s="1622"/>
      <c r="I15" s="1623"/>
      <c r="J15" s="1623"/>
      <c r="K15" s="923"/>
      <c r="L15" s="923"/>
      <c r="M15" s="923"/>
      <c r="N15" s="923"/>
      <c r="O15" s="923"/>
      <c r="P15" s="923"/>
      <c r="Q15" s="923"/>
      <c r="R15" s="923"/>
      <c r="S15" s="923"/>
      <c r="T15" s="923"/>
      <c r="U15" s="923"/>
      <c r="V15" s="923"/>
      <c r="W15" s="923" t="s">
        <v>180</v>
      </c>
      <c r="X15" s="924"/>
      <c r="Y15" s="925"/>
      <c r="Z15" s="925"/>
      <c r="AA15" s="923" t="s">
        <v>180</v>
      </c>
      <c r="AB15" s="923" t="s">
        <v>180</v>
      </c>
      <c r="AC15" s="923" t="s">
        <v>180</v>
      </c>
      <c r="AD15" s="788" t="s">
        <v>180</v>
      </c>
      <c r="AE15" s="788" t="s">
        <v>180</v>
      </c>
      <c r="AF15" s="788" t="s">
        <v>180</v>
      </c>
      <c r="AG15" s="788"/>
      <c r="AH15" s="788" t="s">
        <v>180</v>
      </c>
      <c r="AI15" s="788" t="s">
        <v>180</v>
      </c>
      <c r="AJ15" s="788" t="s">
        <v>180</v>
      </c>
      <c r="AK15" s="788" t="s">
        <v>180</v>
      </c>
      <c r="AL15" s="788"/>
      <c r="AM15" s="788"/>
      <c r="AN15" s="788"/>
      <c r="AO15" s="788" t="s">
        <v>180</v>
      </c>
      <c r="AP15" s="788"/>
      <c r="AQ15" s="349" t="s">
        <v>180</v>
      </c>
      <c r="AR15" s="349" t="s">
        <v>180</v>
      </c>
      <c r="AS15" s="349" t="s">
        <v>180</v>
      </c>
      <c r="AT15" s="349"/>
      <c r="AU15" s="749"/>
      <c r="AV15" s="749"/>
      <c r="AW15" s="749"/>
      <c r="AX15" s="375"/>
      <c r="AY15" s="250"/>
      <c r="AZ15" s="250"/>
      <c r="BA15" s="250"/>
      <c r="BB15" s="250"/>
      <c r="BC15" s="250"/>
      <c r="BD15" s="250"/>
    </row>
    <row r="16" spans="1:56" ht="15.75" customHeight="1" x14ac:dyDescent="0.25">
      <c r="A16" s="1405"/>
      <c r="B16" s="1623" t="s">
        <v>869</v>
      </c>
      <c r="C16" s="1623"/>
      <c r="D16" s="1623"/>
      <c r="E16" s="1623"/>
      <c r="F16" s="1623"/>
      <c r="G16" s="1623">
        <f>G14-G9</f>
        <v>18977.3</v>
      </c>
      <c r="H16" s="1623"/>
      <c r="I16" s="1623"/>
      <c r="J16" s="1623"/>
      <c r="K16" s="9"/>
      <c r="L16" s="9"/>
      <c r="M16" s="9"/>
      <c r="N16" s="9"/>
      <c r="O16" s="9"/>
      <c r="P16" s="9"/>
      <c r="Q16" s="351"/>
      <c r="R16" s="351"/>
      <c r="S16" s="9"/>
      <c r="T16" s="9"/>
      <c r="U16" s="1409"/>
      <c r="V16" s="1409"/>
      <c r="W16" s="9"/>
      <c r="X16" s="9"/>
      <c r="Y16" s="351">
        <f>X14+Y14+Z14</f>
        <v>84174.73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351">
        <f>AL14+W54</f>
        <v>2368938.8099999996</v>
      </c>
      <c r="AM16" s="108">
        <f>AM14+AN14</f>
        <v>5219.6299999999992</v>
      </c>
      <c r="AN16" s="9"/>
      <c r="AO16" s="9"/>
      <c r="AP16" s="9"/>
      <c r="AQ16" s="9"/>
      <c r="AR16" s="9"/>
      <c r="AS16" s="9"/>
      <c r="AT16" s="9"/>
      <c r="AU16" s="223"/>
      <c r="AV16" s="284"/>
      <c r="AW16" s="223"/>
      <c r="AX16" s="9"/>
      <c r="AY16" s="9"/>
      <c r="AZ16" s="250"/>
      <c r="BA16" s="250"/>
      <c r="BB16" s="250"/>
      <c r="BC16" s="250"/>
      <c r="BD16" s="250"/>
    </row>
    <row r="17" spans="1:56" ht="15.75" customHeight="1" x14ac:dyDescent="0.25">
      <c r="A17" s="9"/>
      <c r="B17" s="1623"/>
      <c r="C17" s="1623"/>
      <c r="D17" s="1623"/>
      <c r="E17" s="1623"/>
      <c r="F17" s="1623"/>
      <c r="G17" s="1623"/>
      <c r="H17" s="1623"/>
      <c r="I17" s="1623"/>
      <c r="J17" s="1623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 t="s">
        <v>180</v>
      </c>
      <c r="AM17" s="9"/>
      <c r="AN17" s="9"/>
      <c r="AO17" s="9"/>
      <c r="AP17" s="9"/>
      <c r="AQ17" s="9"/>
      <c r="AR17" s="9"/>
      <c r="AS17" s="9"/>
      <c r="AT17" s="9"/>
      <c r="AU17" s="223"/>
      <c r="AV17" s="284"/>
      <c r="AW17" s="223"/>
      <c r="AX17" s="9"/>
      <c r="AY17" s="9"/>
      <c r="AZ17" s="250"/>
      <c r="BA17" s="250"/>
      <c r="BB17" s="250"/>
      <c r="BC17" s="250"/>
      <c r="BD17" s="250"/>
    </row>
    <row r="18" spans="1:56" ht="20.25" customHeight="1" x14ac:dyDescent="0.25">
      <c r="A18" s="223"/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50"/>
      <c r="BA18" s="250"/>
      <c r="BB18" s="250"/>
      <c r="BC18" s="250"/>
      <c r="BD18" s="250"/>
    </row>
    <row r="19" spans="1:56" ht="15.75" customHeight="1" x14ac:dyDescent="0.3">
      <c r="B19" s="84" t="s">
        <v>789</v>
      </c>
      <c r="C19" s="84"/>
      <c r="D19" s="84"/>
      <c r="E19" s="84"/>
      <c r="F19" s="84"/>
      <c r="AQ19" s="250"/>
      <c r="AR19" s="250"/>
      <c r="AS19" s="250"/>
      <c r="AT19" s="250"/>
      <c r="AU19" s="250"/>
      <c r="AV19" s="250"/>
      <c r="AW19" s="250"/>
      <c r="AZ19" s="250"/>
      <c r="BA19" s="250"/>
      <c r="BB19" s="250"/>
      <c r="BC19" s="250"/>
      <c r="BD19" s="250"/>
    </row>
    <row r="20" spans="1:56" ht="18.75" x14ac:dyDescent="0.3">
      <c r="B20" s="1993"/>
      <c r="C20" s="1994"/>
      <c r="D20" s="1994"/>
      <c r="E20" s="1994"/>
      <c r="F20" s="1994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Z20" s="250"/>
      <c r="BA20" s="250"/>
      <c r="BB20" s="250"/>
      <c r="BC20" s="250"/>
      <c r="BD20" s="250"/>
    </row>
    <row r="21" spans="1:56" ht="18" customHeight="1" x14ac:dyDescent="0.25"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Z21" s="250"/>
      <c r="BA21" s="250"/>
      <c r="BB21" s="250"/>
      <c r="BC21" s="250"/>
      <c r="BD21" s="250"/>
    </row>
    <row r="22" spans="1:56" ht="24.75" customHeight="1" x14ac:dyDescent="0.25">
      <c r="A22" s="1985" t="s">
        <v>0</v>
      </c>
      <c r="B22" s="1985" t="s">
        <v>184</v>
      </c>
      <c r="C22" s="2020" t="s">
        <v>54</v>
      </c>
      <c r="D22" s="2020" t="s">
        <v>55</v>
      </c>
      <c r="E22" s="2020" t="s">
        <v>56</v>
      </c>
      <c r="F22" s="2020" t="s">
        <v>57</v>
      </c>
      <c r="G22" s="2020" t="s">
        <v>6</v>
      </c>
      <c r="H22" s="2020" t="s">
        <v>288</v>
      </c>
      <c r="I22" s="1726"/>
      <c r="J22" s="1726"/>
      <c r="K22" s="2065" t="s">
        <v>284</v>
      </c>
      <c r="L22" s="2066"/>
      <c r="M22" s="2063" t="s">
        <v>865</v>
      </c>
      <c r="N22" s="2049" t="s">
        <v>884</v>
      </c>
      <c r="O22" s="2049" t="s">
        <v>885</v>
      </c>
      <c r="P22" s="2049" t="s">
        <v>886</v>
      </c>
      <c r="Q22" s="2047" t="s">
        <v>887</v>
      </c>
      <c r="R22" s="2049" t="s">
        <v>888</v>
      </c>
      <c r="S22" s="2067" t="s">
        <v>375</v>
      </c>
      <c r="T22" s="2071" t="s">
        <v>889</v>
      </c>
      <c r="U22" s="2041" t="s">
        <v>175</v>
      </c>
      <c r="V22" s="2041" t="s">
        <v>724</v>
      </c>
      <c r="W22" s="2043" t="s">
        <v>182</v>
      </c>
      <c r="X22" s="2043" t="s">
        <v>566</v>
      </c>
      <c r="Y22" s="2045" t="s">
        <v>830</v>
      </c>
      <c r="Z22" s="2020"/>
      <c r="AA22" s="2020"/>
      <c r="AB22" s="2058"/>
      <c r="AC22" s="2058"/>
      <c r="AD22" s="2058"/>
      <c r="AE22" s="2058"/>
      <c r="AF22" s="2056"/>
      <c r="AG22" s="2056"/>
      <c r="AH22" s="2056"/>
      <c r="AI22" s="2056"/>
      <c r="AJ22" s="2056"/>
      <c r="AK22" s="2056"/>
      <c r="AL22" s="1873"/>
      <c r="AM22" s="1873"/>
      <c r="AN22" s="1873"/>
      <c r="AO22" s="1873"/>
      <c r="AP22" s="1876"/>
      <c r="AQ22" s="2056"/>
      <c r="AR22" s="2056"/>
      <c r="AS22" s="1876"/>
      <c r="AT22" s="2056"/>
      <c r="AU22" s="1987" t="s">
        <v>175</v>
      </c>
      <c r="AV22" s="1987" t="s">
        <v>724</v>
      </c>
      <c r="AW22" s="2001" t="s">
        <v>182</v>
      </c>
      <c r="AX22" s="2001" t="s">
        <v>566</v>
      </c>
      <c r="AY22" s="1999" t="s">
        <v>830</v>
      </c>
      <c r="AZ22" s="250"/>
      <c r="BA22" s="250"/>
      <c r="BB22" s="250"/>
      <c r="BC22" s="250"/>
      <c r="BD22" s="250"/>
    </row>
    <row r="23" spans="1:56" ht="37.5" customHeight="1" x14ac:dyDescent="0.25">
      <c r="A23" s="1986"/>
      <c r="B23" s="1986"/>
      <c r="C23" s="2021"/>
      <c r="D23" s="2021"/>
      <c r="E23" s="2021"/>
      <c r="F23" s="2021"/>
      <c r="G23" s="2021"/>
      <c r="H23" s="2021"/>
      <c r="I23" s="1083"/>
      <c r="J23" s="1083"/>
      <c r="K23" s="1966" t="s">
        <v>15</v>
      </c>
      <c r="L23" s="1967" t="s">
        <v>16</v>
      </c>
      <c r="M23" s="2064"/>
      <c r="N23" s="2050"/>
      <c r="O23" s="2050"/>
      <c r="P23" s="2050"/>
      <c r="Q23" s="2048"/>
      <c r="R23" s="2050"/>
      <c r="S23" s="2068"/>
      <c r="T23" s="2071"/>
      <c r="U23" s="2042"/>
      <c r="V23" s="2042"/>
      <c r="W23" s="2044"/>
      <c r="X23" s="2044"/>
      <c r="Y23" s="2046"/>
      <c r="Z23" s="2021"/>
      <c r="AA23" s="2021"/>
      <c r="AB23" s="2059"/>
      <c r="AC23" s="2059"/>
      <c r="AD23" s="2059"/>
      <c r="AE23" s="2059"/>
      <c r="AF23" s="2057"/>
      <c r="AG23" s="2057"/>
      <c r="AH23" s="2057"/>
      <c r="AI23" s="2057"/>
      <c r="AJ23" s="2057"/>
      <c r="AK23" s="2057"/>
      <c r="AL23" s="1874"/>
      <c r="AM23" s="1874"/>
      <c r="AN23" s="1874"/>
      <c r="AO23" s="1874"/>
      <c r="AP23" s="1877"/>
      <c r="AQ23" s="2057"/>
      <c r="AR23" s="2057"/>
      <c r="AS23" s="1877"/>
      <c r="AT23" s="2057"/>
      <c r="AU23" s="1988"/>
      <c r="AV23" s="1988"/>
      <c r="AW23" s="2002"/>
      <c r="AX23" s="2002"/>
      <c r="AY23" s="2000"/>
      <c r="AZ23" s="250"/>
      <c r="BA23" s="250"/>
      <c r="BB23" s="250"/>
      <c r="BC23" s="250"/>
      <c r="BD23" s="250"/>
    </row>
    <row r="24" spans="1:56" ht="15" customHeight="1" x14ac:dyDescent="0.25">
      <c r="A24" s="2">
        <v>1</v>
      </c>
      <c r="B24" s="1319" t="s">
        <v>17</v>
      </c>
      <c r="C24" s="1435"/>
      <c r="D24" s="1435"/>
      <c r="E24" s="1435"/>
      <c r="F24" s="1435"/>
      <c r="G24" s="910">
        <v>2366.1999999999998</v>
      </c>
      <c r="H24" s="1435"/>
      <c r="I24" s="1435"/>
      <c r="J24" s="1435"/>
      <c r="K24" s="1971">
        <v>142062</v>
      </c>
      <c r="L24" s="1971">
        <v>142026.47</v>
      </c>
      <c r="M24" s="1972">
        <f>N24+O24+P24+Q24+R24+S24+T24</f>
        <v>70374.600000000006</v>
      </c>
      <c r="N24" s="1904"/>
      <c r="O24" s="1904"/>
      <c r="P24" s="1905">
        <v>7842.6</v>
      </c>
      <c r="Q24" s="1905">
        <v>62532</v>
      </c>
      <c r="R24" s="1905"/>
      <c r="S24" s="1905"/>
      <c r="T24" s="1905"/>
      <c r="U24" s="1905">
        <f>K24-M24</f>
        <v>71687.399999999994</v>
      </c>
      <c r="V24" s="1905">
        <f>L24/K24*100</f>
        <v>99.974989793188897</v>
      </c>
      <c r="W24" s="1424">
        <f>M24/G24/12</f>
        <v>2.4784675851576372</v>
      </c>
      <c r="X24" s="1905">
        <f>K24-L24</f>
        <v>35.529999999998836</v>
      </c>
      <c r="Y24" s="1445">
        <v>5</v>
      </c>
      <c r="Z24" s="1711"/>
      <c r="AA24" s="1437"/>
      <c r="AB24" s="1665"/>
      <c r="AC24" s="1665"/>
      <c r="AD24" s="1665"/>
      <c r="AE24" s="1665"/>
      <c r="AF24" s="1715"/>
      <c r="AG24" s="1715"/>
      <c r="AH24" s="1715"/>
      <c r="AI24" s="1715"/>
      <c r="AJ24" s="1715"/>
      <c r="AK24" s="1715"/>
      <c r="AL24" s="1715"/>
      <c r="AM24" s="1715"/>
      <c r="AN24" s="1715"/>
      <c r="AO24" s="1715"/>
      <c r="AP24" s="1715"/>
      <c r="AQ24" s="1715"/>
      <c r="AR24" s="1715"/>
      <c r="AS24" s="1715"/>
      <c r="AT24" s="1715"/>
      <c r="AU24" s="467">
        <f>K24-W24</f>
        <v>142059.52153241483</v>
      </c>
      <c r="AV24" s="467">
        <f>L24/K24*100</f>
        <v>99.974989793188897</v>
      </c>
      <c r="AW24" s="467">
        <f>W24/G24/12</f>
        <v>8.7287196952837089E-5</v>
      </c>
      <c r="AX24" s="1718">
        <f>K24-L24</f>
        <v>35.529999999998836</v>
      </c>
      <c r="AY24" s="1445">
        <v>5</v>
      </c>
      <c r="AZ24" s="250"/>
      <c r="BA24" s="250"/>
      <c r="BB24" s="250"/>
      <c r="BC24" s="250"/>
      <c r="BD24" s="250"/>
    </row>
    <row r="25" spans="1:56" ht="15" customHeight="1" x14ac:dyDescent="0.25">
      <c r="A25" s="5">
        <v>2</v>
      </c>
      <c r="B25" s="1320" t="s">
        <v>18</v>
      </c>
      <c r="C25" s="1435"/>
      <c r="D25" s="1435"/>
      <c r="E25" s="1435"/>
      <c r="F25" s="1435"/>
      <c r="G25" s="738">
        <v>2363.9</v>
      </c>
      <c r="H25" s="1435"/>
      <c r="I25" s="1435"/>
      <c r="J25" s="1435"/>
      <c r="K25" s="1971">
        <v>141853</v>
      </c>
      <c r="L25" s="1971">
        <v>133818.60999999999</v>
      </c>
      <c r="M25" s="1972">
        <f t="shared" ref="M25:M30" si="26">N25+O25+P25+Q25+R25+S25+T25</f>
        <v>72662.600000000006</v>
      </c>
      <c r="N25" s="1904"/>
      <c r="O25" s="1904"/>
      <c r="P25" s="1905">
        <v>7842.6</v>
      </c>
      <c r="Q25" s="1905">
        <v>64820</v>
      </c>
      <c r="R25" s="1905"/>
      <c r="S25" s="1905"/>
      <c r="T25" s="1905"/>
      <c r="U25" s="1905">
        <f t="shared" ref="U25:U30" si="27">K25-M25</f>
        <v>69190.399999999994</v>
      </c>
      <c r="V25" s="1905">
        <f t="shared" ref="V25:V31" si="28">L25/K25*100</f>
        <v>94.336115556244835</v>
      </c>
      <c r="W25" s="1424">
        <f t="shared" ref="W25:W31" si="29">M25/G25/12</f>
        <v>2.5615367260318402</v>
      </c>
      <c r="X25" s="1905">
        <f t="shared" ref="X25:X31" si="30">K25-L25</f>
        <v>8034.390000000014</v>
      </c>
      <c r="Y25" s="1445">
        <v>5</v>
      </c>
      <c r="Z25" s="1711"/>
      <c r="AA25" s="1437"/>
      <c r="AB25" s="1665"/>
      <c r="AC25" s="1665"/>
      <c r="AD25" s="1665"/>
      <c r="AE25" s="1665"/>
      <c r="AF25" s="1715"/>
      <c r="AG25" s="1715"/>
      <c r="AH25" s="1715"/>
      <c r="AI25" s="1715"/>
      <c r="AJ25" s="1715"/>
      <c r="AK25" s="1715"/>
      <c r="AL25" s="1715"/>
      <c r="AM25" s="1715"/>
      <c r="AN25" s="1715"/>
      <c r="AO25" s="1715"/>
      <c r="AP25" s="1715"/>
      <c r="AQ25" s="1715"/>
      <c r="AR25" s="1715"/>
      <c r="AS25" s="1715"/>
      <c r="AT25" s="1715"/>
      <c r="AU25" s="467">
        <f t="shared" ref="AU25:AU30" si="31">K25-W25</f>
        <v>141850.43846327398</v>
      </c>
      <c r="AV25" s="467">
        <f t="shared" ref="AV25:AV30" si="32">L25/K25*100</f>
        <v>94.336115556244835</v>
      </c>
      <c r="AW25" s="467">
        <f t="shared" ref="AW25:AW30" si="33">W25/G25/12</f>
        <v>9.0300517719018019E-5</v>
      </c>
      <c r="AX25" s="1718">
        <f t="shared" ref="AX25:AX31" si="34">K25-L25</f>
        <v>8034.390000000014</v>
      </c>
      <c r="AY25" s="1445">
        <v>5</v>
      </c>
      <c r="AZ25" s="250"/>
      <c r="BA25" s="250"/>
      <c r="BB25" s="250"/>
      <c r="BC25" s="250"/>
      <c r="BD25" s="250"/>
    </row>
    <row r="26" spans="1:56" s="124" customFormat="1" ht="15" customHeight="1" x14ac:dyDescent="0.25">
      <c r="A26" s="5">
        <v>3</v>
      </c>
      <c r="B26" s="1320" t="s">
        <v>19</v>
      </c>
      <c r="C26" s="1435"/>
      <c r="D26" s="1435"/>
      <c r="E26" s="1435"/>
      <c r="F26" s="1435"/>
      <c r="G26" s="738">
        <v>1440.6</v>
      </c>
      <c r="H26" s="1435"/>
      <c r="I26" s="1435"/>
      <c r="J26" s="1435"/>
      <c r="K26" s="1971">
        <v>86436</v>
      </c>
      <c r="L26" s="1971">
        <v>84916.82</v>
      </c>
      <c r="M26" s="1972">
        <f t="shared" si="26"/>
        <v>69426.86</v>
      </c>
      <c r="N26" s="1904">
        <v>2288.64</v>
      </c>
      <c r="O26" s="1904">
        <v>1397.22</v>
      </c>
      <c r="P26" s="1905"/>
      <c r="Q26" s="1905">
        <v>65741</v>
      </c>
      <c r="R26" s="1905"/>
      <c r="S26" s="1905"/>
      <c r="T26" s="1905"/>
      <c r="U26" s="1905">
        <f t="shared" si="27"/>
        <v>17009.14</v>
      </c>
      <c r="V26" s="1905">
        <f t="shared" si="28"/>
        <v>98.242422138923601</v>
      </c>
      <c r="W26" s="1424">
        <f t="shared" si="29"/>
        <v>4.0160847332130132</v>
      </c>
      <c r="X26" s="1905">
        <f t="shared" si="30"/>
        <v>1519.179999999993</v>
      </c>
      <c r="Y26" s="1445">
        <v>5</v>
      </c>
      <c r="Z26" s="1711"/>
      <c r="AA26" s="1437"/>
      <c r="AB26" s="1665"/>
      <c r="AC26" s="1665"/>
      <c r="AD26" s="1665"/>
      <c r="AE26" s="1665"/>
      <c r="AF26" s="1715"/>
      <c r="AG26" s="1715"/>
      <c r="AH26" s="1715"/>
      <c r="AI26" s="1715"/>
      <c r="AJ26" s="1715"/>
      <c r="AK26" s="1715"/>
      <c r="AL26" s="1715"/>
      <c r="AM26" s="1715"/>
      <c r="AN26" s="1715"/>
      <c r="AO26" s="1715"/>
      <c r="AP26" s="1715"/>
      <c r="AQ26" s="1715"/>
      <c r="AR26" s="1715"/>
      <c r="AS26" s="1715"/>
      <c r="AT26" s="1715"/>
      <c r="AU26" s="467">
        <f t="shared" si="31"/>
        <v>86431.983915266785</v>
      </c>
      <c r="AV26" s="467">
        <f t="shared" si="32"/>
        <v>98.242422138923601</v>
      </c>
      <c r="AW26" s="467">
        <f t="shared" si="33"/>
        <v>2.3231551281948572E-4</v>
      </c>
      <c r="AX26" s="1718">
        <f t="shared" si="34"/>
        <v>1519.179999999993</v>
      </c>
      <c r="AY26" s="1445">
        <v>5</v>
      </c>
      <c r="AZ26" s="250"/>
      <c r="BA26" s="250"/>
      <c r="BB26" s="250"/>
      <c r="BC26" s="250"/>
      <c r="BD26" s="250"/>
    </row>
    <row r="27" spans="1:56" s="124" customFormat="1" ht="15" customHeight="1" x14ac:dyDescent="0.25">
      <c r="A27" s="5">
        <v>4</v>
      </c>
      <c r="B27" s="1320" t="s">
        <v>20</v>
      </c>
      <c r="C27" s="1435"/>
      <c r="D27" s="1435"/>
      <c r="E27" s="1435"/>
      <c r="F27" s="1435"/>
      <c r="G27" s="738">
        <v>3634.3</v>
      </c>
      <c r="H27" s="1435"/>
      <c r="I27" s="1435"/>
      <c r="J27" s="1435"/>
      <c r="K27" s="1971">
        <v>218100</v>
      </c>
      <c r="L27" s="1971">
        <v>210363.16</v>
      </c>
      <c r="M27" s="1972">
        <f t="shared" si="26"/>
        <v>2073.52</v>
      </c>
      <c r="N27" s="1904">
        <v>2073.52</v>
      </c>
      <c r="O27" s="1904"/>
      <c r="P27" s="1905"/>
      <c r="Q27" s="1905"/>
      <c r="R27" s="1905"/>
      <c r="S27" s="1905"/>
      <c r="T27" s="1905"/>
      <c r="U27" s="1905">
        <f t="shared" si="27"/>
        <v>216026.48</v>
      </c>
      <c r="V27" s="1905">
        <f t="shared" si="28"/>
        <v>96.452618065107757</v>
      </c>
      <c r="W27" s="1424">
        <f t="shared" si="29"/>
        <v>4.7545148538462235E-2</v>
      </c>
      <c r="X27" s="1905">
        <f t="shared" si="30"/>
        <v>7736.8399999999965</v>
      </c>
      <c r="Y27" s="1445">
        <v>5</v>
      </c>
      <c r="Z27" s="1711"/>
      <c r="AA27" s="1437"/>
      <c r="AB27" s="1665"/>
      <c r="AC27" s="1665"/>
      <c r="AD27" s="1665"/>
      <c r="AE27" s="1665"/>
      <c r="AF27" s="1715"/>
      <c r="AG27" s="1715"/>
      <c r="AH27" s="1715"/>
      <c r="AI27" s="1715"/>
      <c r="AJ27" s="1715"/>
      <c r="AK27" s="1715"/>
      <c r="AL27" s="1715"/>
      <c r="AM27" s="1715"/>
      <c r="AN27" s="1715"/>
      <c r="AO27" s="1715"/>
      <c r="AP27" s="1715"/>
      <c r="AQ27" s="1715"/>
      <c r="AR27" s="1715"/>
      <c r="AS27" s="1715"/>
      <c r="AT27" s="1715"/>
      <c r="AU27" s="467">
        <f t="shared" si="31"/>
        <v>218099.95245485147</v>
      </c>
      <c r="AV27" s="467">
        <f t="shared" si="32"/>
        <v>96.452618065107757</v>
      </c>
      <c r="AW27" s="467">
        <f t="shared" si="33"/>
        <v>1.0901950063391904E-6</v>
      </c>
      <c r="AX27" s="1718">
        <f t="shared" si="34"/>
        <v>7736.8399999999965</v>
      </c>
      <c r="AY27" s="1445">
        <v>5</v>
      </c>
      <c r="AZ27" s="250"/>
      <c r="BA27" s="250"/>
      <c r="BB27" s="250"/>
      <c r="BC27" s="250"/>
      <c r="BD27" s="250"/>
    </row>
    <row r="28" spans="1:56" s="124" customFormat="1" ht="15" customHeight="1" x14ac:dyDescent="0.25">
      <c r="A28" s="5">
        <v>5</v>
      </c>
      <c r="B28" s="1320" t="s">
        <v>22</v>
      </c>
      <c r="C28" s="1435"/>
      <c r="D28" s="1435"/>
      <c r="E28" s="1435"/>
      <c r="F28" s="1435"/>
      <c r="G28" s="738">
        <v>3641.8</v>
      </c>
      <c r="H28" s="1435"/>
      <c r="I28" s="1435"/>
      <c r="J28" s="1435"/>
      <c r="K28" s="1971">
        <v>218449</v>
      </c>
      <c r="L28" s="1971">
        <v>212119.44</v>
      </c>
      <c r="M28" s="1972">
        <f t="shared" si="26"/>
        <v>4785.6499999999996</v>
      </c>
      <c r="N28" s="1904">
        <v>1991.21</v>
      </c>
      <c r="O28" s="1904">
        <v>2794.44</v>
      </c>
      <c r="P28" s="1905"/>
      <c r="Q28" s="1905"/>
      <c r="R28" s="1905"/>
      <c r="S28" s="1905"/>
      <c r="T28" s="1905"/>
      <c r="U28" s="1905">
        <f t="shared" si="27"/>
        <v>213663.35</v>
      </c>
      <c r="V28" s="1905">
        <f t="shared" si="28"/>
        <v>97.102499897001124</v>
      </c>
      <c r="W28" s="1424">
        <f t="shared" si="29"/>
        <v>0.10950743222216119</v>
      </c>
      <c r="X28" s="1905">
        <f t="shared" si="30"/>
        <v>6329.5599999999977</v>
      </c>
      <c r="Y28" s="1445">
        <v>5</v>
      </c>
      <c r="Z28" s="1711"/>
      <c r="AA28" s="1437"/>
      <c r="AB28" s="1665"/>
      <c r="AC28" s="1665"/>
      <c r="AD28" s="1665"/>
      <c r="AE28" s="1665"/>
      <c r="AF28" s="1665"/>
      <c r="AG28" s="1665"/>
      <c r="AH28" s="1665"/>
      <c r="AI28" s="1665"/>
      <c r="AJ28" s="1665"/>
      <c r="AK28" s="1665"/>
      <c r="AL28" s="1665"/>
      <c r="AM28" s="1665"/>
      <c r="AN28" s="1665"/>
      <c r="AO28" s="1665"/>
      <c r="AP28" s="1665"/>
      <c r="AQ28" s="1715"/>
      <c r="AR28" s="1715"/>
      <c r="AS28" s="1715"/>
      <c r="AT28" s="1715"/>
      <c r="AU28" s="467">
        <f t="shared" si="31"/>
        <v>218448.89049256776</v>
      </c>
      <c r="AV28" s="467">
        <f t="shared" si="32"/>
        <v>97.102499897001124</v>
      </c>
      <c r="AW28" s="467">
        <f t="shared" si="33"/>
        <v>2.5057991520255822E-6</v>
      </c>
      <c r="AX28" s="1718">
        <f t="shared" si="34"/>
        <v>6329.5599999999977</v>
      </c>
      <c r="AY28" s="1445">
        <v>5</v>
      </c>
      <c r="AZ28" s="250"/>
      <c r="BA28" s="250"/>
      <c r="BB28" s="250"/>
      <c r="BC28" s="250"/>
      <c r="BD28" s="250"/>
    </row>
    <row r="29" spans="1:56" s="124" customFormat="1" ht="15" customHeight="1" x14ac:dyDescent="0.25">
      <c r="A29" s="5">
        <v>6</v>
      </c>
      <c r="B29" s="1320" t="s">
        <v>21</v>
      </c>
      <c r="C29" s="1435"/>
      <c r="D29" s="1435"/>
      <c r="E29" s="1435"/>
      <c r="F29" s="1435"/>
      <c r="G29" s="738">
        <v>3289.5</v>
      </c>
      <c r="H29" s="1435"/>
      <c r="I29" s="1435"/>
      <c r="J29" s="1435"/>
      <c r="K29" s="1971">
        <v>197526</v>
      </c>
      <c r="L29" s="1971">
        <v>195928</v>
      </c>
      <c r="M29" s="1972">
        <f t="shared" si="26"/>
        <v>4315.3999999999996</v>
      </c>
      <c r="N29" s="1904">
        <v>2219.5700000000002</v>
      </c>
      <c r="O29" s="1904">
        <v>2095.83</v>
      </c>
      <c r="P29" s="1905"/>
      <c r="Q29" s="1905"/>
      <c r="R29" s="1905"/>
      <c r="S29" s="1905"/>
      <c r="T29" s="1905"/>
      <c r="U29" s="1905">
        <f t="shared" si="27"/>
        <v>193210.6</v>
      </c>
      <c r="V29" s="1905">
        <f t="shared" si="28"/>
        <v>99.190992578192237</v>
      </c>
      <c r="W29" s="1424">
        <f t="shared" si="29"/>
        <v>0.10932259208592997</v>
      </c>
      <c r="X29" s="1905">
        <f t="shared" si="30"/>
        <v>1598</v>
      </c>
      <c r="Y29" s="1445">
        <v>5</v>
      </c>
      <c r="Z29" s="1711"/>
      <c r="AA29" s="1437"/>
      <c r="AB29" s="1665"/>
      <c r="AC29" s="1665"/>
      <c r="AD29" s="1665"/>
      <c r="AE29" s="1665"/>
      <c r="AF29" s="1665"/>
      <c r="AG29" s="1665"/>
      <c r="AH29" s="1665"/>
      <c r="AI29" s="1665"/>
      <c r="AJ29" s="1665"/>
      <c r="AK29" s="1665"/>
      <c r="AL29" s="1665"/>
      <c r="AM29" s="1665"/>
      <c r="AN29" s="1665"/>
      <c r="AO29" s="1665"/>
      <c r="AP29" s="1665"/>
      <c r="AQ29" s="1715"/>
      <c r="AR29" s="1715"/>
      <c r="AS29" s="1715"/>
      <c r="AT29" s="1715"/>
      <c r="AU29" s="467">
        <f t="shared" si="31"/>
        <v>197525.89067740791</v>
      </c>
      <c r="AV29" s="467">
        <f t="shared" si="32"/>
        <v>99.190992578192237</v>
      </c>
      <c r="AW29" s="467">
        <f t="shared" si="33"/>
        <v>2.76948351030881E-6</v>
      </c>
      <c r="AX29" s="1718">
        <f t="shared" si="34"/>
        <v>1598</v>
      </c>
      <c r="AY29" s="1445">
        <v>5</v>
      </c>
      <c r="AZ29" s="250"/>
      <c r="BA29" s="250"/>
      <c r="BB29" s="250"/>
      <c r="BC29" s="250"/>
      <c r="BD29" s="250"/>
    </row>
    <row r="30" spans="1:56" s="124" customFormat="1" ht="15" customHeight="1" x14ac:dyDescent="0.25">
      <c r="A30" s="260">
        <v>7</v>
      </c>
      <c r="B30" s="1320" t="s">
        <v>311</v>
      </c>
      <c r="C30" s="1435"/>
      <c r="D30" s="1435"/>
      <c r="E30" s="1435"/>
      <c r="F30" s="1435"/>
      <c r="G30" s="738">
        <v>3681.6</v>
      </c>
      <c r="H30" s="1435"/>
      <c r="I30" s="1435"/>
      <c r="J30" s="1435"/>
      <c r="K30" s="1971">
        <v>220880.4</v>
      </c>
      <c r="L30" s="1971">
        <v>219041.04</v>
      </c>
      <c r="M30" s="1972">
        <f t="shared" si="26"/>
        <v>227580.07</v>
      </c>
      <c r="N30" s="1904"/>
      <c r="O30" s="1904">
        <v>3260.18</v>
      </c>
      <c r="P30" s="1905"/>
      <c r="Q30" s="1905">
        <v>67481</v>
      </c>
      <c r="R30" s="1905">
        <v>24166.82</v>
      </c>
      <c r="S30" s="1905">
        <v>120010</v>
      </c>
      <c r="T30" s="1905">
        <v>12662.07</v>
      </c>
      <c r="U30" s="1905">
        <f t="shared" si="27"/>
        <v>-6699.6700000000128</v>
      </c>
      <c r="V30" s="1905">
        <f t="shared" si="28"/>
        <v>99.16725974780924</v>
      </c>
      <c r="W30" s="1424">
        <f t="shared" si="29"/>
        <v>5.1512945005794579</v>
      </c>
      <c r="X30" s="1905">
        <f t="shared" si="30"/>
        <v>1839.359999999986</v>
      </c>
      <c r="Y30" s="1445">
        <v>5</v>
      </c>
      <c r="Z30" s="1711"/>
      <c r="AA30" s="1437"/>
      <c r="AB30" s="1665"/>
      <c r="AC30" s="1665"/>
      <c r="AD30" s="1665"/>
      <c r="AE30" s="1665"/>
      <c r="AF30" s="1665"/>
      <c r="AG30" s="1665"/>
      <c r="AH30" s="1665"/>
      <c r="AI30" s="1665"/>
      <c r="AJ30" s="1665"/>
      <c r="AK30" s="1665"/>
      <c r="AL30" s="1665"/>
      <c r="AM30" s="1665"/>
      <c r="AN30" s="1665"/>
      <c r="AO30" s="1665"/>
      <c r="AP30" s="1665"/>
      <c r="AQ30" s="1715"/>
      <c r="AR30" s="1715"/>
      <c r="AS30" s="1715"/>
      <c r="AT30" s="1715"/>
      <c r="AU30" s="467">
        <f t="shared" si="31"/>
        <v>220875.24870549943</v>
      </c>
      <c r="AV30" s="467">
        <f t="shared" si="32"/>
        <v>99.16725974780924</v>
      </c>
      <c r="AW30" s="467">
        <f t="shared" si="33"/>
        <v>1.1659999503339711E-4</v>
      </c>
      <c r="AX30" s="1718">
        <f t="shared" si="34"/>
        <v>1839.359999999986</v>
      </c>
      <c r="AY30" s="1445">
        <v>5</v>
      </c>
      <c r="AZ30" s="250"/>
      <c r="BA30" s="250"/>
      <c r="BB30" s="250"/>
      <c r="BC30" s="250"/>
      <c r="BD30" s="250"/>
    </row>
    <row r="31" spans="1:56" s="124" customFormat="1" ht="15" customHeight="1" x14ac:dyDescent="0.25">
      <c r="A31" s="4"/>
      <c r="B31" s="1321" t="s">
        <v>23</v>
      </c>
      <c r="C31" s="1436"/>
      <c r="D31" s="1436"/>
      <c r="E31" s="1437"/>
      <c r="F31" s="1436"/>
      <c r="G31" s="1436">
        <f>SUM(G24:G30)</f>
        <v>20417.899999999998</v>
      </c>
      <c r="H31" s="1436"/>
      <c r="I31" s="1436"/>
      <c r="J31" s="1436"/>
      <c r="K31" s="1973">
        <f>SUM(K24:K30)</f>
        <v>1225306.3999999999</v>
      </c>
      <c r="L31" s="1973">
        <f>SUM(L24:L30)</f>
        <v>1198213.54</v>
      </c>
      <c r="M31" s="1973">
        <f t="shared" ref="M31:T31" si="35">SUM(M24:M30)</f>
        <v>451218.69999999995</v>
      </c>
      <c r="N31" s="1641">
        <f t="shared" si="35"/>
        <v>8572.94</v>
      </c>
      <c r="O31" s="1641">
        <f t="shared" si="35"/>
        <v>9547.67</v>
      </c>
      <c r="P31" s="1641">
        <f t="shared" si="35"/>
        <v>15685.2</v>
      </c>
      <c r="Q31" s="1641">
        <f t="shared" si="35"/>
        <v>260574</v>
      </c>
      <c r="R31" s="1641">
        <f t="shared" si="35"/>
        <v>24166.82</v>
      </c>
      <c r="S31" s="1641">
        <f t="shared" si="35"/>
        <v>120010</v>
      </c>
      <c r="T31" s="1641">
        <f t="shared" si="35"/>
        <v>12662.07</v>
      </c>
      <c r="U31" s="1641">
        <f t="shared" ref="U31" si="36">SUM(U24:U30)</f>
        <v>774087.7</v>
      </c>
      <c r="V31" s="1906">
        <f t="shared" si="28"/>
        <v>97.788891007179927</v>
      </c>
      <c r="W31" s="1907">
        <f t="shared" si="29"/>
        <v>1.8415977320553696</v>
      </c>
      <c r="X31" s="1906">
        <f t="shared" si="30"/>
        <v>27092.85999999987</v>
      </c>
      <c r="Y31" s="1426"/>
      <c r="Z31" s="1707"/>
      <c r="AA31" s="1436"/>
      <c r="AB31" s="1665"/>
      <c r="AC31" s="1665"/>
      <c r="AD31" s="1665"/>
      <c r="AE31" s="1665"/>
      <c r="AF31" s="1665"/>
      <c r="AG31" s="1665"/>
      <c r="AH31" s="1665"/>
      <c r="AI31" s="1665"/>
      <c r="AJ31" s="1665"/>
      <c r="AK31" s="1665"/>
      <c r="AL31" s="1665"/>
      <c r="AM31" s="1665"/>
      <c r="AN31" s="1665"/>
      <c r="AO31" s="1665"/>
      <c r="AP31" s="1665"/>
      <c r="AQ31" s="1715"/>
      <c r="AR31" s="1715"/>
      <c r="AS31" s="1715"/>
      <c r="AT31" s="1715"/>
      <c r="AU31" s="1716">
        <f>SUM(AU24:AU30)</f>
        <v>1225291.9262412821</v>
      </c>
      <c r="AV31" s="1716">
        <f>SUM(AV24:AV30)</f>
        <v>684.46689777646759</v>
      </c>
      <c r="AW31" s="1716">
        <f t="shared" ref="AW31" si="37">SUM(AW24:AW30)</f>
        <v>5.3286870019341153E-4</v>
      </c>
      <c r="AX31" s="1716">
        <f t="shared" si="34"/>
        <v>27092.85999999987</v>
      </c>
      <c r="AY31" s="1717"/>
      <c r="AZ31" s="374"/>
      <c r="BA31" s="250"/>
      <c r="BB31" s="250"/>
      <c r="BC31" s="250"/>
      <c r="BD31" s="250"/>
    </row>
    <row r="32" spans="1:56" s="124" customFormat="1" ht="15" customHeight="1" x14ac:dyDescent="0.25">
      <c r="A32" s="8"/>
      <c r="B32" s="1398"/>
      <c r="C32" s="1639"/>
      <c r="D32" s="1639"/>
      <c r="E32" s="1640"/>
      <c r="F32" s="1639"/>
      <c r="G32" s="1639"/>
      <c r="H32" s="1639"/>
      <c r="I32" s="1639"/>
      <c r="J32" s="1639"/>
      <c r="K32" s="1713"/>
      <c r="L32" s="1714"/>
      <c r="M32" s="1714"/>
      <c r="N32" s="1714"/>
      <c r="O32" s="1714"/>
      <c r="P32" s="1714"/>
      <c r="Q32" s="1714"/>
      <c r="R32" s="1714"/>
      <c r="S32" s="1714"/>
      <c r="T32" s="1714"/>
      <c r="U32" s="1714"/>
      <c r="V32" s="1714"/>
      <c r="W32" s="1714"/>
      <c r="X32" s="1714"/>
      <c r="Y32" s="1714"/>
      <c r="Z32" s="1714"/>
      <c r="AA32" s="1714"/>
      <c r="AB32" s="1430"/>
      <c r="AC32" s="1430"/>
      <c r="AD32" s="1430"/>
      <c r="AE32" s="1430"/>
      <c r="AF32" s="1430"/>
      <c r="AG32" s="1430"/>
      <c r="AH32" s="1430"/>
      <c r="AI32" s="1430"/>
      <c r="AJ32" s="1430"/>
      <c r="AK32" s="1430"/>
      <c r="AL32" s="1430"/>
      <c r="AM32" s="1430"/>
      <c r="AN32" s="1430"/>
      <c r="AO32" s="1430"/>
      <c r="AP32" s="1430"/>
      <c r="AQ32" s="250"/>
      <c r="AR32" s="250"/>
      <c r="AS32" s="250"/>
      <c r="AT32" s="250"/>
      <c r="AU32" s="358"/>
      <c r="AV32" s="358"/>
      <c r="AW32" s="358"/>
      <c r="AX32" s="358"/>
      <c r="AY32" s="358"/>
      <c r="AZ32" s="250"/>
      <c r="BA32" s="250"/>
      <c r="BB32" s="250"/>
      <c r="BC32" s="250"/>
      <c r="BD32" s="250"/>
    </row>
    <row r="33" spans="1:84" s="124" customFormat="1" ht="15" customHeight="1" x14ac:dyDescent="0.25">
      <c r="A33" s="8"/>
      <c r="B33" s="1398"/>
      <c r="C33" s="1639"/>
      <c r="D33" s="1639"/>
      <c r="E33" s="1640"/>
      <c r="F33" s="1639"/>
      <c r="G33" s="1639"/>
      <c r="H33" s="1639"/>
      <c r="I33" s="1639"/>
      <c r="J33" s="1639"/>
      <c r="K33" s="1713"/>
      <c r="L33" s="1712"/>
      <c r="M33" s="1909" t="s">
        <v>891</v>
      </c>
      <c r="N33" s="1712"/>
      <c r="O33" s="1712"/>
      <c r="P33" s="1712"/>
      <c r="Q33" s="1712"/>
      <c r="R33" s="1712"/>
      <c r="S33" s="1712"/>
      <c r="T33" s="1712"/>
      <c r="U33" s="1712"/>
      <c r="V33" s="1712"/>
      <c r="W33" s="1712"/>
      <c r="X33" s="1639"/>
      <c r="Y33" s="1712"/>
      <c r="Z33" s="1712"/>
      <c r="AA33" s="1712"/>
      <c r="AB33" s="1430"/>
      <c r="AC33" s="1430"/>
      <c r="AD33" s="1430"/>
      <c r="AE33" s="1430"/>
      <c r="AF33" s="1430"/>
      <c r="AG33" s="1430"/>
      <c r="AH33" s="1430"/>
      <c r="AI33" s="1430"/>
      <c r="AJ33" s="1430"/>
      <c r="AK33" s="1430"/>
      <c r="AL33" s="1430"/>
      <c r="AM33" s="1430"/>
      <c r="AN33" s="1430"/>
      <c r="AO33" s="1430"/>
      <c r="AP33" s="1430"/>
      <c r="AQ33" s="250"/>
      <c r="AR33" s="250"/>
      <c r="AS33" s="250"/>
      <c r="AT33" s="250"/>
      <c r="AU33" s="358"/>
      <c r="AV33" s="358"/>
      <c r="AW33" s="358"/>
      <c r="AX33" s="358"/>
      <c r="AY33" s="358"/>
      <c r="AZ33" s="250"/>
      <c r="BA33" s="250"/>
      <c r="BB33" s="250"/>
      <c r="BC33" s="250"/>
      <c r="BD33" s="250"/>
    </row>
    <row r="34" spans="1:84" s="124" customFormat="1" ht="15" customHeight="1" x14ac:dyDescent="0.25">
      <c r="A34" s="8"/>
      <c r="B34" s="1398"/>
      <c r="C34" s="1639"/>
      <c r="D34" s="1639"/>
      <c r="E34" s="1640"/>
      <c r="F34" s="1639"/>
      <c r="G34" s="1639"/>
      <c r="H34" s="1639"/>
      <c r="I34" s="1639"/>
      <c r="J34" s="1639"/>
      <c r="K34" s="1713"/>
      <c r="L34" s="1712"/>
      <c r="M34" s="1712"/>
      <c r="N34" s="1712"/>
      <c r="O34" s="1712"/>
      <c r="P34" s="1712"/>
      <c r="Q34" s="1712"/>
      <c r="R34" s="1712"/>
      <c r="S34" s="1712"/>
      <c r="T34" s="1712"/>
      <c r="U34" s="1712"/>
      <c r="V34" s="1712"/>
      <c r="W34" s="1712"/>
      <c r="X34" s="1712"/>
      <c r="Y34" s="1712"/>
      <c r="Z34" s="1712"/>
      <c r="AA34" s="1712"/>
      <c r="AB34" s="1430"/>
      <c r="AC34" s="1430"/>
      <c r="AD34" s="1430"/>
      <c r="AE34" s="1430"/>
      <c r="AF34" s="1430"/>
      <c r="AG34" s="1430"/>
      <c r="AH34" s="1430"/>
      <c r="AI34" s="1430"/>
      <c r="AJ34" s="1430"/>
      <c r="AK34" s="1430"/>
      <c r="AL34" s="1430"/>
      <c r="AM34" s="1430"/>
      <c r="AN34" s="1430"/>
      <c r="AO34" s="1430"/>
      <c r="AP34" s="1430"/>
      <c r="AQ34" s="250"/>
      <c r="AR34" s="250"/>
      <c r="AS34" s="250"/>
      <c r="AT34" s="250"/>
      <c r="AU34" s="358"/>
      <c r="AV34" s="358"/>
      <c r="AW34" s="358"/>
      <c r="AX34" s="358"/>
      <c r="AY34" s="358"/>
      <c r="AZ34" s="250"/>
      <c r="BA34" s="250"/>
      <c r="BB34" s="250"/>
      <c r="BC34" s="250"/>
      <c r="BD34" s="250"/>
    </row>
    <row r="35" spans="1:84" ht="38.25" customHeight="1" x14ac:dyDescent="0.3">
      <c r="B35" s="84" t="s">
        <v>776</v>
      </c>
      <c r="C35" s="84"/>
      <c r="D35" s="84"/>
      <c r="E35" s="84"/>
      <c r="F35" s="84"/>
      <c r="L35" s="223"/>
      <c r="M35" s="223"/>
      <c r="N35" s="223"/>
      <c r="O35" s="223"/>
      <c r="P35" s="223"/>
      <c r="Q35" s="223"/>
      <c r="S35" s="223"/>
      <c r="T35" s="223"/>
      <c r="U35" s="223"/>
      <c r="V35" s="223"/>
      <c r="W35" s="223"/>
      <c r="X35" s="223"/>
      <c r="Y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Z35" s="1727"/>
      <c r="BA35" s="1727"/>
      <c r="BB35" s="1727"/>
    </row>
    <row r="36" spans="1:84" ht="23.25" customHeight="1" x14ac:dyDescent="0.3">
      <c r="B36" s="1993"/>
      <c r="C36" s="1994"/>
      <c r="D36" s="1994"/>
      <c r="E36" s="1994"/>
      <c r="F36" s="1994"/>
      <c r="L36" s="223"/>
      <c r="M36" s="223"/>
      <c r="N36" s="223"/>
      <c r="O36" s="223"/>
      <c r="P36" s="223"/>
      <c r="Q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1727"/>
      <c r="BB36" s="1727"/>
    </row>
    <row r="37" spans="1:84" x14ac:dyDescent="0.25">
      <c r="L37" s="167"/>
      <c r="M37" s="167"/>
      <c r="N37" s="167"/>
      <c r="O37" s="167"/>
      <c r="P37" s="167"/>
      <c r="Q37" s="167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1727"/>
      <c r="BB37" s="1727"/>
    </row>
    <row r="38" spans="1:84" ht="30" customHeight="1" x14ac:dyDescent="0.25">
      <c r="A38" s="1985" t="s">
        <v>0</v>
      </c>
      <c r="B38" s="1985" t="s">
        <v>184</v>
      </c>
      <c r="C38" s="1985" t="s">
        <v>54</v>
      </c>
      <c r="D38" s="1985" t="s">
        <v>55</v>
      </c>
      <c r="E38" s="1985" t="s">
        <v>56</v>
      </c>
      <c r="F38" s="1985" t="s">
        <v>57</v>
      </c>
      <c r="G38" s="1985" t="s">
        <v>6</v>
      </c>
      <c r="H38" s="1985" t="s">
        <v>288</v>
      </c>
      <c r="I38" s="1722"/>
      <c r="J38" s="1722"/>
      <c r="K38" s="2065" t="s">
        <v>790</v>
      </c>
      <c r="L38" s="2066"/>
      <c r="M38" s="2037" t="s">
        <v>746</v>
      </c>
      <c r="N38" s="2039" t="s">
        <v>952</v>
      </c>
      <c r="O38" s="2041" t="s">
        <v>175</v>
      </c>
      <c r="P38" s="2041" t="s">
        <v>724</v>
      </c>
      <c r="Q38" s="2043" t="s">
        <v>566</v>
      </c>
      <c r="R38" s="2045" t="s">
        <v>830</v>
      </c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1727"/>
      <c r="BB38" s="1727"/>
    </row>
    <row r="39" spans="1:84" ht="39" customHeight="1" x14ac:dyDescent="0.25">
      <c r="A39" s="1986"/>
      <c r="B39" s="1986"/>
      <c r="C39" s="1986"/>
      <c r="D39" s="1986"/>
      <c r="E39" s="1986"/>
      <c r="F39" s="1986"/>
      <c r="G39" s="1986"/>
      <c r="H39" s="1986"/>
      <c r="I39" s="1721"/>
      <c r="J39" s="1721"/>
      <c r="K39" s="1966" t="s">
        <v>15</v>
      </c>
      <c r="L39" s="1967" t="s">
        <v>16</v>
      </c>
      <c r="M39" s="2038"/>
      <c r="N39" s="2040"/>
      <c r="O39" s="2042"/>
      <c r="P39" s="2042"/>
      <c r="Q39" s="2044"/>
      <c r="R39" s="2046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  <c r="AL39" s="223"/>
      <c r="AM39" s="223"/>
      <c r="AN39" s="223"/>
      <c r="AO39" s="223"/>
      <c r="AP39" s="223"/>
      <c r="AQ39" s="223"/>
      <c r="AR39" s="223"/>
      <c r="AS39" s="223"/>
      <c r="AT39" s="223"/>
      <c r="AU39" s="223"/>
      <c r="AV39" s="223"/>
      <c r="AW39" s="223"/>
      <c r="AX39" s="223"/>
      <c r="AY39" s="223"/>
      <c r="AZ39" s="223"/>
      <c r="BA39" s="1727"/>
      <c r="BB39" s="1727"/>
    </row>
    <row r="40" spans="1:84" x14ac:dyDescent="0.25">
      <c r="A40" s="2">
        <v>1</v>
      </c>
      <c r="B40" s="1319" t="s">
        <v>17</v>
      </c>
      <c r="C40" s="908">
        <v>1977</v>
      </c>
      <c r="D40" s="908">
        <v>5</v>
      </c>
      <c r="E40" s="908">
        <v>45</v>
      </c>
      <c r="F40" s="927">
        <v>132</v>
      </c>
      <c r="G40" s="910">
        <v>2366.1999999999998</v>
      </c>
      <c r="H40" s="910">
        <v>207.4</v>
      </c>
      <c r="I40" s="911"/>
      <c r="J40" s="911"/>
      <c r="K40" s="1974">
        <v>28412.400000000001</v>
      </c>
      <c r="L40" s="1974">
        <v>28498.39</v>
      </c>
      <c r="M40" s="1974">
        <f>N40</f>
        <v>3453.0905182217557</v>
      </c>
      <c r="N40" s="1965">
        <f>29796.66/20417.9*G40</f>
        <v>3453.0905182217557</v>
      </c>
      <c r="O40" s="1317">
        <f>K40-M40</f>
        <v>24959.309481778248</v>
      </c>
      <c r="P40" s="1317">
        <f>L40/K40*100</f>
        <v>100.30264954738071</v>
      </c>
      <c r="Q40" s="1317">
        <f>K40-L40</f>
        <v>-85.989999999997963</v>
      </c>
      <c r="R40" s="914">
        <v>1</v>
      </c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1727"/>
      <c r="BB40" s="1727"/>
    </row>
    <row r="41" spans="1:84" x14ac:dyDescent="0.25">
      <c r="A41" s="5">
        <v>2</v>
      </c>
      <c r="B41" s="1320" t="s">
        <v>18</v>
      </c>
      <c r="C41" s="737">
        <v>1977</v>
      </c>
      <c r="D41" s="737">
        <v>5</v>
      </c>
      <c r="E41" s="737">
        <v>45</v>
      </c>
      <c r="F41" s="929">
        <v>117</v>
      </c>
      <c r="G41" s="738">
        <v>2363.9</v>
      </c>
      <c r="H41" s="738">
        <v>207.4</v>
      </c>
      <c r="I41" s="911"/>
      <c r="J41" s="911"/>
      <c r="K41" s="1974">
        <v>28370.6</v>
      </c>
      <c r="L41" s="1974">
        <v>26784.799999999999</v>
      </c>
      <c r="M41" s="1974">
        <f t="shared" ref="M41:M46" si="38">N41</f>
        <v>3449.7340360174157</v>
      </c>
      <c r="N41" s="1965">
        <f t="shared" ref="N41:N46" si="39">29796.66/20417.9*G41</f>
        <v>3449.7340360174157</v>
      </c>
      <c r="O41" s="1317">
        <f t="shared" ref="O41:O46" si="40">K41-M41</f>
        <v>24920.865963982582</v>
      </c>
      <c r="P41" s="1317">
        <f t="shared" ref="P41:P47" si="41">L41/K41*100</f>
        <v>94.410410777354031</v>
      </c>
      <c r="Q41" s="1317">
        <f t="shared" ref="Q41:Q46" si="42">K41-L41</f>
        <v>1585.7999999999993</v>
      </c>
      <c r="R41" s="914">
        <v>1</v>
      </c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3"/>
      <c r="AX41" s="223"/>
      <c r="AY41" s="223"/>
      <c r="AZ41" s="223"/>
      <c r="BA41" s="1727"/>
      <c r="BB41" s="1727"/>
    </row>
    <row r="42" spans="1:84" x14ac:dyDescent="0.25">
      <c r="A42" s="5">
        <v>3</v>
      </c>
      <c r="B42" s="1320" t="s">
        <v>19</v>
      </c>
      <c r="C42" s="737">
        <v>1986</v>
      </c>
      <c r="D42" s="737">
        <v>3</v>
      </c>
      <c r="E42" s="737">
        <v>24</v>
      </c>
      <c r="F42" s="927">
        <v>83</v>
      </c>
      <c r="G42" s="738">
        <v>1440.6</v>
      </c>
      <c r="H42" s="738">
        <v>174</v>
      </c>
      <c r="I42" s="911"/>
      <c r="J42" s="911"/>
      <c r="K42" s="1974">
        <v>17287.2</v>
      </c>
      <c r="L42" s="1974">
        <v>16996.72</v>
      </c>
      <c r="M42" s="1974">
        <f t="shared" si="38"/>
        <v>2102.3253319881082</v>
      </c>
      <c r="N42" s="1965">
        <f t="shared" si="39"/>
        <v>2102.3253319881082</v>
      </c>
      <c r="O42" s="1317">
        <f t="shared" si="40"/>
        <v>15184.874668011893</v>
      </c>
      <c r="P42" s="1317">
        <f t="shared" si="41"/>
        <v>98.319681614142269</v>
      </c>
      <c r="Q42" s="1317">
        <f t="shared" si="42"/>
        <v>290.47999999999956</v>
      </c>
      <c r="R42" s="914">
        <v>1</v>
      </c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1727"/>
      <c r="BB42" s="1727"/>
    </row>
    <row r="43" spans="1:84" x14ac:dyDescent="0.25">
      <c r="A43" s="5">
        <v>4</v>
      </c>
      <c r="B43" s="1320" t="s">
        <v>20</v>
      </c>
      <c r="C43" s="737">
        <v>1992</v>
      </c>
      <c r="D43" s="737">
        <v>5</v>
      </c>
      <c r="E43" s="737">
        <v>60</v>
      </c>
      <c r="F43" s="929">
        <v>167</v>
      </c>
      <c r="G43" s="738">
        <v>3634.3</v>
      </c>
      <c r="H43" s="738">
        <v>468.3</v>
      </c>
      <c r="I43" s="911"/>
      <c r="J43" s="911"/>
      <c r="K43" s="1974">
        <v>43620</v>
      </c>
      <c r="L43" s="1974">
        <v>41952.17</v>
      </c>
      <c r="M43" s="1974">
        <f t="shared" si="38"/>
        <v>5303.6796848843414</v>
      </c>
      <c r="N43" s="1965">
        <f t="shared" si="39"/>
        <v>5303.6796848843414</v>
      </c>
      <c r="O43" s="1317">
        <f t="shared" si="40"/>
        <v>38316.320315115656</v>
      </c>
      <c r="P43" s="1317">
        <f t="shared" si="41"/>
        <v>96.176455754241175</v>
      </c>
      <c r="Q43" s="1317">
        <f t="shared" si="42"/>
        <v>1667.8300000000017</v>
      </c>
      <c r="R43" s="914">
        <v>1</v>
      </c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1727"/>
      <c r="BB43" s="1727"/>
      <c r="BH43" s="250"/>
      <c r="BI43" s="250"/>
      <c r="BJ43" s="250"/>
      <c r="BK43" s="250"/>
      <c r="BL43" s="250"/>
      <c r="BM43" s="250"/>
      <c r="BN43" s="250"/>
      <c r="BO43" s="250"/>
      <c r="BP43" s="250"/>
      <c r="BQ43" s="250"/>
      <c r="BR43" s="250"/>
      <c r="BS43" s="250"/>
      <c r="BT43" s="250"/>
      <c r="BU43" s="250"/>
      <c r="BV43" s="250"/>
      <c r="BW43" s="250"/>
      <c r="BX43" s="250"/>
      <c r="BY43" s="250"/>
      <c r="BZ43" s="250"/>
      <c r="CA43" s="250"/>
      <c r="CB43" s="250"/>
      <c r="CC43" s="250"/>
      <c r="CD43" s="250"/>
      <c r="CE43" s="250"/>
      <c r="CF43" s="250"/>
    </row>
    <row r="44" spans="1:84" x14ac:dyDescent="0.25">
      <c r="A44" s="5">
        <v>5</v>
      </c>
      <c r="B44" s="1320" t="s">
        <v>22</v>
      </c>
      <c r="C44" s="737">
        <v>1994</v>
      </c>
      <c r="D44" s="737">
        <v>5</v>
      </c>
      <c r="E44" s="737">
        <v>60</v>
      </c>
      <c r="F44" s="909">
        <v>131</v>
      </c>
      <c r="G44" s="738">
        <v>3641.8</v>
      </c>
      <c r="H44" s="738">
        <v>468.3</v>
      </c>
      <c r="I44" s="911"/>
      <c r="J44" s="911"/>
      <c r="K44" s="1974">
        <v>43689.1</v>
      </c>
      <c r="L44" s="1974">
        <v>42505.41</v>
      </c>
      <c r="M44" s="1974">
        <f t="shared" si="38"/>
        <v>5314.6247355506684</v>
      </c>
      <c r="N44" s="1965">
        <f t="shared" si="39"/>
        <v>5314.6247355506684</v>
      </c>
      <c r="O44" s="1317">
        <f t="shared" si="40"/>
        <v>38374.475264449327</v>
      </c>
      <c r="P44" s="1317">
        <f t="shared" si="41"/>
        <v>97.290651443952854</v>
      </c>
      <c r="Q44" s="1317">
        <f t="shared" si="42"/>
        <v>1183.6899999999951</v>
      </c>
      <c r="R44" s="914">
        <v>1</v>
      </c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1727"/>
      <c r="BB44" s="1727"/>
      <c r="BH44" s="250"/>
      <c r="BI44" s="250"/>
      <c r="BJ44" s="250"/>
      <c r="BK44" s="250"/>
      <c r="BL44" s="250"/>
      <c r="BM44" s="250"/>
      <c r="BN44" s="250"/>
      <c r="BO44" s="250"/>
      <c r="BP44" s="250"/>
      <c r="BQ44" s="250"/>
      <c r="BR44" s="250"/>
      <c r="BS44" s="250"/>
      <c r="BT44" s="250"/>
      <c r="BU44" s="250"/>
      <c r="BV44" s="250"/>
      <c r="BW44" s="250"/>
      <c r="BX44" s="250"/>
      <c r="BY44" s="250"/>
      <c r="BZ44" s="250"/>
      <c r="CA44" s="250"/>
      <c r="CB44" s="250"/>
      <c r="CC44" s="250"/>
      <c r="CD44" s="250"/>
      <c r="CE44" s="250"/>
      <c r="CF44" s="250"/>
    </row>
    <row r="45" spans="1:84" x14ac:dyDescent="0.25">
      <c r="A45" s="5">
        <v>6</v>
      </c>
      <c r="B45" s="1320" t="s">
        <v>21</v>
      </c>
      <c r="C45" s="737">
        <v>1981</v>
      </c>
      <c r="D45" s="737">
        <v>5</v>
      </c>
      <c r="E45" s="737">
        <v>60</v>
      </c>
      <c r="F45" s="909">
        <v>159</v>
      </c>
      <c r="G45" s="738">
        <v>3289.5</v>
      </c>
      <c r="H45" s="738">
        <v>397</v>
      </c>
      <c r="I45" s="911"/>
      <c r="J45" s="911"/>
      <c r="K45" s="1974">
        <v>39505.199999999997</v>
      </c>
      <c r="L45" s="1974">
        <v>39241.279999999999</v>
      </c>
      <c r="M45" s="1974">
        <f t="shared" si="38"/>
        <v>4800.4992222510637</v>
      </c>
      <c r="N45" s="1965">
        <f t="shared" si="39"/>
        <v>4800.4992222510637</v>
      </c>
      <c r="O45" s="1317">
        <f t="shared" si="40"/>
        <v>34704.700777748934</v>
      </c>
      <c r="P45" s="1317">
        <f t="shared" si="41"/>
        <v>99.331936048925201</v>
      </c>
      <c r="Q45" s="1317">
        <f t="shared" si="42"/>
        <v>263.91999999999825</v>
      </c>
      <c r="R45" s="914">
        <v>1</v>
      </c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1727"/>
      <c r="BB45" s="1727"/>
      <c r="BH45" s="250"/>
      <c r="BI45" s="250"/>
      <c r="BJ45" s="250"/>
      <c r="BK45" s="250"/>
      <c r="BL45" s="250"/>
      <c r="BM45" s="250"/>
      <c r="BN45" s="250"/>
      <c r="BO45" s="250"/>
      <c r="BP45" s="250"/>
      <c r="BQ45" s="250"/>
      <c r="BR45" s="250"/>
      <c r="BS45" s="250"/>
      <c r="BT45" s="250"/>
      <c r="BU45" s="250"/>
      <c r="BV45" s="250"/>
      <c r="BW45" s="250"/>
      <c r="BX45" s="250"/>
      <c r="BY45" s="250"/>
      <c r="BZ45" s="250"/>
      <c r="CA45" s="250"/>
      <c r="CB45" s="250"/>
      <c r="CC45" s="250"/>
      <c r="CD45" s="250"/>
      <c r="CE45" s="250"/>
      <c r="CF45" s="250"/>
    </row>
    <row r="46" spans="1:84" x14ac:dyDescent="0.25">
      <c r="A46" s="260">
        <v>7</v>
      </c>
      <c r="B46" s="1320" t="s">
        <v>311</v>
      </c>
      <c r="C46" s="737">
        <v>1993</v>
      </c>
      <c r="D46" s="737">
        <v>5</v>
      </c>
      <c r="E46" s="737">
        <v>60</v>
      </c>
      <c r="F46" s="909">
        <v>134</v>
      </c>
      <c r="G46" s="738">
        <v>3681.6</v>
      </c>
      <c r="H46" s="738">
        <v>485</v>
      </c>
      <c r="I46" s="911"/>
      <c r="J46" s="911"/>
      <c r="K46" s="1974">
        <v>44176.08</v>
      </c>
      <c r="L46" s="1974">
        <v>43655.76</v>
      </c>
      <c r="M46" s="1974">
        <f t="shared" si="38"/>
        <v>5372.7064710866434</v>
      </c>
      <c r="N46" s="1965">
        <f t="shared" si="39"/>
        <v>5372.7064710866434</v>
      </c>
      <c r="O46" s="1317">
        <f t="shared" si="40"/>
        <v>38803.373528913362</v>
      </c>
      <c r="P46" s="1317">
        <f t="shared" si="41"/>
        <v>98.822168014907618</v>
      </c>
      <c r="Q46" s="1317">
        <f t="shared" si="42"/>
        <v>520.31999999999971</v>
      </c>
      <c r="R46" s="914">
        <v>1</v>
      </c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1727"/>
      <c r="BB46" s="1727"/>
      <c r="BH46" s="250"/>
      <c r="BI46" s="250"/>
      <c r="BJ46" s="250"/>
      <c r="BK46" s="250"/>
      <c r="BL46" s="250"/>
      <c r="BM46" s="250"/>
      <c r="BN46" s="250"/>
      <c r="BO46" s="250"/>
      <c r="BP46" s="250"/>
      <c r="BQ46" s="250"/>
      <c r="BR46" s="250"/>
      <c r="BS46" s="250"/>
      <c r="BT46" s="250"/>
      <c r="BU46" s="250"/>
      <c r="BV46" s="250"/>
      <c r="BW46" s="250"/>
      <c r="BX46" s="250"/>
      <c r="BY46" s="250"/>
      <c r="BZ46" s="250"/>
      <c r="CA46" s="250"/>
      <c r="CB46" s="250"/>
      <c r="CC46" s="250"/>
      <c r="CD46" s="250"/>
      <c r="CE46" s="250"/>
      <c r="CF46" s="250"/>
    </row>
    <row r="47" spans="1:84" x14ac:dyDescent="0.25">
      <c r="A47" s="4"/>
      <c r="B47" s="1321" t="s">
        <v>23</v>
      </c>
      <c r="C47" s="737"/>
      <c r="D47" s="737"/>
      <c r="E47" s="1458">
        <f>SUM(E40:E46)</f>
        <v>354</v>
      </c>
      <c r="F47" s="1458">
        <f>SUM(F40:F46)</f>
        <v>923</v>
      </c>
      <c r="G47" s="1642">
        <f>SUM(G40:G46)</f>
        <v>20417.899999999998</v>
      </c>
      <c r="H47" s="1642">
        <f>SUM(H40:H46)</f>
        <v>2407.3999999999996</v>
      </c>
      <c r="I47" s="1642"/>
      <c r="J47" s="1642"/>
      <c r="K47" s="1975">
        <f t="shared" ref="K47:Q47" si="43">SUM(K40:K46)</f>
        <v>245060.58000000002</v>
      </c>
      <c r="L47" s="1975">
        <f t="shared" si="43"/>
        <v>239634.53</v>
      </c>
      <c r="M47" s="1975">
        <f t="shared" si="43"/>
        <v>29796.659999999996</v>
      </c>
      <c r="N47" s="1642">
        <f t="shared" si="43"/>
        <v>29796.659999999996</v>
      </c>
      <c r="O47" s="1642">
        <f t="shared" si="43"/>
        <v>215263.92000000004</v>
      </c>
      <c r="P47" s="1907">
        <f t="shared" si="41"/>
        <v>97.785833200917097</v>
      </c>
      <c r="Q47" s="1642">
        <f t="shared" si="43"/>
        <v>5426.0499999999956</v>
      </c>
      <c r="R47" s="1642"/>
      <c r="S47" s="223"/>
      <c r="T47" s="223"/>
      <c r="U47" s="223"/>
      <c r="V47" s="223"/>
      <c r="W47" s="223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1727"/>
      <c r="BB47" s="1727"/>
      <c r="BH47" s="250"/>
      <c r="BI47" s="250"/>
      <c r="BJ47" s="250"/>
      <c r="BK47" s="250"/>
      <c r="BL47" s="250"/>
      <c r="BM47" s="250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0"/>
      <c r="BY47" s="250"/>
      <c r="BZ47" s="250"/>
      <c r="CA47" s="250"/>
      <c r="CB47" s="250"/>
      <c r="CC47" s="250"/>
      <c r="CD47" s="250"/>
      <c r="CE47" s="250"/>
      <c r="CF47" s="250"/>
    </row>
    <row r="48" spans="1:84" x14ac:dyDescent="0.25">
      <c r="A48" s="223"/>
      <c r="B48" s="223"/>
      <c r="C48" s="223"/>
      <c r="D48" s="223"/>
      <c r="E48" s="223"/>
      <c r="F48" s="223"/>
      <c r="G48" s="223"/>
      <c r="H48" s="223"/>
      <c r="I48" s="223"/>
      <c r="J48" s="223"/>
      <c r="K48" s="223" t="s">
        <v>180</v>
      </c>
      <c r="L48" s="223" t="s">
        <v>180</v>
      </c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1727"/>
      <c r="BB48" s="1727"/>
      <c r="BH48" s="250"/>
      <c r="BI48" s="250"/>
      <c r="BJ48" s="250"/>
      <c r="BK48" s="250"/>
      <c r="BL48" s="250"/>
      <c r="BM48" s="250"/>
      <c r="BN48" s="250"/>
      <c r="BO48" s="250"/>
      <c r="BP48" s="250"/>
      <c r="BQ48" s="250"/>
      <c r="BR48" s="250"/>
      <c r="BS48" s="250"/>
      <c r="BT48" s="250"/>
      <c r="BU48" s="250"/>
      <c r="BV48" s="250"/>
      <c r="BW48" s="250"/>
      <c r="BX48" s="250"/>
      <c r="BY48" s="250"/>
      <c r="BZ48" s="250"/>
      <c r="CA48" s="250"/>
      <c r="CB48" s="250"/>
      <c r="CC48" s="250"/>
      <c r="CD48" s="250"/>
      <c r="CE48" s="250"/>
      <c r="CF48" s="250"/>
    </row>
    <row r="49" spans="1:84" x14ac:dyDescent="0.25">
      <c r="A49" s="223"/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1727"/>
      <c r="BB49" s="1727"/>
      <c r="BH49" s="250"/>
      <c r="BI49" s="250"/>
      <c r="BJ49" s="250"/>
      <c r="BK49" s="250"/>
      <c r="BL49" s="250"/>
      <c r="BM49" s="250"/>
      <c r="BN49" s="250"/>
      <c r="BO49" s="250"/>
      <c r="BP49" s="250"/>
      <c r="BQ49" s="250"/>
      <c r="BR49" s="250"/>
      <c r="BS49" s="250"/>
      <c r="BT49" s="250"/>
      <c r="BU49" s="250"/>
      <c r="BV49" s="250"/>
      <c r="BW49" s="250"/>
      <c r="BX49" s="250"/>
      <c r="BY49" s="250"/>
      <c r="BZ49" s="250"/>
      <c r="CA49" s="250"/>
      <c r="CB49" s="250"/>
      <c r="CC49" s="250"/>
      <c r="CD49" s="250"/>
      <c r="CE49" s="250"/>
      <c r="CF49" s="250"/>
    </row>
    <row r="50" spans="1:84" x14ac:dyDescent="0.25">
      <c r="A50" s="223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Z50" s="1727"/>
      <c r="BA50" s="1727"/>
      <c r="BB50" s="1727"/>
    </row>
    <row r="51" spans="1:84" x14ac:dyDescent="0.25">
      <c r="A51" s="223"/>
      <c r="B51" s="223"/>
      <c r="C51" s="223"/>
      <c r="D51" s="223"/>
      <c r="E51" s="223"/>
      <c r="F51" s="223"/>
      <c r="G51" s="344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  <c r="AB51" s="223"/>
      <c r="AC51" s="223"/>
      <c r="AD51" s="223"/>
      <c r="AE51" s="223"/>
      <c r="AF51" s="223"/>
      <c r="AG51" s="223"/>
      <c r="AH51" s="223"/>
      <c r="AI51" s="223"/>
      <c r="AJ51" s="223"/>
      <c r="AK51" s="223"/>
      <c r="AL51" s="223"/>
      <c r="AM51" s="223"/>
      <c r="AN51" s="223"/>
      <c r="AO51" s="223"/>
      <c r="AP51" s="223"/>
      <c r="AQ51" s="223"/>
      <c r="AR51" s="223"/>
      <c r="AS51" s="223"/>
      <c r="AT51" s="223"/>
      <c r="AU51" s="223"/>
      <c r="AV51" s="223"/>
      <c r="AW51" s="223"/>
      <c r="AZ51" s="1727"/>
      <c r="BA51" s="1727"/>
      <c r="BB51" s="1727"/>
    </row>
    <row r="52" spans="1:84" ht="38.25" customHeight="1" x14ac:dyDescent="0.25">
      <c r="A52" s="2033"/>
      <c r="B52" s="2060" t="s">
        <v>184</v>
      </c>
      <c r="C52" s="1985" t="s">
        <v>54</v>
      </c>
      <c r="D52" s="1985" t="s">
        <v>55</v>
      </c>
      <c r="E52" s="1985" t="s">
        <v>56</v>
      </c>
      <c r="F52" s="1985" t="s">
        <v>512</v>
      </c>
      <c r="G52" s="1985" t="s">
        <v>6</v>
      </c>
      <c r="H52" s="1985" t="s">
        <v>779</v>
      </c>
      <c r="I52" s="1722"/>
      <c r="J52" s="1722"/>
      <c r="K52" s="2051" t="s">
        <v>310</v>
      </c>
      <c r="L52" s="2052"/>
      <c r="M52" s="1651"/>
      <c r="N52" s="1651"/>
      <c r="O52" s="1651"/>
      <c r="P52" s="1651"/>
      <c r="Q52" s="1651"/>
      <c r="R52" s="1651"/>
      <c r="S52" s="1651"/>
      <c r="T52" s="1651"/>
      <c r="U52" s="1651"/>
      <c r="V52" s="1651"/>
      <c r="W52" s="2022" t="s">
        <v>748</v>
      </c>
      <c r="X52" s="1997" t="s">
        <v>370</v>
      </c>
      <c r="Y52" s="1997" t="s">
        <v>333</v>
      </c>
      <c r="Z52" s="1997" t="s">
        <v>819</v>
      </c>
      <c r="AA52" s="1997" t="s">
        <v>817</v>
      </c>
      <c r="AB52" s="1997" t="s">
        <v>338</v>
      </c>
      <c r="AC52" s="1997" t="s">
        <v>818</v>
      </c>
      <c r="AD52" s="1997" t="s">
        <v>369</v>
      </c>
      <c r="AE52" s="2029"/>
      <c r="AF52" s="1879"/>
      <c r="AG52" s="1879"/>
      <c r="AH52" s="2029"/>
      <c r="AI52" s="2054"/>
      <c r="AJ52" s="2053"/>
      <c r="AK52" s="2029"/>
      <c r="AL52" s="1879"/>
      <c r="AM52" s="1879"/>
      <c r="AN52" s="1879"/>
      <c r="AO52" s="1879"/>
      <c r="AP52" s="1879"/>
      <c r="AQ52" s="2029"/>
      <c r="AR52" s="2029"/>
      <c r="AS52" s="2029"/>
      <c r="AT52" s="2029"/>
      <c r="AU52" s="2009" t="s">
        <v>175</v>
      </c>
      <c r="AV52" s="2005" t="s">
        <v>724</v>
      </c>
      <c r="AW52" s="2001" t="s">
        <v>182</v>
      </c>
      <c r="AX52" s="2001" t="s">
        <v>566</v>
      </c>
      <c r="AY52" s="1999" t="s">
        <v>870</v>
      </c>
      <c r="AZ52" s="1727"/>
      <c r="BA52" s="1727"/>
      <c r="BB52" s="1727"/>
    </row>
    <row r="53" spans="1:84" ht="24" customHeight="1" x14ac:dyDescent="0.25">
      <c r="A53" s="2034"/>
      <c r="B53" s="2061"/>
      <c r="C53" s="1986"/>
      <c r="D53" s="1986"/>
      <c r="E53" s="1986"/>
      <c r="F53" s="1986"/>
      <c r="G53" s="1986"/>
      <c r="H53" s="1986"/>
      <c r="I53" s="1721"/>
      <c r="J53" s="1721"/>
      <c r="K53" s="1643" t="s">
        <v>15</v>
      </c>
      <c r="L53" s="1644" t="s">
        <v>16</v>
      </c>
      <c r="M53" s="1643"/>
      <c r="N53" s="1644"/>
      <c r="O53" s="1643"/>
      <c r="P53" s="1644"/>
      <c r="Q53" s="1643"/>
      <c r="R53" s="1644"/>
      <c r="S53" s="1643"/>
      <c r="T53" s="1644"/>
      <c r="U53" s="1643"/>
      <c r="V53" s="1644"/>
      <c r="W53" s="2023"/>
      <c r="X53" s="1998"/>
      <c r="Y53" s="1998"/>
      <c r="Z53" s="1998"/>
      <c r="AA53" s="1998"/>
      <c r="AB53" s="1998"/>
      <c r="AC53" s="1998"/>
      <c r="AD53" s="1998"/>
      <c r="AE53" s="2030"/>
      <c r="AF53" s="1880"/>
      <c r="AG53" s="1880"/>
      <c r="AH53" s="2030"/>
      <c r="AI53" s="2055"/>
      <c r="AJ53" s="2053"/>
      <c r="AK53" s="2030"/>
      <c r="AL53" s="1880"/>
      <c r="AM53" s="1880"/>
      <c r="AN53" s="1880"/>
      <c r="AO53" s="1880"/>
      <c r="AP53" s="1880"/>
      <c r="AQ53" s="2030"/>
      <c r="AR53" s="2030"/>
      <c r="AS53" s="2030"/>
      <c r="AT53" s="2030"/>
      <c r="AU53" s="2009"/>
      <c r="AV53" s="2006"/>
      <c r="AW53" s="2002"/>
      <c r="AX53" s="2002"/>
      <c r="AY53" s="2000"/>
      <c r="AZ53" s="1727"/>
      <c r="BA53" s="1727"/>
      <c r="BB53" s="1727"/>
    </row>
    <row r="54" spans="1:84" x14ac:dyDescent="0.25">
      <c r="A54" s="391">
        <v>1</v>
      </c>
      <c r="B54" s="1626" t="s">
        <v>778</v>
      </c>
      <c r="C54" s="1071" t="s">
        <v>780</v>
      </c>
      <c r="D54" s="467"/>
      <c r="E54" s="467"/>
      <c r="F54" s="467">
        <v>16.46</v>
      </c>
      <c r="G54" s="467">
        <v>3360</v>
      </c>
      <c r="H54" s="467"/>
      <c r="I54" s="467"/>
      <c r="J54" s="467"/>
      <c r="K54" s="467">
        <v>331833.59999999998</v>
      </c>
      <c r="L54" s="467">
        <v>105191.25</v>
      </c>
      <c r="M54" s="1516"/>
      <c r="N54" s="1516"/>
      <c r="O54" s="1516"/>
      <c r="P54" s="1516"/>
      <c r="Q54" s="1516"/>
      <c r="R54" s="1516"/>
      <c r="S54" s="1516"/>
      <c r="T54" s="1516"/>
      <c r="U54" s="1516"/>
      <c r="V54" s="1516"/>
      <c r="W54" s="467">
        <f>X54+Y54+Z54+AA54+AB54+AC54+AD54</f>
        <v>155999.34</v>
      </c>
      <c r="X54" s="467">
        <v>2635.88</v>
      </c>
      <c r="Y54" s="467"/>
      <c r="Z54" s="467">
        <v>625.30999999999995</v>
      </c>
      <c r="AA54" s="467">
        <v>60314.23</v>
      </c>
      <c r="AB54" s="467">
        <v>5536.26</v>
      </c>
      <c r="AC54" s="467">
        <v>61350.98</v>
      </c>
      <c r="AD54" s="467">
        <v>25536.68</v>
      </c>
      <c r="AE54" s="1516"/>
      <c r="AF54" s="1516"/>
      <c r="AG54" s="1516"/>
      <c r="AH54" s="1516"/>
      <c r="AI54" s="1516"/>
      <c r="AJ54" s="1516"/>
      <c r="AK54" s="1516"/>
      <c r="AL54" s="1516"/>
      <c r="AM54" s="1516"/>
      <c r="AN54" s="1516"/>
      <c r="AO54" s="1516"/>
      <c r="AP54" s="1516"/>
      <c r="AQ54" s="1516"/>
      <c r="AR54" s="1516"/>
      <c r="AS54" s="1516"/>
      <c r="AT54" s="1516"/>
      <c r="AU54" s="467">
        <f>K54-W54</f>
        <v>175834.25999999998</v>
      </c>
      <c r="AV54" s="467">
        <f>L54/K54*100</f>
        <v>31.699999638372972</v>
      </c>
      <c r="AW54" s="467">
        <f>W54/G54/6</f>
        <v>7.738062499999999</v>
      </c>
      <c r="AX54" s="47">
        <f>K54-L54</f>
        <v>226642.34999999998</v>
      </c>
      <c r="AY54" s="47">
        <v>16.46</v>
      </c>
      <c r="AZ54" s="1727"/>
      <c r="BA54" s="1727"/>
      <c r="BB54" s="1727"/>
    </row>
    <row r="55" spans="1:84" x14ac:dyDescent="0.25">
      <c r="A55" s="391"/>
      <c r="B55" s="391"/>
      <c r="C55" s="467"/>
      <c r="D55" s="467"/>
      <c r="E55" s="467"/>
      <c r="F55" s="467"/>
      <c r="G55" s="467"/>
      <c r="H55" s="467"/>
      <c r="I55" s="467"/>
      <c r="J55" s="467"/>
      <c r="K55" s="467"/>
      <c r="L55" s="467"/>
      <c r="M55" s="467"/>
      <c r="N55" s="467"/>
      <c r="O55" s="467"/>
      <c r="P55" s="467"/>
      <c r="Q55" s="467"/>
      <c r="R55" s="467"/>
      <c r="S55" s="467"/>
      <c r="T55" s="467"/>
      <c r="U55" s="467"/>
      <c r="V55" s="467"/>
      <c r="W55" s="467"/>
      <c r="X55" s="467"/>
      <c r="Y55" s="467"/>
      <c r="Z55" s="467"/>
      <c r="AA55" s="467"/>
      <c r="AB55" s="467"/>
      <c r="AC55" s="467"/>
      <c r="AD55" s="467"/>
      <c r="AE55" s="1516"/>
      <c r="AF55" s="1516"/>
      <c r="AG55" s="1516"/>
      <c r="AH55" s="1516"/>
      <c r="AI55" s="1516"/>
      <c r="AJ55" s="1516"/>
      <c r="AK55" s="1516"/>
      <c r="AL55" s="1516"/>
      <c r="AM55" s="1516"/>
      <c r="AN55" s="1516"/>
      <c r="AO55" s="1516"/>
      <c r="AP55" s="1516"/>
      <c r="AQ55" s="1516"/>
      <c r="AR55" s="1516"/>
      <c r="AS55" s="1516"/>
      <c r="AT55" s="1516"/>
      <c r="AU55" s="467"/>
      <c r="AV55" s="467"/>
      <c r="AW55" s="467"/>
      <c r="AX55" s="47"/>
      <c r="AY55" s="47"/>
      <c r="AZ55" s="1727"/>
      <c r="BA55" s="1727"/>
      <c r="BB55" s="1727"/>
    </row>
    <row r="56" spans="1:84" x14ac:dyDescent="0.25">
      <c r="A56" s="391"/>
      <c r="B56" s="1704" t="s">
        <v>822</v>
      </c>
      <c r="C56" s="467"/>
      <c r="D56" s="467"/>
      <c r="E56" s="467"/>
      <c r="F56" s="467"/>
      <c r="G56" s="467"/>
      <c r="H56" s="467"/>
      <c r="I56" s="467"/>
      <c r="J56" s="467"/>
      <c r="K56" s="1071">
        <f>Q14+K54</f>
        <v>3080145.63</v>
      </c>
      <c r="L56" s="1071" t="s">
        <v>871</v>
      </c>
      <c r="M56" s="467"/>
      <c r="N56" s="467"/>
      <c r="O56" s="467"/>
      <c r="P56" s="467"/>
      <c r="Q56" s="467"/>
      <c r="R56" s="467"/>
      <c r="S56" s="467"/>
      <c r="T56" s="467"/>
      <c r="U56" s="467"/>
      <c r="V56" s="467"/>
      <c r="W56" s="467"/>
      <c r="X56" s="1875">
        <f>Y16+X54</f>
        <v>86810.61</v>
      </c>
      <c r="Y56" s="467"/>
      <c r="Z56" s="467"/>
      <c r="AA56" s="467"/>
      <c r="AB56" s="467"/>
      <c r="AC56" s="467"/>
      <c r="AD56" s="467"/>
      <c r="AE56" s="1516"/>
      <c r="AF56" s="1516"/>
      <c r="AG56" s="1516"/>
      <c r="AH56" s="1516"/>
      <c r="AI56" s="1516"/>
      <c r="AJ56" s="1516"/>
      <c r="AK56" s="1516"/>
      <c r="AL56" s="1516"/>
      <c r="AM56" s="1516"/>
      <c r="AN56" s="1516"/>
      <c r="AO56" s="1516"/>
      <c r="AP56" s="1516"/>
      <c r="AQ56" s="1516"/>
      <c r="AR56" s="1516"/>
      <c r="AS56" s="1516"/>
      <c r="AT56" s="1516"/>
      <c r="AU56" s="467"/>
      <c r="AV56" s="467"/>
      <c r="AW56" s="467"/>
      <c r="AX56" s="47"/>
      <c r="AY56" s="47"/>
      <c r="AZ56" s="1727"/>
      <c r="BA56" s="1727"/>
      <c r="BB56" s="1727"/>
    </row>
    <row r="57" spans="1:84" x14ac:dyDescent="0.25">
      <c r="A57" s="391"/>
      <c r="B57" s="391"/>
      <c r="C57" s="467"/>
      <c r="D57" s="467"/>
      <c r="E57" s="467"/>
      <c r="F57" s="467"/>
      <c r="G57" s="467"/>
      <c r="H57" s="467"/>
      <c r="I57" s="467"/>
      <c r="J57" s="467"/>
      <c r="K57" s="467"/>
      <c r="L57" s="467"/>
      <c r="M57" s="467"/>
      <c r="N57" s="467"/>
      <c r="O57" s="467"/>
      <c r="P57" s="467"/>
      <c r="Q57" s="467"/>
      <c r="R57" s="467"/>
      <c r="S57" s="467"/>
      <c r="T57" s="467"/>
      <c r="U57" s="467"/>
      <c r="V57" s="467"/>
      <c r="W57" s="467"/>
      <c r="X57" s="467"/>
      <c r="Y57" s="467"/>
      <c r="Z57" s="467"/>
      <c r="AA57" s="467"/>
      <c r="AB57" s="467"/>
      <c r="AC57" s="467"/>
      <c r="AD57" s="467"/>
      <c r="AE57" s="1516"/>
      <c r="AF57" s="1516"/>
      <c r="AG57" s="1516"/>
      <c r="AH57" s="1516"/>
      <c r="AI57" s="1516"/>
      <c r="AJ57" s="1516"/>
      <c r="AK57" s="1516"/>
      <c r="AL57" s="1516"/>
      <c r="AM57" s="1516"/>
      <c r="AN57" s="1516"/>
      <c r="AO57" s="1516"/>
      <c r="AP57" s="1516"/>
      <c r="AQ57" s="1516"/>
      <c r="AR57" s="1516"/>
      <c r="AS57" s="1516"/>
      <c r="AT57" s="1516"/>
      <c r="AU57" s="467"/>
      <c r="AV57" s="467"/>
      <c r="AW57" s="467"/>
      <c r="AX57" s="47"/>
      <c r="AY57" s="47"/>
      <c r="AZ57" s="1727"/>
      <c r="BA57" s="1727"/>
      <c r="BB57" s="1727"/>
    </row>
    <row r="58" spans="1:84" x14ac:dyDescent="0.25">
      <c r="A58" s="391"/>
      <c r="B58" s="391"/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467"/>
      <c r="O58" s="467"/>
      <c r="P58" s="467"/>
      <c r="Q58" s="467"/>
      <c r="R58" s="467"/>
      <c r="S58" s="467"/>
      <c r="T58" s="467"/>
      <c r="U58" s="467"/>
      <c r="V58" s="467"/>
      <c r="W58" s="467"/>
      <c r="X58" s="467"/>
      <c r="Y58" s="467"/>
      <c r="Z58" s="467"/>
      <c r="AA58" s="467"/>
      <c r="AB58" s="467"/>
      <c r="AC58" s="467"/>
      <c r="AD58" s="467"/>
      <c r="AE58" s="1516"/>
      <c r="AF58" s="1516"/>
      <c r="AG58" s="1516"/>
      <c r="AH58" s="1516"/>
      <c r="AI58" s="1516"/>
      <c r="AJ58" s="1516"/>
      <c r="AK58" s="1516"/>
      <c r="AL58" s="1516"/>
      <c r="AM58" s="1516"/>
      <c r="AN58" s="1516"/>
      <c r="AO58" s="1516"/>
      <c r="AP58" s="1516"/>
      <c r="AQ58" s="1516"/>
      <c r="AR58" s="1516"/>
      <c r="AS58" s="1516"/>
      <c r="AT58" s="1516"/>
      <c r="AU58" s="467"/>
      <c r="AV58" s="467"/>
      <c r="AW58" s="467"/>
      <c r="AX58" s="47"/>
      <c r="AY58" s="47"/>
      <c r="AZ58" s="1727"/>
      <c r="BA58" s="1727"/>
      <c r="BB58" s="1727"/>
    </row>
    <row r="59" spans="1:84" x14ac:dyDescent="0.25">
      <c r="A59" s="391"/>
      <c r="B59" s="391"/>
      <c r="C59" s="467"/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N59" s="467"/>
      <c r="O59" s="467"/>
      <c r="P59" s="467"/>
      <c r="Q59" s="467"/>
      <c r="R59" s="467"/>
      <c r="S59" s="467"/>
      <c r="T59" s="467"/>
      <c r="U59" s="467"/>
      <c r="V59" s="467"/>
      <c r="W59" s="467"/>
      <c r="X59" s="467"/>
      <c r="Y59" s="467"/>
      <c r="Z59" s="467"/>
      <c r="AA59" s="467"/>
      <c r="AB59" s="467"/>
      <c r="AC59" s="467"/>
      <c r="AD59" s="467"/>
      <c r="AE59" s="1516"/>
      <c r="AF59" s="1516"/>
      <c r="AG59" s="1516"/>
      <c r="AH59" s="1516"/>
      <c r="AI59" s="1516"/>
      <c r="AJ59" s="1516"/>
      <c r="AK59" s="1516"/>
      <c r="AL59" s="1516"/>
      <c r="AM59" s="1516"/>
      <c r="AN59" s="1516"/>
      <c r="AO59" s="1516"/>
      <c r="AP59" s="1516"/>
      <c r="AQ59" s="1516"/>
      <c r="AR59" s="1516"/>
      <c r="AS59" s="1516"/>
      <c r="AT59" s="1516"/>
      <c r="AU59" s="467"/>
      <c r="AV59" s="467"/>
      <c r="AW59" s="467"/>
      <c r="AX59" s="47"/>
      <c r="AY59" s="47"/>
      <c r="AZ59" s="1727"/>
      <c r="BA59" s="1727"/>
      <c r="BB59" s="1727"/>
    </row>
    <row r="60" spans="1:84" x14ac:dyDescent="0.25">
      <c r="A60" s="223"/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Z60" s="1727"/>
      <c r="BA60" s="1727"/>
      <c r="BB60" s="1727"/>
    </row>
    <row r="61" spans="1:84" ht="38.25" customHeight="1" x14ac:dyDescent="0.25">
      <c r="A61" s="2033"/>
      <c r="B61" s="2060" t="s">
        <v>184</v>
      </c>
      <c r="C61" s="1985" t="s">
        <v>54</v>
      </c>
      <c r="D61" s="1985" t="s">
        <v>55</v>
      </c>
      <c r="E61" s="1985" t="s">
        <v>56</v>
      </c>
      <c r="F61" s="1985" t="s">
        <v>512</v>
      </c>
      <c r="G61" s="1985" t="s">
        <v>6</v>
      </c>
      <c r="H61" s="1985" t="s">
        <v>779</v>
      </c>
      <c r="I61" s="1722"/>
      <c r="J61" s="1722"/>
      <c r="K61" s="2051" t="s">
        <v>284</v>
      </c>
      <c r="L61" s="2052"/>
      <c r="M61" s="1651"/>
      <c r="N61" s="1651"/>
      <c r="O61" s="1651"/>
      <c r="P61" s="1651"/>
      <c r="Q61" s="1651"/>
      <c r="R61" s="1651"/>
      <c r="S61" s="1651"/>
      <c r="T61" s="1651"/>
      <c r="U61" s="1651"/>
      <c r="V61" s="1651"/>
      <c r="W61" s="2022" t="s">
        <v>748</v>
      </c>
      <c r="X61" s="1997" t="s">
        <v>332</v>
      </c>
      <c r="Y61" s="1997" t="s">
        <v>333</v>
      </c>
      <c r="Z61" s="1879"/>
      <c r="AA61" s="2029"/>
      <c r="AB61" s="2029"/>
      <c r="AC61" s="2029"/>
      <c r="AD61" s="2029"/>
      <c r="AE61" s="2029"/>
      <c r="AF61" s="1879"/>
      <c r="AG61" s="1879"/>
      <c r="AH61" s="2029"/>
      <c r="AI61" s="2054"/>
      <c r="AJ61" s="2053"/>
      <c r="AK61" s="2029"/>
      <c r="AL61" s="1879"/>
      <c r="AM61" s="1879"/>
      <c r="AN61" s="1879"/>
      <c r="AO61" s="1879"/>
      <c r="AP61" s="1879"/>
      <c r="AQ61" s="2029"/>
      <c r="AR61" s="2029"/>
      <c r="AS61" s="1879"/>
      <c r="AT61" s="2029"/>
      <c r="AU61" s="2009" t="s">
        <v>175</v>
      </c>
      <c r="AV61" s="2005" t="s">
        <v>724</v>
      </c>
      <c r="AW61" s="2001" t="s">
        <v>182</v>
      </c>
      <c r="AX61" s="2001" t="s">
        <v>566</v>
      </c>
      <c r="AY61" s="1999" t="s">
        <v>870</v>
      </c>
      <c r="AZ61" s="1727"/>
      <c r="BA61" s="1727"/>
      <c r="BB61" s="1727"/>
    </row>
    <row r="62" spans="1:84" ht="24.75" customHeight="1" x14ac:dyDescent="0.25">
      <c r="A62" s="2034"/>
      <c r="B62" s="2061"/>
      <c r="C62" s="1986"/>
      <c r="D62" s="1986"/>
      <c r="E62" s="1986"/>
      <c r="F62" s="1986"/>
      <c r="G62" s="1986"/>
      <c r="H62" s="1986"/>
      <c r="I62" s="1721"/>
      <c r="J62" s="1721"/>
      <c r="K62" s="1643" t="s">
        <v>15</v>
      </c>
      <c r="L62" s="1644" t="s">
        <v>16</v>
      </c>
      <c r="M62" s="1643"/>
      <c r="N62" s="1644"/>
      <c r="O62" s="1643"/>
      <c r="P62" s="1644"/>
      <c r="Q62" s="1643"/>
      <c r="R62" s="1644"/>
      <c r="S62" s="1643"/>
      <c r="T62" s="1644"/>
      <c r="U62" s="1643"/>
      <c r="V62" s="1644"/>
      <c r="W62" s="2023"/>
      <c r="X62" s="1998"/>
      <c r="Y62" s="1998"/>
      <c r="Z62" s="1880"/>
      <c r="AA62" s="2030"/>
      <c r="AB62" s="2030"/>
      <c r="AC62" s="2030"/>
      <c r="AD62" s="2030"/>
      <c r="AE62" s="2030"/>
      <c r="AF62" s="1880"/>
      <c r="AG62" s="1880"/>
      <c r="AH62" s="2030"/>
      <c r="AI62" s="2055"/>
      <c r="AJ62" s="2053"/>
      <c r="AK62" s="2030"/>
      <c r="AL62" s="1880"/>
      <c r="AM62" s="1880"/>
      <c r="AN62" s="1880"/>
      <c r="AO62" s="1880"/>
      <c r="AP62" s="1880"/>
      <c r="AQ62" s="2030"/>
      <c r="AR62" s="2030"/>
      <c r="AS62" s="1880"/>
      <c r="AT62" s="2030"/>
      <c r="AU62" s="2009"/>
      <c r="AV62" s="2006"/>
      <c r="AW62" s="2002"/>
      <c r="AX62" s="2002"/>
      <c r="AY62" s="2000"/>
      <c r="AZ62" s="1727"/>
      <c r="BA62" s="1727"/>
      <c r="BB62" s="1727"/>
    </row>
    <row r="63" spans="1:84" x14ac:dyDescent="0.25">
      <c r="A63" s="391">
        <v>1</v>
      </c>
      <c r="B63" s="1627" t="s">
        <v>778</v>
      </c>
      <c r="C63" s="1071" t="s">
        <v>780</v>
      </c>
      <c r="D63" s="467"/>
      <c r="E63" s="467"/>
      <c r="F63" s="467">
        <v>2</v>
      </c>
      <c r="G63" s="467">
        <v>3360</v>
      </c>
      <c r="H63" s="467"/>
      <c r="I63" s="467"/>
      <c r="J63" s="467"/>
      <c r="K63" s="467">
        <v>40320</v>
      </c>
      <c r="L63" s="467">
        <v>12781.44</v>
      </c>
      <c r="M63" s="1516"/>
      <c r="N63" s="1516"/>
      <c r="O63" s="1516"/>
      <c r="P63" s="1516"/>
      <c r="Q63" s="1516"/>
      <c r="R63" s="1516"/>
      <c r="S63" s="1516"/>
      <c r="T63" s="1516"/>
      <c r="U63" s="1516"/>
      <c r="V63" s="1516"/>
      <c r="W63" s="467">
        <f>X63</f>
        <v>11593.99</v>
      </c>
      <c r="X63" s="467">
        <v>11593.99</v>
      </c>
      <c r="Y63" s="467"/>
      <c r="Z63" s="1516"/>
      <c r="AA63" s="1516"/>
      <c r="AB63" s="1516"/>
      <c r="AC63" s="1516"/>
      <c r="AD63" s="1516"/>
      <c r="AE63" s="1516"/>
      <c r="AF63" s="1516"/>
      <c r="AG63" s="1516"/>
      <c r="AH63" s="1516"/>
      <c r="AI63" s="1516"/>
      <c r="AJ63" s="1516"/>
      <c r="AK63" s="1516"/>
      <c r="AL63" s="1516"/>
      <c r="AM63" s="1516"/>
      <c r="AN63" s="1516"/>
      <c r="AO63" s="1516"/>
      <c r="AP63" s="1516"/>
      <c r="AQ63" s="1516"/>
      <c r="AR63" s="1516"/>
      <c r="AS63" s="1516"/>
      <c r="AT63" s="1516"/>
      <c r="AU63" s="467">
        <f>K63-W63</f>
        <v>28726.010000000002</v>
      </c>
      <c r="AV63" s="467">
        <v>31.7</v>
      </c>
      <c r="AW63" s="467">
        <f>W63/G63/6</f>
        <v>0.57509871031746029</v>
      </c>
      <c r="AX63" s="47">
        <f>K63-L63</f>
        <v>27538.559999999998</v>
      </c>
      <c r="AY63" s="47">
        <v>2</v>
      </c>
      <c r="AZ63" s="1727"/>
      <c r="BA63" s="1727"/>
      <c r="BB63" s="1727"/>
    </row>
    <row r="64" spans="1:84" x14ac:dyDescent="0.25">
      <c r="A64" s="391"/>
      <c r="B64" s="1628"/>
      <c r="C64" s="467"/>
      <c r="D64" s="467"/>
      <c r="E64" s="467"/>
      <c r="F64" s="467"/>
      <c r="G64" s="467"/>
      <c r="H64" s="467"/>
      <c r="I64" s="467"/>
      <c r="J64" s="467"/>
      <c r="K64" s="1071"/>
      <c r="L64" s="1071"/>
      <c r="M64" s="467"/>
      <c r="N64" s="467"/>
      <c r="O64" s="467"/>
      <c r="P64" s="467"/>
      <c r="Q64" s="467"/>
      <c r="R64" s="467"/>
      <c r="S64" s="467"/>
      <c r="T64" s="467"/>
      <c r="U64" s="467"/>
      <c r="V64" s="467"/>
      <c r="W64" s="467"/>
      <c r="X64" s="467"/>
      <c r="Y64" s="467"/>
      <c r="Z64" s="1516"/>
      <c r="AA64" s="1516"/>
      <c r="AB64" s="1516"/>
      <c r="AC64" s="1516"/>
      <c r="AD64" s="1516"/>
      <c r="AE64" s="1516"/>
      <c r="AF64" s="1516"/>
      <c r="AG64" s="1516"/>
      <c r="AH64" s="1516"/>
      <c r="AI64" s="1516"/>
      <c r="AJ64" s="1516"/>
      <c r="AK64" s="1516"/>
      <c r="AL64" s="1516"/>
      <c r="AM64" s="1516"/>
      <c r="AN64" s="1516"/>
      <c r="AO64" s="1516"/>
      <c r="AP64" s="1516"/>
      <c r="AQ64" s="1516"/>
      <c r="AR64" s="1516"/>
      <c r="AS64" s="1516"/>
      <c r="AT64" s="1516"/>
      <c r="AU64" s="467"/>
      <c r="AV64" s="467"/>
      <c r="AW64" s="467"/>
      <c r="AX64" s="47"/>
      <c r="AY64" s="47"/>
      <c r="AZ64" s="1727"/>
      <c r="BA64" s="1727"/>
      <c r="BB64" s="1727"/>
    </row>
    <row r="65" spans="1:54" x14ac:dyDescent="0.25">
      <c r="A65" s="223"/>
      <c r="B65" s="223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Z65" s="1727"/>
      <c r="BA65" s="1727"/>
      <c r="BB65" s="1727"/>
    </row>
    <row r="66" spans="1:54" x14ac:dyDescent="0.25">
      <c r="A66" s="223"/>
      <c r="B66" s="223"/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Z66" s="1727"/>
      <c r="BA66" s="1727"/>
      <c r="BB66" s="1727"/>
    </row>
    <row r="67" spans="1:54" x14ac:dyDescent="0.25">
      <c r="A67" s="223"/>
      <c r="B67" s="223"/>
      <c r="C67" s="223"/>
      <c r="D67" s="223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Z67" s="1727"/>
      <c r="BA67" s="1727"/>
      <c r="BB67" s="1727"/>
    </row>
    <row r="68" spans="1:54" ht="41.25" customHeight="1" x14ac:dyDescent="0.25">
      <c r="A68" s="2033"/>
      <c r="B68" s="2060" t="s">
        <v>184</v>
      </c>
      <c r="C68" s="1985" t="s">
        <v>54</v>
      </c>
      <c r="D68" s="1985" t="s">
        <v>55</v>
      </c>
      <c r="E68" s="1985" t="s">
        <v>56</v>
      </c>
      <c r="F68" s="1985" t="s">
        <v>512</v>
      </c>
      <c r="G68" s="1985" t="s">
        <v>6</v>
      </c>
      <c r="H68" s="1985" t="s">
        <v>779</v>
      </c>
      <c r="I68" s="1722"/>
      <c r="J68" s="1722"/>
      <c r="K68" s="2051" t="s">
        <v>832</v>
      </c>
      <c r="L68" s="2052"/>
      <c r="M68" s="1651"/>
      <c r="N68" s="1651"/>
      <c r="O68" s="1651"/>
      <c r="P68" s="1651"/>
      <c r="Q68" s="1651"/>
      <c r="R68" s="1651"/>
      <c r="S68" s="1651"/>
      <c r="T68" s="1651"/>
      <c r="U68" s="1651"/>
      <c r="V68" s="1651"/>
      <c r="W68" s="2022" t="s">
        <v>748</v>
      </c>
      <c r="X68" s="1997" t="s">
        <v>687</v>
      </c>
      <c r="Y68" s="1997" t="s">
        <v>333</v>
      </c>
      <c r="Z68" s="1879"/>
      <c r="AA68" s="2029"/>
      <c r="AB68" s="2029"/>
      <c r="AC68" s="2029"/>
      <c r="AD68" s="2029"/>
      <c r="AE68" s="2029"/>
      <c r="AF68" s="1879"/>
      <c r="AG68" s="1879"/>
      <c r="AH68" s="2029"/>
      <c r="AI68" s="2054"/>
      <c r="AJ68" s="2053"/>
      <c r="AK68" s="2029"/>
      <c r="AL68" s="1879"/>
      <c r="AM68" s="1879"/>
      <c r="AN68" s="1879"/>
      <c r="AO68" s="1879"/>
      <c r="AP68" s="1879"/>
      <c r="AQ68" s="2029"/>
      <c r="AR68" s="2029"/>
      <c r="AS68" s="1879"/>
      <c r="AT68" s="2029"/>
      <c r="AU68" s="2009" t="s">
        <v>175</v>
      </c>
      <c r="AV68" s="2005" t="s">
        <v>724</v>
      </c>
      <c r="AW68" s="2001" t="s">
        <v>182</v>
      </c>
      <c r="AX68" s="2001" t="s">
        <v>566</v>
      </c>
      <c r="AY68" s="1999" t="s">
        <v>870</v>
      </c>
      <c r="AZ68" s="1727"/>
      <c r="BA68" s="1727"/>
      <c r="BB68" s="1727"/>
    </row>
    <row r="69" spans="1:54" ht="21.75" customHeight="1" x14ac:dyDescent="0.25">
      <c r="A69" s="2034"/>
      <c r="B69" s="2061"/>
      <c r="C69" s="1986"/>
      <c r="D69" s="1986"/>
      <c r="E69" s="1986"/>
      <c r="F69" s="1986"/>
      <c r="G69" s="1986"/>
      <c r="H69" s="1986"/>
      <c r="I69" s="1721"/>
      <c r="J69" s="1721"/>
      <c r="K69" s="1643" t="s">
        <v>15</v>
      </c>
      <c r="L69" s="1644" t="s">
        <v>16</v>
      </c>
      <c r="M69" s="1643"/>
      <c r="N69" s="1644"/>
      <c r="O69" s="1643"/>
      <c r="P69" s="1644"/>
      <c r="Q69" s="1643"/>
      <c r="R69" s="1644"/>
      <c r="S69" s="1643"/>
      <c r="T69" s="1644"/>
      <c r="U69" s="1643"/>
      <c r="V69" s="1644"/>
      <c r="W69" s="2023"/>
      <c r="X69" s="1998"/>
      <c r="Y69" s="1998"/>
      <c r="Z69" s="1880"/>
      <c r="AA69" s="2030"/>
      <c r="AB69" s="2030"/>
      <c r="AC69" s="2030"/>
      <c r="AD69" s="2030"/>
      <c r="AE69" s="2030"/>
      <c r="AF69" s="1880"/>
      <c r="AG69" s="1880"/>
      <c r="AH69" s="2030"/>
      <c r="AI69" s="2055"/>
      <c r="AJ69" s="2053"/>
      <c r="AK69" s="2030"/>
      <c r="AL69" s="1880"/>
      <c r="AM69" s="1880"/>
      <c r="AN69" s="1880"/>
      <c r="AO69" s="1880"/>
      <c r="AP69" s="1880"/>
      <c r="AQ69" s="2030"/>
      <c r="AR69" s="2030"/>
      <c r="AS69" s="1880"/>
      <c r="AT69" s="2030"/>
      <c r="AU69" s="2009"/>
      <c r="AV69" s="2006"/>
      <c r="AW69" s="2002"/>
      <c r="AX69" s="2002"/>
      <c r="AY69" s="2000"/>
      <c r="AZ69" s="1727"/>
      <c r="BA69" s="1727"/>
      <c r="BB69" s="1727"/>
    </row>
    <row r="70" spans="1:54" x14ac:dyDescent="0.25">
      <c r="A70" s="391">
        <v>1</v>
      </c>
      <c r="B70" s="1627" t="s">
        <v>778</v>
      </c>
      <c r="C70" s="1071" t="s">
        <v>780</v>
      </c>
      <c r="D70" s="467"/>
      <c r="E70" s="467"/>
      <c r="F70" s="467">
        <v>4.13</v>
      </c>
      <c r="G70" s="467">
        <v>3360</v>
      </c>
      <c r="H70" s="467"/>
      <c r="I70" s="467"/>
      <c r="J70" s="467"/>
      <c r="K70" s="467">
        <v>83260.800000000003</v>
      </c>
      <c r="L70" s="467">
        <v>26393.67</v>
      </c>
      <c r="M70" s="467"/>
      <c r="N70" s="467"/>
      <c r="O70" s="467"/>
      <c r="P70" s="467"/>
      <c r="Q70" s="467"/>
      <c r="R70" s="467"/>
      <c r="S70" s="467"/>
      <c r="T70" s="467"/>
      <c r="U70" s="467"/>
      <c r="V70" s="467"/>
      <c r="W70" s="1495"/>
      <c r="X70" s="467"/>
      <c r="Y70" s="467"/>
      <c r="Z70" s="1516"/>
      <c r="AA70" s="1516"/>
      <c r="AB70" s="1516"/>
      <c r="AC70" s="1516"/>
      <c r="AD70" s="1516"/>
      <c r="AE70" s="1516"/>
      <c r="AF70" s="1516"/>
      <c r="AG70" s="1516"/>
      <c r="AH70" s="1516"/>
      <c r="AI70" s="1516"/>
      <c r="AJ70" s="1516"/>
      <c r="AK70" s="1516"/>
      <c r="AL70" s="1516"/>
      <c r="AM70" s="1516"/>
      <c r="AN70" s="1516"/>
      <c r="AO70" s="1516"/>
      <c r="AP70" s="1516"/>
      <c r="AQ70" s="1516"/>
      <c r="AR70" s="1516"/>
      <c r="AS70" s="1516"/>
      <c r="AT70" s="1516"/>
      <c r="AU70" s="467">
        <f>K70-W70</f>
        <v>83260.800000000003</v>
      </c>
      <c r="AV70" s="467">
        <f>L70/K70*100</f>
        <v>31.699995676236593</v>
      </c>
      <c r="AW70" s="467"/>
      <c r="AX70" s="47">
        <f>K70-L70</f>
        <v>56867.130000000005</v>
      </c>
      <c r="AY70" s="47">
        <v>4.13</v>
      </c>
      <c r="AZ70" s="1727"/>
      <c r="BA70" s="1727"/>
      <c r="BB70" s="1727"/>
    </row>
    <row r="71" spans="1:54" x14ac:dyDescent="0.25">
      <c r="A71" s="391"/>
      <c r="B71" s="1628"/>
      <c r="C71" s="467"/>
      <c r="D71" s="467"/>
      <c r="E71" s="467"/>
      <c r="F71" s="467"/>
      <c r="G71" s="467"/>
      <c r="H71" s="467"/>
      <c r="I71" s="467"/>
      <c r="J71" s="467"/>
      <c r="K71" s="467"/>
      <c r="L71" s="467"/>
      <c r="M71" s="467"/>
      <c r="N71" s="467"/>
      <c r="O71" s="467"/>
      <c r="P71" s="467"/>
      <c r="Q71" s="467"/>
      <c r="R71" s="467"/>
      <c r="S71" s="467"/>
      <c r="T71" s="467"/>
      <c r="U71" s="467"/>
      <c r="V71" s="467"/>
      <c r="W71" s="1495"/>
      <c r="X71" s="467"/>
      <c r="Y71" s="467"/>
      <c r="Z71" s="1516"/>
      <c r="AA71" s="1516"/>
      <c r="AB71" s="1516"/>
      <c r="AC71" s="1516"/>
      <c r="AD71" s="1516"/>
      <c r="AE71" s="1516"/>
      <c r="AF71" s="1516"/>
      <c r="AG71" s="1516"/>
      <c r="AH71" s="1516"/>
      <c r="AI71" s="1516"/>
      <c r="AJ71" s="1516"/>
      <c r="AK71" s="1516"/>
      <c r="AL71" s="1516"/>
      <c r="AM71" s="1516"/>
      <c r="AN71" s="1516"/>
      <c r="AO71" s="1516"/>
      <c r="AP71" s="1516"/>
      <c r="AQ71" s="1516"/>
      <c r="AR71" s="1516"/>
      <c r="AS71" s="1516"/>
      <c r="AT71" s="1516"/>
      <c r="AU71" s="467"/>
      <c r="AV71" s="467"/>
      <c r="AW71" s="467"/>
      <c r="AX71" s="47"/>
      <c r="AY71" s="47"/>
      <c r="AZ71" s="1727"/>
      <c r="BA71" s="1727"/>
      <c r="BB71" s="1727"/>
    </row>
    <row r="72" spans="1:54" x14ac:dyDescent="0.25">
      <c r="A72" s="223"/>
      <c r="B72" s="223"/>
      <c r="C72" s="223"/>
      <c r="D72" s="223"/>
      <c r="E72" s="223"/>
      <c r="F72" s="223"/>
      <c r="G72" s="223" t="s">
        <v>820</v>
      </c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  <c r="AA72" s="223"/>
      <c r="AB72" s="223"/>
      <c r="AC72" s="223"/>
      <c r="AD72" s="223"/>
      <c r="AE72" s="223"/>
      <c r="AF72" s="223"/>
      <c r="AG72" s="223"/>
      <c r="AH72" s="223"/>
      <c r="AI72" s="223"/>
      <c r="AJ72" s="223"/>
      <c r="AK72" s="223"/>
      <c r="AL72" s="223"/>
      <c r="AM72" s="223"/>
      <c r="AN72" s="223"/>
      <c r="AO72" s="223"/>
      <c r="AP72" s="223"/>
      <c r="AQ72" s="223"/>
      <c r="AR72" s="223"/>
      <c r="AS72" s="223"/>
      <c r="AT72" s="223"/>
      <c r="AU72" s="223"/>
      <c r="AV72" s="223"/>
      <c r="AW72" s="223"/>
      <c r="AX72" s="223"/>
      <c r="AY72" s="223"/>
      <c r="AZ72" s="1727"/>
      <c r="BA72" s="1727"/>
      <c r="BB72" s="1727"/>
    </row>
    <row r="73" spans="1:54" x14ac:dyDescent="0.25">
      <c r="A73" s="223"/>
      <c r="B73" s="223"/>
      <c r="C73" s="223"/>
      <c r="D73" s="223"/>
      <c r="E73" s="223"/>
      <c r="F73" s="223"/>
      <c r="G73" s="223"/>
      <c r="H73" s="223"/>
      <c r="I73" s="223"/>
      <c r="J73" s="223"/>
      <c r="K73" s="346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  <c r="AA73" s="223"/>
      <c r="AB73" s="223"/>
      <c r="AC73" s="223"/>
      <c r="AD73" s="223"/>
      <c r="AE73" s="223"/>
      <c r="AF73" s="223"/>
      <c r="AG73" s="223"/>
      <c r="AH73" s="223"/>
      <c r="AI73" s="223"/>
      <c r="AJ73" s="223"/>
      <c r="AK73" s="223"/>
      <c r="AL73" s="223"/>
      <c r="AM73" s="223"/>
      <c r="AN73" s="223"/>
      <c r="AO73" s="223"/>
      <c r="AP73" s="223"/>
      <c r="AQ73" s="223"/>
      <c r="AR73" s="223"/>
      <c r="AS73" s="223"/>
      <c r="AT73" s="223"/>
      <c r="AU73" s="223"/>
      <c r="AV73" s="223"/>
      <c r="AW73" s="223"/>
      <c r="AX73" s="223"/>
      <c r="AY73" s="223"/>
      <c r="AZ73" s="1727"/>
      <c r="BA73" s="1727"/>
      <c r="BB73" s="1727"/>
    </row>
    <row r="74" spans="1:54" x14ac:dyDescent="0.25">
      <c r="A74" s="223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  <c r="AA74" s="223"/>
      <c r="AB74" s="223"/>
      <c r="AC74" s="223"/>
      <c r="AD74" s="223"/>
      <c r="AE74" s="223"/>
      <c r="AF74" s="223"/>
      <c r="AG74" s="223"/>
      <c r="AH74" s="223"/>
      <c r="AI74" s="223"/>
      <c r="AJ74" s="223"/>
      <c r="AK74" s="223"/>
      <c r="AL74" s="223"/>
      <c r="AM74" s="223"/>
      <c r="AN74" s="223"/>
      <c r="AO74" s="223"/>
      <c r="AP74" s="223"/>
      <c r="AQ74" s="223"/>
      <c r="AR74" s="223"/>
      <c r="AS74" s="223"/>
      <c r="AT74" s="223"/>
      <c r="AU74" s="223"/>
      <c r="AV74" s="223"/>
      <c r="AW74" s="223"/>
      <c r="AX74" s="223"/>
      <c r="AY74" s="223"/>
      <c r="AZ74" s="1727"/>
      <c r="BA74" s="1727"/>
      <c r="BB74" s="1727"/>
    </row>
    <row r="75" spans="1:54" x14ac:dyDescent="0.25">
      <c r="A75" s="223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223"/>
      <c r="Z75" s="223"/>
      <c r="AA75" s="223"/>
      <c r="AB75" s="223"/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1727"/>
      <c r="BA75" s="1727"/>
      <c r="BB75" s="1727"/>
    </row>
    <row r="76" spans="1:54" x14ac:dyDescent="0.25">
      <c r="A76" s="223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Z76" s="1727"/>
      <c r="BA76" s="1727"/>
      <c r="BB76" s="1727"/>
    </row>
    <row r="77" spans="1:54" x14ac:dyDescent="0.25">
      <c r="A77" s="223"/>
      <c r="B77" s="223"/>
      <c r="C77" s="223"/>
      <c r="D77" s="223"/>
      <c r="E77" s="223"/>
      <c r="F77" s="223"/>
      <c r="G77" s="223"/>
      <c r="H77" s="223"/>
      <c r="I77" s="223"/>
      <c r="J77" s="223"/>
      <c r="K77" s="1705"/>
      <c r="L77" s="1705"/>
      <c r="M77" s="1705"/>
      <c r="N77" s="1705"/>
      <c r="O77" s="1705"/>
      <c r="P77" s="1705"/>
      <c r="Q77" s="1705"/>
      <c r="R77" s="1705"/>
      <c r="S77" s="1705"/>
      <c r="T77" s="1705"/>
      <c r="U77" s="1705"/>
      <c r="V77" s="1705"/>
      <c r="W77" s="1705"/>
      <c r="X77" s="1705"/>
      <c r="Y77" s="1705"/>
      <c r="Z77" s="223"/>
      <c r="AA77" s="223"/>
      <c r="AB77" s="223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Z77" s="1727"/>
      <c r="BA77" s="1727"/>
      <c r="BB77" s="1727"/>
    </row>
    <row r="78" spans="1:54" ht="38.25" customHeight="1" x14ac:dyDescent="0.25">
      <c r="A78" s="2033"/>
      <c r="B78" s="2060" t="s">
        <v>184</v>
      </c>
      <c r="C78" s="1985" t="s">
        <v>54</v>
      </c>
      <c r="D78" s="1985" t="s">
        <v>55</v>
      </c>
      <c r="E78" s="1985" t="s">
        <v>56</v>
      </c>
      <c r="F78" s="1985" t="s">
        <v>512</v>
      </c>
      <c r="G78" s="1985" t="s">
        <v>6</v>
      </c>
      <c r="H78" s="1985" t="s">
        <v>779</v>
      </c>
      <c r="I78" s="1722"/>
      <c r="J78" s="1722"/>
      <c r="K78" s="2051" t="s">
        <v>781</v>
      </c>
      <c r="L78" s="2052"/>
      <c r="M78" s="1651"/>
      <c r="N78" s="1651"/>
      <c r="O78" s="1651"/>
      <c r="P78" s="1651"/>
      <c r="Q78" s="1651"/>
      <c r="R78" s="1651"/>
      <c r="S78" s="1651"/>
      <c r="T78" s="1651"/>
      <c r="U78" s="1651"/>
      <c r="V78" s="1651"/>
      <c r="W78" s="2022" t="s">
        <v>748</v>
      </c>
      <c r="X78" s="1997" t="s">
        <v>687</v>
      </c>
      <c r="Y78" s="1997" t="s">
        <v>333</v>
      </c>
      <c r="Z78" s="1879"/>
      <c r="AA78" s="2029"/>
      <c r="AB78" s="2029"/>
      <c r="AC78" s="2029"/>
      <c r="AD78" s="2029"/>
      <c r="AE78" s="2029"/>
      <c r="AF78" s="1879"/>
      <c r="AG78" s="1879"/>
      <c r="AH78" s="2029"/>
      <c r="AI78" s="2054"/>
      <c r="AJ78" s="2053"/>
      <c r="AK78" s="2029"/>
      <c r="AL78" s="1879"/>
      <c r="AM78" s="1879"/>
      <c r="AN78" s="1879"/>
      <c r="AO78" s="1879"/>
      <c r="AP78" s="1879"/>
      <c r="AQ78" s="2029"/>
      <c r="AR78" s="2029"/>
      <c r="AS78" s="1879"/>
      <c r="AT78" s="2029"/>
      <c r="AU78" s="2009" t="s">
        <v>175</v>
      </c>
      <c r="AV78" s="2005" t="s">
        <v>724</v>
      </c>
      <c r="AW78" s="2001" t="s">
        <v>182</v>
      </c>
      <c r="AX78" s="2001" t="s">
        <v>566</v>
      </c>
      <c r="AY78" s="1999" t="s">
        <v>870</v>
      </c>
      <c r="AZ78" s="1727"/>
      <c r="BA78" s="1727"/>
      <c r="BB78" s="1727"/>
    </row>
    <row r="79" spans="1:54" ht="41.25" customHeight="1" x14ac:dyDescent="0.25">
      <c r="A79" s="2034"/>
      <c r="B79" s="2061"/>
      <c r="C79" s="1986"/>
      <c r="D79" s="1986"/>
      <c r="E79" s="1986"/>
      <c r="F79" s="1986"/>
      <c r="G79" s="1986"/>
      <c r="H79" s="1986"/>
      <c r="I79" s="1721"/>
      <c r="J79" s="1721"/>
      <c r="K79" s="1643" t="s">
        <v>15</v>
      </c>
      <c r="L79" s="1644" t="s">
        <v>16</v>
      </c>
      <c r="M79" s="1643"/>
      <c r="N79" s="1644"/>
      <c r="O79" s="1643"/>
      <c r="P79" s="1644"/>
      <c r="Q79" s="1643"/>
      <c r="R79" s="1644"/>
      <c r="S79" s="1643"/>
      <c r="T79" s="1644"/>
      <c r="U79" s="1643"/>
      <c r="V79" s="1644"/>
      <c r="W79" s="2023"/>
      <c r="X79" s="1998"/>
      <c r="Y79" s="1998"/>
      <c r="Z79" s="1880"/>
      <c r="AA79" s="2030"/>
      <c r="AB79" s="2030"/>
      <c r="AC79" s="2030"/>
      <c r="AD79" s="2030"/>
      <c r="AE79" s="2030"/>
      <c r="AF79" s="1880"/>
      <c r="AG79" s="1880"/>
      <c r="AH79" s="2030"/>
      <c r="AI79" s="2055"/>
      <c r="AJ79" s="2053"/>
      <c r="AK79" s="2030"/>
      <c r="AL79" s="1880"/>
      <c r="AM79" s="1880"/>
      <c r="AN79" s="1880"/>
      <c r="AO79" s="1880"/>
      <c r="AP79" s="1880"/>
      <c r="AQ79" s="2030"/>
      <c r="AR79" s="2030"/>
      <c r="AS79" s="1880"/>
      <c r="AT79" s="2030"/>
      <c r="AU79" s="2009"/>
      <c r="AV79" s="2006"/>
      <c r="AW79" s="2002"/>
      <c r="AX79" s="2002"/>
      <c r="AY79" s="2000"/>
      <c r="AZ79" s="1727"/>
      <c r="BA79" s="1727"/>
      <c r="BB79" s="1727"/>
    </row>
    <row r="80" spans="1:54" ht="15" customHeight="1" x14ac:dyDescent="0.25">
      <c r="A80" s="391"/>
      <c r="B80" s="1627" t="s">
        <v>778</v>
      </c>
      <c r="C80" s="1071" t="s">
        <v>780</v>
      </c>
      <c r="D80" s="467"/>
      <c r="E80" s="467"/>
      <c r="F80" s="467">
        <v>1</v>
      </c>
      <c r="G80" s="467">
        <v>3360</v>
      </c>
      <c r="H80" s="467"/>
      <c r="I80" s="467"/>
      <c r="J80" s="467"/>
      <c r="K80" s="467">
        <v>20160.419999999998</v>
      </c>
      <c r="L80" s="467">
        <v>6359.33</v>
      </c>
      <c r="M80" s="1516"/>
      <c r="N80" s="1516"/>
      <c r="O80" s="1516"/>
      <c r="P80" s="1516"/>
      <c r="Q80" s="1516"/>
      <c r="R80" s="1516"/>
      <c r="S80" s="1516"/>
      <c r="T80" s="1516"/>
      <c r="U80" s="1516"/>
      <c r="V80" s="1516"/>
      <c r="W80" s="467">
        <f>X80</f>
        <v>566.95000000000005</v>
      </c>
      <c r="X80" s="467">
        <v>566.95000000000005</v>
      </c>
      <c r="Y80" s="467"/>
      <c r="Z80" s="467"/>
      <c r="AA80" s="467"/>
      <c r="AB80" s="467"/>
      <c r="AC80" s="467"/>
      <c r="AD80" s="467"/>
      <c r="AE80" s="467"/>
      <c r="AF80" s="467"/>
      <c r="AG80" s="467"/>
      <c r="AH80" s="467"/>
      <c r="AI80" s="467"/>
      <c r="AJ80" s="467"/>
      <c r="AK80" s="467"/>
      <c r="AL80" s="467"/>
      <c r="AM80" s="467"/>
      <c r="AN80" s="467"/>
      <c r="AO80" s="467"/>
      <c r="AP80" s="467"/>
      <c r="AQ80" s="467"/>
      <c r="AR80" s="467"/>
      <c r="AS80" s="467"/>
      <c r="AT80" s="467"/>
      <c r="AU80" s="467">
        <f>K80-W80</f>
        <v>19593.469999999998</v>
      </c>
      <c r="AV80" s="467">
        <v>31.54</v>
      </c>
      <c r="AW80" s="467"/>
      <c r="AX80" s="47">
        <f>K80-L80</f>
        <v>13801.089999999998</v>
      </c>
      <c r="AY80" s="47">
        <v>3.17</v>
      </c>
      <c r="AZ80" s="1727"/>
      <c r="BA80" s="1727"/>
      <c r="BB80" s="1727"/>
    </row>
    <row r="81" spans="1:54" x14ac:dyDescent="0.25">
      <c r="A81" s="391"/>
      <c r="B81" s="1627" t="s">
        <v>833</v>
      </c>
      <c r="C81" s="467"/>
      <c r="D81" s="467"/>
      <c r="E81" s="467"/>
      <c r="F81" s="467"/>
      <c r="G81" s="467"/>
      <c r="H81" s="467"/>
      <c r="I81" s="467"/>
      <c r="J81" s="467"/>
      <c r="K81" s="467">
        <v>475574.82</v>
      </c>
      <c r="L81" s="467">
        <v>150725.69</v>
      </c>
      <c r="M81" s="467"/>
      <c r="N81" s="467"/>
      <c r="O81" s="467"/>
      <c r="P81" s="467"/>
      <c r="Q81" s="467"/>
      <c r="R81" s="467"/>
      <c r="S81" s="467"/>
      <c r="T81" s="467"/>
      <c r="U81" s="467"/>
      <c r="V81" s="467"/>
      <c r="W81" s="467"/>
      <c r="X81" s="467"/>
      <c r="Y81" s="467"/>
      <c r="Z81" s="467"/>
      <c r="AA81" s="467"/>
      <c r="AB81" s="467"/>
      <c r="AC81" s="467"/>
      <c r="AD81" s="467"/>
      <c r="AE81" s="467"/>
      <c r="AF81" s="467"/>
      <c r="AG81" s="467"/>
      <c r="AH81" s="467"/>
      <c r="AI81" s="467"/>
      <c r="AJ81" s="467"/>
      <c r="AK81" s="467"/>
      <c r="AL81" s="467"/>
      <c r="AM81" s="467"/>
      <c r="AN81" s="467"/>
      <c r="AO81" s="467"/>
      <c r="AP81" s="467"/>
      <c r="AQ81" s="467"/>
      <c r="AR81" s="467"/>
      <c r="AS81" s="467"/>
      <c r="AT81" s="467"/>
      <c r="AU81" s="467"/>
      <c r="AV81" s="467"/>
      <c r="AW81" s="467"/>
      <c r="AX81" s="47"/>
      <c r="AY81" s="47"/>
      <c r="AZ81" s="1727"/>
      <c r="BA81" s="1727"/>
      <c r="BB81" s="1727"/>
    </row>
    <row r="82" spans="1:54" x14ac:dyDescent="0.25">
      <c r="A82" s="223"/>
      <c r="B82" s="223"/>
      <c r="C82" s="223"/>
      <c r="D82" s="223"/>
      <c r="E82" s="223"/>
      <c r="F82" s="234">
        <f>F54+F63+F70+F80</f>
        <v>23.59</v>
      </c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BB82" s="250"/>
    </row>
    <row r="83" spans="1:54" x14ac:dyDescent="0.25">
      <c r="A83" s="223"/>
      <c r="B83" s="344" t="s">
        <v>821</v>
      </c>
      <c r="C83" s="223"/>
      <c r="D83" s="223"/>
      <c r="E83" s="223"/>
      <c r="F83" s="223"/>
      <c r="G83" s="223"/>
      <c r="H83" s="223"/>
      <c r="I83" s="223"/>
      <c r="J83" s="223"/>
      <c r="K83" s="346">
        <f>Q14+K54+K63+K70+K80</f>
        <v>3223886.8499999996</v>
      </c>
      <c r="L83" s="346">
        <f>R14+L54+L63+L70+L80</f>
        <v>2692853.33</v>
      </c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BB83" s="250"/>
    </row>
    <row r="84" spans="1:54" x14ac:dyDescent="0.25">
      <c r="A84" s="223"/>
      <c r="B84" s="223"/>
      <c r="C84" s="223"/>
      <c r="D84" s="223"/>
      <c r="E84" s="223"/>
      <c r="F84" s="223"/>
      <c r="G84" s="223"/>
      <c r="H84" s="223"/>
      <c r="I84" s="223"/>
      <c r="J84" s="223"/>
      <c r="K84" s="223" t="s">
        <v>180</v>
      </c>
      <c r="L84" s="223" t="s">
        <v>180</v>
      </c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BB84" s="250"/>
    </row>
    <row r="85" spans="1:54" x14ac:dyDescent="0.25">
      <c r="A85" s="1631">
        <v>1</v>
      </c>
      <c r="B85" s="1629" t="s">
        <v>782</v>
      </c>
      <c r="C85" s="1430"/>
      <c r="D85" s="1430"/>
      <c r="E85" s="1430"/>
      <c r="F85" s="1430"/>
      <c r="G85" s="1430"/>
      <c r="H85" s="1430"/>
      <c r="I85" s="1430"/>
      <c r="J85" s="1430"/>
      <c r="K85" s="1430"/>
      <c r="L85" s="1430"/>
      <c r="M85" s="1430"/>
      <c r="N85" s="1430"/>
      <c r="O85" s="1430"/>
      <c r="P85" s="1430"/>
      <c r="Q85" s="1430"/>
      <c r="R85" s="1430"/>
      <c r="S85" s="1430"/>
      <c r="T85" s="1430"/>
      <c r="U85" s="1430"/>
      <c r="V85" s="1430"/>
      <c r="W85" s="1430"/>
      <c r="X85" s="1430"/>
      <c r="Y85" s="1430"/>
      <c r="Z85" s="1430"/>
      <c r="AA85" s="1430"/>
      <c r="AB85" s="1430"/>
      <c r="AC85" s="1430"/>
      <c r="AD85" s="1430"/>
      <c r="AE85" s="1430"/>
      <c r="AF85" s="1430"/>
      <c r="AG85" s="1430"/>
      <c r="AH85" s="1430"/>
      <c r="AI85" s="1430"/>
      <c r="AJ85" s="1430"/>
      <c r="AK85" s="1430"/>
      <c r="AL85" s="1430"/>
      <c r="AM85" s="1430"/>
      <c r="AN85" s="1430"/>
      <c r="AO85" s="1430"/>
      <c r="AP85" s="1430"/>
      <c r="AQ85" s="250"/>
      <c r="AR85" s="250"/>
      <c r="AS85" s="250"/>
      <c r="AT85" s="250"/>
      <c r="AU85" s="250"/>
      <c r="AV85" s="250"/>
      <c r="AW85" s="250"/>
      <c r="AX85" s="250"/>
      <c r="AY85" s="250"/>
      <c r="AZ85" s="250"/>
      <c r="BA85" s="250"/>
      <c r="BB85" s="250"/>
    </row>
    <row r="86" spans="1:54" x14ac:dyDescent="0.25">
      <c r="A86" s="1631">
        <v>2</v>
      </c>
      <c r="B86" s="1629" t="s">
        <v>783</v>
      </c>
      <c r="C86" s="1629">
        <v>40320</v>
      </c>
      <c r="D86" s="1430"/>
      <c r="E86" s="1430"/>
      <c r="F86" s="1430"/>
      <c r="G86" s="1430"/>
      <c r="H86" s="1430"/>
      <c r="I86" s="1430"/>
      <c r="J86" s="1430"/>
      <c r="K86" s="1712"/>
      <c r="L86" s="1712"/>
      <c r="M86" s="1430"/>
      <c r="N86" s="1430"/>
      <c r="O86" s="1430"/>
      <c r="P86" s="1430"/>
      <c r="Q86" s="1430"/>
      <c r="R86" s="1430"/>
      <c r="S86" s="1430"/>
      <c r="T86" s="1430"/>
      <c r="U86" s="1430"/>
      <c r="V86" s="1430"/>
      <c r="W86" s="1430"/>
      <c r="X86" s="1430"/>
      <c r="Y86" s="1430"/>
      <c r="Z86" s="1430"/>
      <c r="AA86" s="1430"/>
      <c r="AB86" s="1430"/>
      <c r="AC86" s="1430"/>
      <c r="AD86" s="1430"/>
      <c r="AE86" s="1430"/>
      <c r="AF86" s="1430"/>
      <c r="AG86" s="1430"/>
      <c r="AH86" s="1430"/>
      <c r="AI86" s="1430"/>
      <c r="AJ86" s="1430"/>
      <c r="AK86" s="1430"/>
      <c r="AL86" s="1430"/>
      <c r="AM86" s="1430"/>
      <c r="AN86" s="1430"/>
      <c r="AO86" s="1430"/>
      <c r="AP86" s="1430"/>
      <c r="AQ86" s="250"/>
      <c r="AR86" s="250"/>
      <c r="AS86" s="250"/>
      <c r="AT86" s="250"/>
      <c r="AU86" s="250"/>
      <c r="AV86" s="250"/>
      <c r="AW86" s="250"/>
      <c r="AX86" s="250"/>
      <c r="AY86" s="250"/>
      <c r="AZ86" s="250"/>
      <c r="BA86" s="250"/>
      <c r="BB86" s="250"/>
    </row>
    <row r="87" spans="1:54" x14ac:dyDescent="0.25">
      <c r="A87" s="1631"/>
      <c r="B87" s="1629" t="s">
        <v>784</v>
      </c>
      <c r="C87" s="1630">
        <v>0.317</v>
      </c>
      <c r="D87" s="1430"/>
      <c r="E87" s="1430"/>
      <c r="F87" s="1430"/>
      <c r="G87" s="1430"/>
      <c r="H87" s="1430"/>
      <c r="I87" s="1430"/>
      <c r="J87" s="1430"/>
      <c r="K87" s="1430"/>
      <c r="L87" s="1430"/>
      <c r="M87" s="1430"/>
      <c r="N87" s="1430"/>
      <c r="O87" s="1430"/>
      <c r="P87" s="1430"/>
      <c r="Q87" s="1430"/>
      <c r="R87" s="1430"/>
      <c r="S87" s="1430"/>
      <c r="T87" s="1430"/>
      <c r="U87" s="1430"/>
      <c r="V87" s="1430"/>
      <c r="W87" s="1430"/>
      <c r="X87" s="1430"/>
      <c r="Y87" s="1430"/>
      <c r="Z87" s="1430"/>
      <c r="AA87" s="1430"/>
      <c r="AB87" s="1430"/>
      <c r="AC87" s="1430"/>
      <c r="AD87" s="1430"/>
      <c r="AE87" s="1430"/>
      <c r="AF87" s="1430"/>
      <c r="AG87" s="1430"/>
      <c r="AH87" s="1430"/>
      <c r="AI87" s="1430"/>
      <c r="AJ87" s="1430"/>
      <c r="AK87" s="1430"/>
      <c r="AL87" s="1430"/>
      <c r="AM87" s="1430"/>
      <c r="AN87" s="1430"/>
      <c r="AO87" s="1430"/>
      <c r="AP87" s="1430"/>
      <c r="AQ87" s="250"/>
      <c r="AR87" s="250"/>
      <c r="AS87" s="250"/>
      <c r="AT87" s="250"/>
      <c r="AU87" s="250"/>
      <c r="AV87" s="250"/>
      <c r="AW87" s="250"/>
      <c r="AX87" s="250"/>
      <c r="AY87" s="250"/>
      <c r="AZ87" s="250"/>
      <c r="BA87" s="250"/>
      <c r="BB87" s="250"/>
    </row>
    <row r="88" spans="1:54" ht="25.5" x14ac:dyDescent="0.25">
      <c r="A88" s="1631">
        <v>3</v>
      </c>
      <c r="B88" s="1629" t="s">
        <v>785</v>
      </c>
      <c r="C88" s="1430"/>
      <c r="D88" s="1430"/>
      <c r="E88" s="1430"/>
      <c r="F88" s="1430"/>
      <c r="G88" s="1430"/>
      <c r="H88" s="1430"/>
      <c r="I88" s="1430"/>
      <c r="J88" s="1430"/>
      <c r="K88" s="1430"/>
      <c r="L88" s="1430"/>
      <c r="M88" s="1430"/>
      <c r="N88" s="1430"/>
      <c r="O88" s="1430"/>
      <c r="P88" s="1430"/>
      <c r="Q88" s="1430"/>
      <c r="R88" s="1430"/>
      <c r="S88" s="1430"/>
      <c r="T88" s="1430"/>
      <c r="U88" s="1430"/>
      <c r="V88" s="1430"/>
      <c r="W88" s="1430"/>
      <c r="X88" s="1430"/>
      <c r="Y88" s="1430"/>
      <c r="Z88" s="1430"/>
      <c r="AA88" s="1430"/>
      <c r="AB88" s="1430"/>
      <c r="AC88" s="1430"/>
      <c r="AD88" s="1430"/>
      <c r="AE88" s="1430"/>
      <c r="AF88" s="1430"/>
      <c r="AG88" s="1430"/>
      <c r="AH88" s="1430"/>
      <c r="AI88" s="1430"/>
      <c r="AJ88" s="1430"/>
      <c r="AK88" s="1430"/>
      <c r="AL88" s="1430"/>
      <c r="AM88" s="1430"/>
      <c r="AN88" s="1430"/>
      <c r="AO88" s="1430"/>
      <c r="AP88" s="1430"/>
      <c r="AQ88" s="250"/>
      <c r="AR88" s="250"/>
      <c r="AS88" s="250"/>
      <c r="AT88" s="250"/>
      <c r="AU88" s="250"/>
      <c r="AV88" s="250"/>
      <c r="AW88" s="250"/>
      <c r="AX88" s="250"/>
      <c r="AY88" s="250"/>
      <c r="AZ88" s="250"/>
      <c r="BA88" s="250"/>
      <c r="BB88" s="250"/>
    </row>
    <row r="89" spans="1:54" x14ac:dyDescent="0.25">
      <c r="A89" s="1430"/>
      <c r="B89" s="1430"/>
      <c r="C89" s="1430"/>
      <c r="D89" s="1430"/>
      <c r="E89" s="1430"/>
      <c r="F89" s="1430"/>
      <c r="G89" s="1430"/>
      <c r="H89" s="1430"/>
      <c r="I89" s="1430"/>
      <c r="J89" s="1430"/>
      <c r="K89" s="1430"/>
      <c r="L89" s="1430"/>
      <c r="M89" s="1430"/>
      <c r="N89" s="1430"/>
      <c r="O89" s="1430"/>
      <c r="P89" s="1430"/>
      <c r="Q89" s="1430"/>
      <c r="R89" s="1430"/>
      <c r="S89" s="1430"/>
      <c r="T89" s="1430"/>
      <c r="U89" s="1430"/>
      <c r="V89" s="1430"/>
      <c r="W89" s="1430"/>
      <c r="X89" s="1430"/>
      <c r="Y89" s="1430"/>
      <c r="Z89" s="1430"/>
      <c r="AA89" s="1430"/>
      <c r="AB89" s="1430"/>
      <c r="AC89" s="1430"/>
      <c r="AD89" s="1430"/>
      <c r="AE89" s="1430"/>
      <c r="AF89" s="1430"/>
      <c r="AG89" s="1430"/>
      <c r="AH89" s="1430"/>
      <c r="AI89" s="1430"/>
      <c r="AJ89" s="1430"/>
      <c r="AK89" s="1430"/>
      <c r="AL89" s="1430"/>
      <c r="AM89" s="1430"/>
      <c r="AN89" s="1430"/>
      <c r="AO89" s="1430"/>
      <c r="AP89" s="1430"/>
      <c r="AQ89" s="250"/>
      <c r="AR89" s="250"/>
      <c r="AS89" s="250"/>
      <c r="AT89" s="250"/>
      <c r="AU89" s="250"/>
      <c r="AV89" s="250"/>
      <c r="AW89" s="250"/>
      <c r="AX89" s="250"/>
      <c r="AY89" s="250"/>
      <c r="AZ89" s="250"/>
      <c r="BA89" s="250"/>
      <c r="BB89" s="250"/>
    </row>
    <row r="90" spans="1:54" x14ac:dyDescent="0.25">
      <c r="A90" s="1430"/>
      <c r="B90" s="1430"/>
      <c r="C90" s="1430"/>
      <c r="D90" s="1430"/>
      <c r="E90" s="1430"/>
      <c r="F90" s="1430"/>
      <c r="G90" s="1430"/>
      <c r="H90" s="1430"/>
      <c r="I90" s="1430"/>
      <c r="J90" s="1430"/>
      <c r="K90" s="1430"/>
      <c r="L90" s="1430"/>
      <c r="M90" s="1430"/>
      <c r="N90" s="1430"/>
      <c r="O90" s="1430"/>
      <c r="P90" s="1430"/>
      <c r="Q90" s="1430"/>
      <c r="R90" s="1430"/>
      <c r="S90" s="1430"/>
      <c r="T90" s="1430"/>
      <c r="U90" s="1430"/>
      <c r="V90" s="1430"/>
      <c r="W90" s="1430"/>
      <c r="X90" s="1430"/>
      <c r="Y90" s="1430"/>
      <c r="Z90" s="1430"/>
      <c r="AA90" s="1430"/>
      <c r="AB90" s="1430"/>
      <c r="AC90" s="1430"/>
      <c r="AD90" s="1430"/>
      <c r="AE90" s="1430"/>
      <c r="AF90" s="1430"/>
      <c r="AG90" s="1430"/>
      <c r="AH90" s="1430"/>
      <c r="AI90" s="1430"/>
      <c r="AJ90" s="1430"/>
      <c r="AK90" s="1430"/>
      <c r="AL90" s="1430"/>
      <c r="AM90" s="1430"/>
      <c r="AN90" s="1430"/>
      <c r="AO90" s="1430"/>
      <c r="AP90" s="1430"/>
      <c r="AQ90" s="250"/>
      <c r="AR90" s="250"/>
      <c r="AS90" s="250"/>
      <c r="AT90" s="250"/>
      <c r="AU90" s="250"/>
      <c r="AV90" s="250"/>
      <c r="AW90" s="250"/>
      <c r="AX90" s="250"/>
      <c r="AY90" s="250"/>
      <c r="AZ90" s="250"/>
      <c r="BA90" s="250"/>
      <c r="BB90" s="250"/>
    </row>
    <row r="91" spans="1:54" x14ac:dyDescent="0.25">
      <c r="A91" s="1430"/>
      <c r="B91" s="1430"/>
      <c r="C91" s="1430"/>
      <c r="D91" s="1430"/>
      <c r="E91" s="1430"/>
      <c r="F91" s="1430"/>
      <c r="G91" s="1430"/>
      <c r="H91" s="1430"/>
      <c r="I91" s="1430"/>
      <c r="J91" s="1430"/>
      <c r="K91" s="1430"/>
      <c r="L91" s="1430"/>
      <c r="M91" s="1430"/>
      <c r="N91" s="1430"/>
      <c r="O91" s="1430"/>
      <c r="P91" s="1430"/>
      <c r="Q91" s="1430"/>
      <c r="R91" s="1430"/>
      <c r="S91" s="1430"/>
      <c r="T91" s="1430"/>
      <c r="U91" s="1430"/>
      <c r="V91" s="1430"/>
      <c r="W91" s="1430"/>
      <c r="X91" s="1430"/>
      <c r="Y91" s="1430"/>
      <c r="Z91" s="1430"/>
      <c r="AA91" s="1430"/>
      <c r="AB91" s="1430"/>
      <c r="AC91" s="1430"/>
      <c r="AD91" s="1430"/>
      <c r="AE91" s="1430"/>
      <c r="AF91" s="1430"/>
      <c r="AG91" s="1430"/>
      <c r="AH91" s="1430"/>
      <c r="AI91" s="1430"/>
      <c r="AJ91" s="1430"/>
      <c r="AK91" s="1430"/>
      <c r="AL91" s="1430"/>
      <c r="AM91" s="1430"/>
      <c r="AN91" s="1430"/>
      <c r="AO91" s="1430"/>
      <c r="AP91" s="1430"/>
      <c r="AQ91" s="250"/>
      <c r="AR91" s="250"/>
      <c r="AS91" s="250"/>
      <c r="AT91" s="250"/>
      <c r="AU91" s="250"/>
      <c r="AV91" s="250"/>
      <c r="AW91" s="250"/>
      <c r="AX91" s="250"/>
      <c r="AY91" s="250"/>
      <c r="AZ91" s="250"/>
      <c r="BA91" s="250"/>
      <c r="BB91" s="250"/>
    </row>
    <row r="92" spans="1:54" x14ac:dyDescent="0.25">
      <c r="A92" s="1430"/>
      <c r="B92" s="1430"/>
      <c r="C92" s="1430"/>
      <c r="D92" s="1430"/>
      <c r="E92" s="1430"/>
      <c r="F92" s="1430"/>
      <c r="G92" s="1430"/>
      <c r="H92" s="1430"/>
      <c r="I92" s="1430"/>
      <c r="J92" s="1430"/>
      <c r="K92" s="1430"/>
      <c r="L92" s="1430"/>
      <c r="M92" s="1430"/>
      <c r="N92" s="1430"/>
      <c r="O92" s="1430"/>
      <c r="P92" s="1430"/>
      <c r="Q92" s="1430"/>
      <c r="R92" s="1430"/>
      <c r="S92" s="1430"/>
      <c r="T92" s="1430"/>
      <c r="U92" s="1430"/>
      <c r="V92" s="1430"/>
      <c r="W92" s="1430"/>
      <c r="X92" s="1430"/>
      <c r="Y92" s="1430"/>
      <c r="Z92" s="1430"/>
      <c r="AA92" s="1430"/>
      <c r="AB92" s="1430"/>
      <c r="AC92" s="1430"/>
      <c r="AD92" s="1430"/>
      <c r="AE92" s="1430"/>
      <c r="AF92" s="1430"/>
      <c r="AG92" s="1430"/>
      <c r="AH92" s="1430"/>
      <c r="AI92" s="1430"/>
      <c r="AJ92" s="1430"/>
      <c r="AK92" s="1430"/>
      <c r="AL92" s="1430"/>
      <c r="AM92" s="1430"/>
      <c r="AN92" s="1430"/>
      <c r="AO92" s="1430"/>
      <c r="AP92" s="1430"/>
      <c r="AQ92" s="250"/>
      <c r="AR92" s="250"/>
      <c r="AS92" s="250"/>
      <c r="AT92" s="250"/>
      <c r="AU92" s="250"/>
      <c r="AV92" s="250"/>
      <c r="AW92" s="250"/>
      <c r="AX92" s="250"/>
      <c r="AY92" s="250"/>
      <c r="AZ92" s="250"/>
      <c r="BA92" s="250"/>
      <c r="BB92" s="250"/>
    </row>
    <row r="93" spans="1:54" x14ac:dyDescent="0.25">
      <c r="A93" s="1430"/>
      <c r="B93" s="1430"/>
      <c r="C93" s="1430"/>
      <c r="D93" s="1430"/>
      <c r="E93" s="1430"/>
      <c r="F93" s="1430"/>
      <c r="G93" s="1430"/>
      <c r="H93" s="1430"/>
      <c r="I93" s="1430"/>
      <c r="J93" s="1430"/>
      <c r="K93" s="1430"/>
      <c r="L93" s="1430"/>
      <c r="M93" s="1430"/>
      <c r="N93" s="1430"/>
      <c r="O93" s="1430"/>
      <c r="P93" s="1430"/>
      <c r="Q93" s="1430"/>
      <c r="R93" s="1430"/>
      <c r="S93" s="1430"/>
      <c r="T93" s="1430"/>
      <c r="U93" s="1430"/>
      <c r="V93" s="1430"/>
      <c r="W93" s="1430"/>
      <c r="X93" s="1430"/>
      <c r="Y93" s="1430"/>
      <c r="Z93" s="1430"/>
      <c r="AA93" s="1430"/>
      <c r="AB93" s="1430"/>
      <c r="AC93" s="1430"/>
      <c r="AD93" s="1430"/>
      <c r="AE93" s="1430"/>
      <c r="AF93" s="1430"/>
      <c r="AG93" s="1430"/>
      <c r="AH93" s="1430"/>
      <c r="AI93" s="1430"/>
      <c r="AJ93" s="1430"/>
      <c r="AK93" s="1430"/>
      <c r="AL93" s="1430"/>
      <c r="AM93" s="1430"/>
      <c r="AN93" s="1430"/>
      <c r="AO93" s="1430"/>
      <c r="AP93" s="1430"/>
      <c r="AQ93" s="250"/>
      <c r="AR93" s="250"/>
      <c r="AS93" s="250"/>
      <c r="AT93" s="250"/>
      <c r="AU93" s="250"/>
      <c r="AV93" s="250"/>
      <c r="AW93" s="250"/>
      <c r="AX93" s="250"/>
      <c r="AY93" s="250"/>
      <c r="AZ93" s="250"/>
      <c r="BA93" s="250"/>
      <c r="BB93" s="250"/>
    </row>
    <row r="94" spans="1:54" ht="15" customHeight="1" x14ac:dyDescent="0.25">
      <c r="A94" s="1985" t="s">
        <v>0</v>
      </c>
      <c r="B94" s="1985" t="s">
        <v>184</v>
      </c>
      <c r="C94" s="1985" t="s">
        <v>54</v>
      </c>
      <c r="D94" s="1985" t="s">
        <v>55</v>
      </c>
      <c r="E94" s="1985" t="s">
        <v>56</v>
      </c>
      <c r="F94" s="1985" t="s">
        <v>57</v>
      </c>
      <c r="G94" s="1985" t="s">
        <v>6</v>
      </c>
      <c r="H94" s="1985" t="s">
        <v>288</v>
      </c>
      <c r="I94" s="1719"/>
      <c r="J94" s="1719"/>
      <c r="K94" s="2017" t="s">
        <v>310</v>
      </c>
      <c r="L94" s="2017"/>
      <c r="M94" s="1991" t="s">
        <v>826</v>
      </c>
      <c r="N94" s="1992"/>
      <c r="O94" s="1710" t="s">
        <v>827</v>
      </c>
      <c r="P94" s="1710" t="s">
        <v>828</v>
      </c>
      <c r="Q94" s="1710" t="s">
        <v>829</v>
      </c>
      <c r="R94" s="1710"/>
      <c r="S94" s="1710"/>
      <c r="T94" s="1710"/>
      <c r="U94" s="1430"/>
      <c r="V94" s="1430"/>
      <c r="W94" s="1430"/>
      <c r="X94" s="1430"/>
      <c r="Y94" s="1430"/>
      <c r="Z94" s="1430"/>
      <c r="AA94" s="1430"/>
      <c r="AB94" s="1430"/>
      <c r="AC94" s="1430"/>
      <c r="AD94" s="1430"/>
      <c r="AE94" s="1430"/>
      <c r="AF94" s="1430"/>
      <c r="AG94" s="1430"/>
      <c r="AH94" s="1430"/>
      <c r="AI94" s="1430"/>
      <c r="AJ94" s="1430"/>
      <c r="AK94" s="1430"/>
      <c r="AL94" s="1430"/>
      <c r="AM94" s="1430"/>
      <c r="AN94" s="1430"/>
      <c r="AO94" s="1430"/>
      <c r="AP94" s="1430"/>
    </row>
    <row r="95" spans="1:54" x14ac:dyDescent="0.25">
      <c r="A95" s="1986"/>
      <c r="B95" s="1986"/>
      <c r="C95" s="1986"/>
      <c r="D95" s="1986"/>
      <c r="E95" s="1986"/>
      <c r="F95" s="1986"/>
      <c r="G95" s="1986"/>
      <c r="H95" s="1986"/>
      <c r="I95" s="1720"/>
      <c r="J95" s="1720"/>
      <c r="K95" s="1703" t="s">
        <v>15</v>
      </c>
      <c r="L95" s="1703" t="s">
        <v>16</v>
      </c>
      <c r="M95" s="1710" t="s">
        <v>824</v>
      </c>
      <c r="N95" s="1710" t="s">
        <v>825</v>
      </c>
      <c r="O95" s="1710" t="s">
        <v>825</v>
      </c>
      <c r="P95" s="1710"/>
      <c r="Q95" s="1710"/>
      <c r="R95" s="1710"/>
      <c r="S95" s="1710"/>
      <c r="T95" s="1710"/>
      <c r="U95" s="1430"/>
      <c r="V95" s="1430"/>
      <c r="W95" s="1430"/>
      <c r="X95" s="1430"/>
      <c r="Y95" s="1430"/>
      <c r="Z95" s="1430"/>
      <c r="AA95" s="1430"/>
      <c r="AB95" s="1430"/>
      <c r="AC95" s="1430"/>
      <c r="AD95" s="1430"/>
      <c r="AE95" s="1430"/>
      <c r="AF95" s="1430"/>
      <c r="AG95" s="1430"/>
      <c r="AH95" s="1430"/>
      <c r="AI95" s="1430"/>
      <c r="AJ95" s="1430"/>
      <c r="AK95" s="1430"/>
      <c r="AL95" s="1430"/>
      <c r="AM95" s="1430"/>
      <c r="AN95" s="1430"/>
      <c r="AO95" s="1430"/>
      <c r="AP95" s="1430"/>
    </row>
    <row r="96" spans="1:54" x14ac:dyDescent="0.25">
      <c r="A96" s="2">
        <v>1</v>
      </c>
      <c r="B96" s="1319" t="s">
        <v>17</v>
      </c>
      <c r="C96" s="908">
        <v>1977</v>
      </c>
      <c r="D96" s="908">
        <v>5</v>
      </c>
      <c r="E96" s="737">
        <v>45</v>
      </c>
      <c r="F96" s="909">
        <v>132</v>
      </c>
      <c r="G96" s="910">
        <v>2366.1999999999998</v>
      </c>
      <c r="H96" s="910">
        <v>207.4</v>
      </c>
      <c r="I96" s="910"/>
      <c r="J96" s="910"/>
      <c r="K96" s="855">
        <v>318787.08</v>
      </c>
      <c r="L96" s="855">
        <v>299242.59999999998</v>
      </c>
      <c r="M96" s="1707">
        <v>0.187</v>
      </c>
      <c r="N96" s="1437">
        <f>M96*K96</f>
        <v>59613.183960000002</v>
      </c>
      <c r="O96" s="1437">
        <f>51112.15/3080145.63*K96</f>
        <v>5289.9748934994359</v>
      </c>
      <c r="P96" s="1434"/>
      <c r="Q96" s="1434"/>
      <c r="R96" s="1434"/>
      <c r="S96" s="1434"/>
      <c r="T96" s="1434"/>
      <c r="U96" s="1430"/>
      <c r="V96" s="1430"/>
      <c r="W96" s="1430"/>
      <c r="X96" s="1430"/>
      <c r="Y96" s="1430"/>
      <c r="Z96" s="1430"/>
      <c r="AA96" s="1430"/>
      <c r="AB96" s="1430"/>
      <c r="AC96" s="1430"/>
      <c r="AD96" s="1430"/>
      <c r="AE96" s="1430"/>
      <c r="AF96" s="1430"/>
      <c r="AG96" s="1430"/>
      <c r="AH96" s="1430"/>
      <c r="AI96" s="1430"/>
      <c r="AJ96" s="1430"/>
      <c r="AK96" s="1430"/>
      <c r="AL96" s="1430"/>
      <c r="AM96" s="1430"/>
      <c r="AN96" s="1430"/>
      <c r="AO96" s="1430"/>
      <c r="AP96" s="1430"/>
    </row>
    <row r="97" spans="1:36" ht="18" customHeight="1" x14ac:dyDescent="0.25">
      <c r="A97" s="5">
        <v>2</v>
      </c>
      <c r="B97" s="1320" t="s">
        <v>18</v>
      </c>
      <c r="C97" s="737">
        <v>1977</v>
      </c>
      <c r="D97" s="737">
        <v>5</v>
      </c>
      <c r="E97" s="737">
        <v>45</v>
      </c>
      <c r="F97" s="909">
        <v>117</v>
      </c>
      <c r="G97" s="738">
        <v>2363.9</v>
      </c>
      <c r="H97" s="738">
        <v>207.4</v>
      </c>
      <c r="I97" s="738"/>
      <c r="J97" s="738"/>
      <c r="K97" s="855">
        <v>317747.18</v>
      </c>
      <c r="L97" s="855">
        <v>278629.62</v>
      </c>
      <c r="M97" s="1707">
        <v>0.187</v>
      </c>
      <c r="N97" s="1437">
        <f t="shared" ref="N97:N102" si="44">M97*K97</f>
        <v>59418.722659999999</v>
      </c>
      <c r="O97" s="1437">
        <f t="shared" ref="O97:O102" si="45">51112.15/3080145.63*K97</f>
        <v>5272.7187208473006</v>
      </c>
      <c r="P97" s="1434"/>
      <c r="Q97" s="1434"/>
      <c r="R97" s="1434"/>
      <c r="S97" s="1434"/>
      <c r="T97" s="391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</row>
    <row r="98" spans="1:36" x14ac:dyDescent="0.25">
      <c r="A98" s="5">
        <v>3</v>
      </c>
      <c r="B98" s="1320" t="s">
        <v>19</v>
      </c>
      <c r="C98" s="737">
        <v>1986</v>
      </c>
      <c r="D98" s="737">
        <v>3</v>
      </c>
      <c r="E98" s="737">
        <v>24</v>
      </c>
      <c r="F98" s="909">
        <v>83</v>
      </c>
      <c r="G98" s="738">
        <v>1440.6</v>
      </c>
      <c r="H98" s="738">
        <v>174</v>
      </c>
      <c r="I98" s="738"/>
      <c r="J98" s="738"/>
      <c r="K98" s="855">
        <v>178231.14</v>
      </c>
      <c r="L98" s="855">
        <v>166785.95000000001</v>
      </c>
      <c r="M98" s="1707">
        <v>0.187</v>
      </c>
      <c r="N98" s="1437">
        <f t="shared" si="44"/>
        <v>33329.223180000001</v>
      </c>
      <c r="O98" s="1437">
        <f t="shared" si="45"/>
        <v>2957.579886361088</v>
      </c>
      <c r="P98" s="1434"/>
      <c r="Q98" s="1434"/>
      <c r="R98" s="1434"/>
      <c r="S98" s="1434"/>
      <c r="T98" s="391"/>
      <c r="U98" s="223"/>
      <c r="V98" s="223"/>
      <c r="W98" s="223"/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</row>
    <row r="99" spans="1:36" x14ac:dyDescent="0.25">
      <c r="A99" s="5">
        <v>4</v>
      </c>
      <c r="B99" s="1320" t="s">
        <v>20</v>
      </c>
      <c r="C99" s="737">
        <v>1992</v>
      </c>
      <c r="D99" s="737">
        <v>5</v>
      </c>
      <c r="E99" s="737">
        <v>60</v>
      </c>
      <c r="F99" s="909">
        <v>167</v>
      </c>
      <c r="G99" s="738">
        <v>3634.3</v>
      </c>
      <c r="H99" s="738">
        <v>468.3</v>
      </c>
      <c r="I99" s="738"/>
      <c r="J99" s="738"/>
      <c r="K99" s="855">
        <v>488980.62</v>
      </c>
      <c r="L99" s="855">
        <v>449460.54</v>
      </c>
      <c r="M99" s="1707">
        <v>0.187</v>
      </c>
      <c r="N99" s="1437">
        <f t="shared" si="44"/>
        <v>91439.375939999998</v>
      </c>
      <c r="O99" s="1437">
        <f t="shared" si="45"/>
        <v>8114.1782885548191</v>
      </c>
      <c r="P99" s="1434"/>
      <c r="Q99" s="1434"/>
      <c r="R99" s="1434"/>
      <c r="S99" s="1434"/>
      <c r="T99" s="391"/>
      <c r="U99" s="223"/>
      <c r="V99" s="223"/>
      <c r="W99" s="223"/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</row>
    <row r="100" spans="1:36" x14ac:dyDescent="0.25">
      <c r="A100" s="5">
        <v>5</v>
      </c>
      <c r="B100" s="1320" t="s">
        <v>22</v>
      </c>
      <c r="C100" s="737">
        <v>1994</v>
      </c>
      <c r="D100" s="737">
        <v>5</v>
      </c>
      <c r="E100" s="737">
        <v>60</v>
      </c>
      <c r="F100" s="909">
        <v>131</v>
      </c>
      <c r="G100" s="738">
        <v>3641.8</v>
      </c>
      <c r="H100" s="738">
        <v>468.3</v>
      </c>
      <c r="I100" s="738"/>
      <c r="J100" s="738"/>
      <c r="K100" s="855">
        <v>485619.85</v>
      </c>
      <c r="L100" s="855">
        <v>446990.28</v>
      </c>
      <c r="M100" s="1707">
        <v>0.187</v>
      </c>
      <c r="N100" s="1437">
        <f t="shared" si="44"/>
        <v>90810.911949999994</v>
      </c>
      <c r="O100" s="1437">
        <f t="shared" si="45"/>
        <v>8058.4094383152596</v>
      </c>
      <c r="P100" s="1434"/>
      <c r="Q100" s="1434"/>
      <c r="R100" s="1434"/>
      <c r="S100" s="1434"/>
      <c r="T100" s="391"/>
      <c r="U100" s="223"/>
      <c r="V100" s="223"/>
      <c r="W100" s="223"/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</row>
    <row r="101" spans="1:36" x14ac:dyDescent="0.25">
      <c r="A101" s="6">
        <v>6</v>
      </c>
      <c r="B101" s="1320" t="s">
        <v>21</v>
      </c>
      <c r="C101" s="737">
        <v>1981</v>
      </c>
      <c r="D101" s="737">
        <v>5</v>
      </c>
      <c r="E101" s="737">
        <v>60</v>
      </c>
      <c r="F101" s="909">
        <v>159</v>
      </c>
      <c r="G101" s="738">
        <v>3289.5</v>
      </c>
      <c r="H101" s="738">
        <v>397</v>
      </c>
      <c r="I101" s="738"/>
      <c r="J101" s="738"/>
      <c r="K101" s="855">
        <v>445618.86</v>
      </c>
      <c r="L101" s="855">
        <v>416764.38</v>
      </c>
      <c r="M101" s="1707">
        <v>0.187</v>
      </c>
      <c r="N101" s="1437">
        <f t="shared" si="44"/>
        <v>83330.726819999996</v>
      </c>
      <c r="O101" s="1437">
        <f t="shared" si="45"/>
        <v>7394.6302386842026</v>
      </c>
      <c r="P101" s="1434"/>
      <c r="Q101" s="1434"/>
      <c r="R101" s="1434"/>
      <c r="S101" s="1434"/>
      <c r="T101" s="391"/>
      <c r="U101" s="223"/>
      <c r="V101" s="223"/>
      <c r="W101" s="223"/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</row>
    <row r="102" spans="1:36" ht="15" customHeight="1" x14ac:dyDescent="0.25">
      <c r="A102" s="6">
        <v>7</v>
      </c>
      <c r="B102" s="1320" t="s">
        <v>311</v>
      </c>
      <c r="C102" s="737">
        <v>1993</v>
      </c>
      <c r="D102" s="737">
        <v>5</v>
      </c>
      <c r="E102" s="737">
        <v>60</v>
      </c>
      <c r="F102" s="909">
        <v>134</v>
      </c>
      <c r="G102" s="738">
        <v>3681.6</v>
      </c>
      <c r="H102" s="738">
        <v>485</v>
      </c>
      <c r="I102" s="738"/>
      <c r="J102" s="738"/>
      <c r="K102" s="855">
        <v>513327.3</v>
      </c>
      <c r="L102" s="855">
        <v>484254.27</v>
      </c>
      <c r="M102" s="1707">
        <v>0.187</v>
      </c>
      <c r="N102" s="1437">
        <f t="shared" si="44"/>
        <v>95992.205099999992</v>
      </c>
      <c r="O102" s="1437">
        <f t="shared" si="45"/>
        <v>8518.1887833969085</v>
      </c>
      <c r="P102" s="1434"/>
      <c r="Q102" s="1434"/>
      <c r="R102" s="1434"/>
      <c r="S102" s="1434"/>
      <c r="T102" s="391"/>
      <c r="U102" s="223"/>
      <c r="V102" s="223"/>
      <c r="W102" s="223"/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</row>
    <row r="103" spans="1:36" x14ac:dyDescent="0.25">
      <c r="A103" s="4"/>
      <c r="B103" s="1321" t="s">
        <v>23</v>
      </c>
      <c r="C103" s="737"/>
      <c r="D103" s="737"/>
      <c r="E103" s="918">
        <f>SUM(E96:E102)</f>
        <v>354</v>
      </c>
      <c r="F103" s="918">
        <f>SUM(F96:F102)</f>
        <v>923</v>
      </c>
      <c r="G103" s="56">
        <f>SUM(G96:G102)</f>
        <v>20417.899999999998</v>
      </c>
      <c r="H103" s="56">
        <f>SUM(H96:H102)</f>
        <v>2407.3999999999996</v>
      </c>
      <c r="I103" s="56"/>
      <c r="J103" s="56"/>
      <c r="K103" s="56">
        <f t="shared" ref="K103:L103" si="46">SUM(K96:K102)</f>
        <v>2748312.03</v>
      </c>
      <c r="L103" s="56">
        <f t="shared" si="46"/>
        <v>2542127.64</v>
      </c>
      <c r="M103" s="1636"/>
      <c r="N103" s="1436">
        <f>SUM(N96:N102)</f>
        <v>513934.34960999992</v>
      </c>
      <c r="O103" s="1436">
        <f>SUM(O96:O102)</f>
        <v>45605.68024965901</v>
      </c>
      <c r="P103" s="1434"/>
      <c r="Q103" s="1434"/>
      <c r="R103" s="1434"/>
      <c r="S103" s="1434"/>
      <c r="T103" s="391"/>
      <c r="U103" s="223"/>
      <c r="V103" s="223"/>
      <c r="W103" s="223"/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</row>
    <row r="104" spans="1:36" x14ac:dyDescent="0.25">
      <c r="A104" s="9"/>
      <c r="B104" s="9"/>
      <c r="C104" s="1430"/>
      <c r="D104" s="1430"/>
      <c r="E104" s="1430"/>
      <c r="F104" s="1430"/>
      <c r="G104" s="1430"/>
      <c r="H104" s="1430"/>
      <c r="I104" s="1430"/>
      <c r="J104" s="1430"/>
      <c r="K104" s="1430"/>
      <c r="L104" s="1430"/>
      <c r="M104" s="1430"/>
      <c r="N104" s="1430"/>
      <c r="O104" s="1430"/>
      <c r="P104" s="1430"/>
      <c r="Q104" s="1430"/>
      <c r="R104" s="1430"/>
      <c r="S104" s="1430"/>
      <c r="T104" s="223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</row>
    <row r="105" spans="1:36" x14ac:dyDescent="0.25">
      <c r="A105" s="9"/>
      <c r="B105" s="9"/>
      <c r="C105" s="1430"/>
      <c r="D105" s="1430"/>
      <c r="E105" s="1430"/>
      <c r="F105" s="1430"/>
      <c r="G105" s="1430"/>
      <c r="H105" s="1430"/>
      <c r="I105" s="1430"/>
      <c r="J105" s="1430"/>
      <c r="K105" s="1430"/>
      <c r="L105" s="1430"/>
      <c r="M105" s="1430"/>
      <c r="N105" s="1430"/>
      <c r="O105" s="1430"/>
      <c r="P105" s="1430"/>
      <c r="Q105" s="1430"/>
      <c r="R105" s="1430"/>
      <c r="S105" s="1430"/>
      <c r="T105" s="223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</row>
    <row r="106" spans="1:36" x14ac:dyDescent="0.25">
      <c r="A106" s="2033"/>
      <c r="B106" s="2060" t="s">
        <v>184</v>
      </c>
      <c r="C106" s="1985" t="s">
        <v>54</v>
      </c>
      <c r="D106" s="1985" t="s">
        <v>55</v>
      </c>
      <c r="E106" s="1985" t="s">
        <v>56</v>
      </c>
      <c r="F106" s="1985" t="s">
        <v>512</v>
      </c>
      <c r="G106" s="1985" t="s">
        <v>6</v>
      </c>
      <c r="H106" s="1985" t="s">
        <v>779</v>
      </c>
      <c r="I106" s="1722"/>
      <c r="J106" s="1722"/>
      <c r="K106" s="2051" t="s">
        <v>310</v>
      </c>
      <c r="L106" s="2052"/>
      <c r="M106" s="1434"/>
      <c r="N106" s="1434"/>
      <c r="O106" s="1434"/>
      <c r="P106" s="1434"/>
      <c r="Q106" s="1434"/>
      <c r="R106" s="1434"/>
      <c r="S106" s="1434"/>
      <c r="T106" s="391"/>
      <c r="U106" s="223"/>
      <c r="V106" s="223"/>
      <c r="W106" s="223"/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</row>
    <row r="107" spans="1:36" x14ac:dyDescent="0.25">
      <c r="A107" s="2034"/>
      <c r="B107" s="2061"/>
      <c r="C107" s="1986"/>
      <c r="D107" s="1986"/>
      <c r="E107" s="1986"/>
      <c r="F107" s="1986"/>
      <c r="G107" s="1986"/>
      <c r="H107" s="1986"/>
      <c r="I107" s="1721"/>
      <c r="J107" s="1721"/>
      <c r="K107" s="1643" t="s">
        <v>15</v>
      </c>
      <c r="L107" s="1644" t="s">
        <v>16</v>
      </c>
      <c r="M107" s="15"/>
      <c r="N107" s="15"/>
      <c r="O107" s="391"/>
      <c r="P107" s="391"/>
      <c r="Q107" s="391"/>
      <c r="R107" s="391"/>
      <c r="S107" s="391"/>
      <c r="T107" s="391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</row>
    <row r="108" spans="1:36" ht="15" customHeight="1" x14ac:dyDescent="0.25">
      <c r="A108" s="391">
        <v>1</v>
      </c>
      <c r="B108" s="1626" t="s">
        <v>778</v>
      </c>
      <c r="C108" s="1071" t="s">
        <v>780</v>
      </c>
      <c r="D108" s="467"/>
      <c r="E108" s="467"/>
      <c r="F108" s="467">
        <v>16.46</v>
      </c>
      <c r="G108" s="467">
        <v>3360</v>
      </c>
      <c r="H108" s="467"/>
      <c r="I108" s="467"/>
      <c r="J108" s="467"/>
      <c r="K108" s="467">
        <v>331833.59999999998</v>
      </c>
      <c r="L108" s="467">
        <v>105191.25</v>
      </c>
      <c r="M108" s="1707"/>
      <c r="N108" s="1436">
        <v>61108.92</v>
      </c>
      <c r="O108" s="1436">
        <v>5506.47</v>
      </c>
      <c r="P108" s="391"/>
      <c r="Q108" s="391"/>
      <c r="R108" s="391"/>
      <c r="S108" s="391"/>
      <c r="T108" s="391"/>
      <c r="U108" s="223"/>
      <c r="V108" s="223"/>
      <c r="W108" s="223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</row>
    <row r="109" spans="1:36" x14ac:dyDescent="0.25">
      <c r="A109" s="391"/>
      <c r="B109" s="391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  <c r="M109" s="1708"/>
      <c r="N109" s="1708"/>
      <c r="O109" s="391"/>
      <c r="P109" s="391"/>
      <c r="Q109" s="391"/>
      <c r="R109" s="391"/>
      <c r="S109" s="391"/>
      <c r="T109" s="391"/>
      <c r="U109" s="223"/>
      <c r="V109" s="223"/>
      <c r="W109" s="223"/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</row>
    <row r="110" spans="1:36" x14ac:dyDescent="0.25">
      <c r="A110" s="391"/>
      <c r="B110" s="1706" t="s">
        <v>823</v>
      </c>
      <c r="C110" s="467"/>
      <c r="D110" s="467"/>
      <c r="E110" s="467"/>
      <c r="F110" s="467"/>
      <c r="G110" s="467"/>
      <c r="H110" s="467"/>
      <c r="I110" s="467"/>
      <c r="J110" s="467"/>
      <c r="K110" s="1071">
        <f>K103+K108</f>
        <v>3080145.63</v>
      </c>
      <c r="L110" s="1071">
        <f>L103+L108</f>
        <v>2647318.89</v>
      </c>
      <c r="M110" s="1708"/>
      <c r="N110" s="1709">
        <f>N103+N108</f>
        <v>575043.26960999996</v>
      </c>
      <c r="O110" s="1709">
        <f>O103+O108</f>
        <v>51112.150249659011</v>
      </c>
      <c r="P110" s="391"/>
      <c r="Q110" s="391"/>
      <c r="R110" s="391"/>
      <c r="S110" s="391"/>
      <c r="T110" s="391"/>
      <c r="U110" s="223"/>
      <c r="V110" s="223"/>
      <c r="W110" s="223"/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</row>
    <row r="111" spans="1:36" x14ac:dyDescent="0.25">
      <c r="A111" s="9"/>
      <c r="B111" s="9"/>
      <c r="C111" s="1430"/>
      <c r="D111" s="1430"/>
      <c r="E111" s="1430"/>
      <c r="F111" s="1430"/>
      <c r="G111" s="1430"/>
      <c r="H111" s="1430"/>
      <c r="I111" s="1430"/>
      <c r="J111" s="1430"/>
      <c r="K111" s="1430"/>
      <c r="L111" s="1430"/>
      <c r="M111" s="1614"/>
      <c r="N111" s="1614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</row>
    <row r="112" spans="1:36" x14ac:dyDescent="0.25">
      <c r="A112" s="9"/>
      <c r="B112" s="9"/>
      <c r="C112" s="1430"/>
      <c r="D112" s="1430"/>
      <c r="E112" s="1430"/>
      <c r="F112" s="1430"/>
      <c r="G112" s="1430"/>
      <c r="H112" s="1430"/>
      <c r="I112" s="1430"/>
      <c r="J112" s="1430"/>
      <c r="K112" s="1430"/>
      <c r="L112" s="1430"/>
      <c r="M112" s="1614"/>
      <c r="N112" s="1614"/>
      <c r="O112" s="223"/>
      <c r="P112" s="223"/>
      <c r="Q112" s="223"/>
      <c r="R112" s="223"/>
      <c r="S112" s="223"/>
      <c r="T112" s="223"/>
      <c r="U112" s="223"/>
      <c r="V112" s="223"/>
      <c r="W112" s="223"/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</row>
    <row r="113" spans="1:36" x14ac:dyDescent="0.25">
      <c r="A113" s="9"/>
      <c r="B113" s="9"/>
      <c r="C113" s="1430"/>
      <c r="D113" s="1430"/>
      <c r="E113" s="1430"/>
      <c r="F113" s="1430"/>
      <c r="G113" s="1430"/>
      <c r="H113" s="1430"/>
      <c r="I113" s="1430"/>
      <c r="J113" s="1430"/>
      <c r="K113" s="1430"/>
      <c r="L113" s="1430"/>
      <c r="M113" s="1614"/>
      <c r="N113" s="1614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</row>
    <row r="114" spans="1:36" x14ac:dyDescent="0.25">
      <c r="A114" s="9"/>
      <c r="B114" s="9"/>
      <c r="C114" s="1430"/>
      <c r="D114" s="1430"/>
      <c r="E114" s="1430"/>
      <c r="F114" s="1430"/>
      <c r="G114" s="1430"/>
      <c r="H114" s="1430"/>
      <c r="I114" s="1430"/>
      <c r="J114" s="1430"/>
      <c r="K114" s="1430"/>
      <c r="L114" s="1430"/>
      <c r="M114" s="1614"/>
      <c r="N114" s="1614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</row>
    <row r="115" spans="1:36" x14ac:dyDescent="0.25">
      <c r="A115" s="9"/>
      <c r="B115" s="9"/>
      <c r="C115" s="1430"/>
      <c r="D115" s="1430"/>
      <c r="E115" s="1430"/>
      <c r="F115" s="1430"/>
      <c r="G115" s="1430"/>
      <c r="H115" s="1430"/>
      <c r="I115" s="1430"/>
      <c r="J115" s="1430"/>
      <c r="K115" s="1430"/>
      <c r="L115" s="1614"/>
      <c r="M115" s="1614"/>
      <c r="N115" s="1614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</row>
    <row r="116" spans="1:36" x14ac:dyDescent="0.25">
      <c r="A116" s="9"/>
      <c r="B116" s="9"/>
      <c r="C116" s="1430"/>
      <c r="D116" s="1430"/>
      <c r="E116" s="1430"/>
      <c r="F116" s="1430"/>
      <c r="G116" s="1430"/>
      <c r="H116" s="1430"/>
      <c r="I116" s="1430"/>
      <c r="J116" s="1430"/>
      <c r="K116" s="1430"/>
      <c r="L116" s="1614"/>
      <c r="M116" s="1614"/>
      <c r="N116" s="1614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</row>
    <row r="117" spans="1:36" x14ac:dyDescent="0.25">
      <c r="A117" s="9"/>
      <c r="B117" s="9"/>
      <c r="C117" s="1430"/>
      <c r="D117" s="1430"/>
      <c r="E117" s="1430"/>
      <c r="F117" s="1430"/>
      <c r="G117" s="1430"/>
      <c r="H117" s="1430"/>
      <c r="I117" s="1430"/>
      <c r="J117" s="1430"/>
      <c r="K117" s="1430"/>
      <c r="L117" s="1614"/>
      <c r="M117" s="1614"/>
      <c r="N117" s="1614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</row>
    <row r="118" spans="1:36" x14ac:dyDescent="0.25">
      <c r="A118" s="9"/>
      <c r="B118" s="9"/>
      <c r="C118" s="1430"/>
      <c r="D118" s="1430"/>
      <c r="E118" s="1430"/>
      <c r="F118" s="1430"/>
      <c r="G118" s="1430"/>
      <c r="H118" s="1430"/>
      <c r="I118" s="1430"/>
      <c r="J118" s="1430"/>
      <c r="K118" s="1430"/>
      <c r="L118" s="1614"/>
      <c r="M118" s="1614"/>
      <c r="N118" s="1614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</row>
    <row r="119" spans="1:36" x14ac:dyDescent="0.25">
      <c r="A119" s="223"/>
      <c r="B119" s="223"/>
      <c r="C119" s="1430"/>
      <c r="D119" s="1430"/>
      <c r="E119" s="1430"/>
      <c r="F119" s="1430"/>
      <c r="G119" s="1430"/>
      <c r="H119" s="1430"/>
      <c r="I119" s="1430"/>
      <c r="J119" s="1430"/>
      <c r="K119" s="1430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</row>
    <row r="120" spans="1:36" x14ac:dyDescent="0.25">
      <c r="A120" s="223"/>
      <c r="B120" s="223"/>
      <c r="C120" s="1430"/>
      <c r="D120" s="1430"/>
      <c r="E120" s="1430"/>
      <c r="F120" s="1430"/>
      <c r="G120" s="1430"/>
      <c r="H120" s="1430"/>
      <c r="I120" s="1430"/>
      <c r="J120" s="1430"/>
      <c r="K120" s="1430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</row>
    <row r="121" spans="1:36" x14ac:dyDescent="0.25">
      <c r="A121" s="223"/>
      <c r="B121" s="223"/>
      <c r="C121" s="1430"/>
      <c r="D121" s="1430"/>
      <c r="E121" s="1430"/>
      <c r="F121" s="1430"/>
      <c r="G121" s="1430"/>
      <c r="H121" s="1430"/>
      <c r="I121" s="1430"/>
      <c r="J121" s="1430"/>
      <c r="K121" s="1430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</row>
    <row r="122" spans="1:36" x14ac:dyDescent="0.25">
      <c r="A122" s="223"/>
      <c r="B122" s="223"/>
      <c r="C122" s="1430"/>
      <c r="D122" s="1430"/>
      <c r="E122" s="1430"/>
      <c r="F122" s="1430"/>
      <c r="G122" s="1430"/>
      <c r="H122" s="1430"/>
      <c r="I122" s="1430"/>
      <c r="J122" s="1430"/>
      <c r="K122" s="1430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</row>
    <row r="123" spans="1:36" x14ac:dyDescent="0.25">
      <c r="A123" s="223"/>
      <c r="B123" s="223"/>
      <c r="C123" s="1430"/>
      <c r="D123" s="1430"/>
      <c r="E123" s="1430"/>
      <c r="F123" s="1430"/>
      <c r="G123" s="1430"/>
      <c r="H123" s="1430"/>
      <c r="I123" s="1430"/>
      <c r="J123" s="1430"/>
      <c r="K123" s="1430"/>
      <c r="L123" s="223"/>
      <c r="M123" s="223"/>
      <c r="N123" s="223"/>
      <c r="O123" s="223"/>
      <c r="P123" s="223"/>
      <c r="Q123" s="223"/>
      <c r="R123" s="223"/>
      <c r="S123" s="223"/>
      <c r="T123" s="223"/>
      <c r="U123" s="223"/>
      <c r="V123" s="223"/>
      <c r="W123" s="223"/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</row>
    <row r="124" spans="1:36" x14ac:dyDescent="0.25">
      <c r="A124" s="223"/>
      <c r="B124" s="223"/>
      <c r="C124" s="223"/>
      <c r="D124" s="223"/>
      <c r="E124" s="223"/>
      <c r="F124" s="223"/>
      <c r="G124" s="223"/>
      <c r="H124" s="223"/>
      <c r="I124" s="223"/>
      <c r="J124" s="223"/>
      <c r="K124" s="223"/>
      <c r="L124" s="223"/>
      <c r="M124" s="223"/>
      <c r="N124" s="223"/>
      <c r="O124" s="223"/>
      <c r="P124" s="223"/>
      <c r="Q124" s="223"/>
      <c r="R124" s="223"/>
      <c r="S124" s="223"/>
      <c r="T124" s="223"/>
      <c r="U124" s="223"/>
      <c r="V124" s="223"/>
      <c r="W124" s="223"/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</row>
    <row r="125" spans="1:36" x14ac:dyDescent="0.25">
      <c r="A125" s="134"/>
      <c r="B125" s="223"/>
      <c r="C125" s="223"/>
      <c r="D125" s="223"/>
      <c r="E125" s="223"/>
      <c r="F125" s="223"/>
      <c r="G125" s="223"/>
      <c r="H125" s="223"/>
      <c r="I125" s="223"/>
      <c r="J125" s="223"/>
      <c r="K125" s="223"/>
      <c r="L125" s="223"/>
      <c r="M125" s="223"/>
      <c r="N125" s="223"/>
      <c r="O125" s="223"/>
      <c r="P125" s="223"/>
      <c r="Q125" s="223"/>
      <c r="R125" s="223"/>
      <c r="S125" s="223"/>
      <c r="T125" s="223"/>
      <c r="U125" s="223"/>
      <c r="V125" s="223"/>
      <c r="W125" s="223"/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</row>
    <row r="126" spans="1:36" x14ac:dyDescent="0.25">
      <c r="A126" s="134"/>
      <c r="B126" s="223"/>
      <c r="C126" s="223"/>
      <c r="D126" s="223"/>
      <c r="E126" s="223"/>
      <c r="F126" s="223"/>
      <c r="G126" s="223"/>
      <c r="H126" s="223"/>
      <c r="I126" s="223"/>
      <c r="J126" s="223"/>
      <c r="K126" s="223"/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</row>
    <row r="127" spans="1:36" x14ac:dyDescent="0.25">
      <c r="A127" s="134"/>
      <c r="B127" s="223"/>
      <c r="C127" s="223"/>
      <c r="D127" s="223"/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</row>
    <row r="128" spans="1:36" x14ac:dyDescent="0.25">
      <c r="A128" s="134"/>
      <c r="B128" s="223"/>
      <c r="C128" s="223"/>
      <c r="D128" s="223"/>
      <c r="E128" s="223"/>
      <c r="F128" s="223"/>
      <c r="G128" s="223"/>
      <c r="H128" s="223"/>
      <c r="I128" s="223"/>
      <c r="J128" s="223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</row>
    <row r="129" spans="1:36" x14ac:dyDescent="0.25">
      <c r="A129" s="134"/>
      <c r="B129" s="223"/>
      <c r="C129" s="223"/>
      <c r="D129" s="223"/>
      <c r="E129" s="223"/>
      <c r="F129" s="223"/>
      <c r="G129" s="223"/>
      <c r="H129" s="223"/>
      <c r="I129" s="223"/>
      <c r="J129" s="223"/>
      <c r="K129" s="223"/>
      <c r="L129" s="223"/>
      <c r="M129" s="223"/>
      <c r="N129" s="223"/>
      <c r="O129" s="223"/>
      <c r="P129" s="223"/>
      <c r="Q129" s="223"/>
      <c r="R129" s="223"/>
      <c r="S129" s="223"/>
      <c r="T129" s="223"/>
      <c r="U129" s="223"/>
      <c r="V129" s="223"/>
      <c r="W129" s="223"/>
      <c r="X129" s="223"/>
      <c r="Y129" s="223"/>
      <c r="Z129" s="223"/>
      <c r="AA129" s="223"/>
      <c r="AB129" s="223"/>
      <c r="AC129" s="223"/>
      <c r="AD129" s="223"/>
      <c r="AE129" s="223"/>
      <c r="AF129" s="223"/>
      <c r="AG129" s="223"/>
      <c r="AH129" s="223"/>
      <c r="AI129" s="223"/>
      <c r="AJ129" s="223"/>
    </row>
    <row r="130" spans="1:36" x14ac:dyDescent="0.25">
      <c r="A130" s="134"/>
      <c r="B130" s="223"/>
      <c r="C130" s="223"/>
      <c r="D130" s="223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23"/>
      <c r="P130" s="223"/>
      <c r="Q130" s="223"/>
      <c r="R130" s="223"/>
      <c r="S130" s="223"/>
      <c r="T130" s="223"/>
      <c r="U130" s="223"/>
      <c r="V130" s="223"/>
      <c r="W130" s="223"/>
      <c r="X130" s="223"/>
      <c r="Y130" s="223"/>
      <c r="Z130" s="223"/>
      <c r="AA130" s="223"/>
      <c r="AB130" s="223"/>
      <c r="AC130" s="223"/>
      <c r="AD130" s="223"/>
      <c r="AE130" s="223"/>
      <c r="AF130" s="223"/>
      <c r="AG130" s="223"/>
      <c r="AH130" s="223"/>
      <c r="AI130" s="223"/>
      <c r="AJ130" s="223"/>
    </row>
    <row r="131" spans="1:36" x14ac:dyDescent="0.25">
      <c r="A131" s="134"/>
      <c r="B131" s="223"/>
      <c r="C131" s="223"/>
      <c r="D131" s="223"/>
      <c r="E131" s="223"/>
      <c r="F131" s="223"/>
      <c r="G131" s="223"/>
      <c r="H131" s="223"/>
      <c r="I131" s="223"/>
      <c r="J131" s="223"/>
      <c r="K131" s="223"/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  <c r="X131" s="223"/>
      <c r="Y131" s="223"/>
      <c r="Z131" s="223"/>
      <c r="AA131" s="223"/>
      <c r="AB131" s="223"/>
      <c r="AC131" s="223"/>
      <c r="AD131" s="223"/>
      <c r="AE131" s="223"/>
      <c r="AF131" s="223"/>
      <c r="AG131" s="223"/>
      <c r="AH131" s="223"/>
      <c r="AI131" s="223"/>
      <c r="AJ131" s="223"/>
    </row>
    <row r="132" spans="1:36" x14ac:dyDescent="0.25">
      <c r="A132" s="134"/>
      <c r="B132" s="223"/>
      <c r="C132" s="223"/>
      <c r="D132" s="223"/>
      <c r="E132" s="223"/>
      <c r="F132" s="223"/>
      <c r="G132" s="223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223"/>
      <c r="S132" s="223"/>
      <c r="T132" s="223"/>
      <c r="U132" s="223"/>
      <c r="V132" s="223"/>
      <c r="W132" s="223"/>
      <c r="X132" s="223"/>
      <c r="Y132" s="223"/>
      <c r="Z132" s="223"/>
      <c r="AA132" s="223"/>
      <c r="AB132" s="223"/>
      <c r="AC132" s="223"/>
      <c r="AD132" s="223"/>
      <c r="AE132" s="223"/>
      <c r="AF132" s="223"/>
      <c r="AG132" s="223"/>
      <c r="AH132" s="223"/>
      <c r="AI132" s="223"/>
      <c r="AJ132" s="223"/>
    </row>
    <row r="133" spans="1:36" x14ac:dyDescent="0.25">
      <c r="A133" s="134"/>
      <c r="B133" s="223"/>
      <c r="C133" s="223"/>
      <c r="D133" s="223"/>
      <c r="E133" s="223"/>
      <c r="F133" s="223"/>
      <c r="G133" s="223"/>
      <c r="H133" s="223"/>
      <c r="I133" s="223"/>
      <c r="J133" s="223"/>
      <c r="K133" s="223"/>
      <c r="L133" s="223"/>
      <c r="M133" s="223"/>
      <c r="N133" s="223"/>
      <c r="O133" s="223"/>
      <c r="P133" s="223"/>
      <c r="Q133" s="223"/>
      <c r="R133" s="223"/>
      <c r="S133" s="223"/>
      <c r="T133" s="223"/>
      <c r="U133" s="223"/>
      <c r="V133" s="223"/>
      <c r="W133" s="223"/>
      <c r="X133" s="223"/>
      <c r="Y133" s="223"/>
      <c r="Z133" s="223"/>
      <c r="AA133" s="223"/>
      <c r="AB133" s="223"/>
      <c r="AC133" s="223"/>
      <c r="AD133" s="223"/>
      <c r="AE133" s="223"/>
      <c r="AF133" s="223"/>
      <c r="AG133" s="223"/>
      <c r="AH133" s="223"/>
      <c r="AI133" s="223"/>
      <c r="AJ133" s="223"/>
    </row>
    <row r="134" spans="1:36" x14ac:dyDescent="0.25">
      <c r="A134" s="134"/>
      <c r="B134" s="223"/>
      <c r="C134" s="223"/>
      <c r="D134" s="223"/>
      <c r="E134" s="223"/>
      <c r="F134" s="223"/>
      <c r="G134" s="223"/>
      <c r="H134" s="223"/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3"/>
      <c r="AA134" s="223"/>
      <c r="AB134" s="223"/>
      <c r="AC134" s="223"/>
      <c r="AD134" s="223"/>
      <c r="AE134" s="223"/>
      <c r="AF134" s="223"/>
      <c r="AG134" s="223"/>
      <c r="AH134" s="223"/>
      <c r="AI134" s="223"/>
      <c r="AJ134" s="223"/>
    </row>
    <row r="135" spans="1:36" x14ac:dyDescent="0.25">
      <c r="A135" s="134"/>
      <c r="B135" s="223"/>
      <c r="C135" s="223"/>
      <c r="D135" s="223"/>
      <c r="E135" s="223"/>
      <c r="F135" s="223"/>
      <c r="G135" s="223"/>
      <c r="H135" s="223"/>
      <c r="I135" s="223"/>
      <c r="J135" s="223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  <c r="X135" s="223"/>
      <c r="Y135" s="223"/>
      <c r="Z135" s="223"/>
      <c r="AA135" s="223"/>
      <c r="AB135" s="223"/>
      <c r="AC135" s="223"/>
      <c r="AD135" s="223"/>
      <c r="AE135" s="223"/>
      <c r="AF135" s="223"/>
      <c r="AG135" s="223"/>
      <c r="AH135" s="223"/>
      <c r="AI135" s="223"/>
      <c r="AJ135" s="223"/>
    </row>
    <row r="136" spans="1:36" x14ac:dyDescent="0.25">
      <c r="A136" s="134"/>
      <c r="B136" s="223"/>
      <c r="C136" s="223"/>
      <c r="D136" s="223"/>
      <c r="E136" s="223"/>
      <c r="F136" s="223"/>
      <c r="G136" s="223"/>
      <c r="H136" s="223"/>
      <c r="I136" s="223"/>
      <c r="J136" s="223"/>
      <c r="K136" s="223"/>
      <c r="L136" s="223"/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  <c r="X136" s="223"/>
      <c r="Y136" s="223"/>
      <c r="Z136" s="223"/>
      <c r="AA136" s="223"/>
      <c r="AB136" s="223"/>
      <c r="AC136" s="223"/>
      <c r="AD136" s="223"/>
      <c r="AE136" s="223"/>
      <c r="AF136" s="223"/>
      <c r="AG136" s="223"/>
      <c r="AH136" s="223"/>
      <c r="AI136" s="223"/>
      <c r="AJ136" s="223"/>
    </row>
    <row r="137" spans="1:36" x14ac:dyDescent="0.25">
      <c r="A137" s="134"/>
      <c r="B137" s="223"/>
      <c r="C137" s="223"/>
      <c r="D137" s="223"/>
      <c r="E137" s="223"/>
      <c r="F137" s="223"/>
      <c r="G137" s="223"/>
      <c r="H137" s="223"/>
      <c r="I137" s="223"/>
      <c r="J137" s="223"/>
      <c r="K137" s="223"/>
      <c r="L137" s="223"/>
      <c r="M137" s="223"/>
      <c r="N137" s="223"/>
      <c r="O137" s="223"/>
      <c r="P137" s="223"/>
      <c r="Q137" s="223"/>
      <c r="R137" s="223"/>
      <c r="S137" s="223"/>
      <c r="T137" s="223"/>
      <c r="U137" s="223"/>
      <c r="V137" s="223"/>
      <c r="W137" s="223"/>
      <c r="X137" s="223"/>
      <c r="Y137" s="223"/>
      <c r="Z137" s="223"/>
      <c r="AA137" s="223"/>
      <c r="AB137" s="223"/>
      <c r="AC137" s="223"/>
      <c r="AD137" s="223"/>
      <c r="AE137" s="223"/>
      <c r="AF137" s="223"/>
      <c r="AG137" s="223"/>
      <c r="AH137" s="223"/>
      <c r="AI137" s="223"/>
      <c r="AJ137" s="223"/>
    </row>
    <row r="138" spans="1:36" x14ac:dyDescent="0.25">
      <c r="A138" s="134"/>
      <c r="B138" s="223"/>
      <c r="C138" s="223"/>
      <c r="D138" s="223"/>
      <c r="E138" s="223"/>
      <c r="F138" s="223"/>
      <c r="G138" s="223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3"/>
      <c r="U138" s="223"/>
      <c r="V138" s="223"/>
      <c r="W138" s="223"/>
      <c r="X138" s="223"/>
      <c r="Y138" s="223"/>
      <c r="Z138" s="223"/>
      <c r="AA138" s="223"/>
      <c r="AB138" s="223"/>
      <c r="AC138" s="223"/>
      <c r="AD138" s="223"/>
      <c r="AE138" s="223"/>
      <c r="AF138" s="223"/>
      <c r="AG138" s="223"/>
      <c r="AH138" s="223"/>
      <c r="AI138" s="223"/>
      <c r="AJ138" s="223"/>
    </row>
    <row r="139" spans="1:36" x14ac:dyDescent="0.25">
      <c r="A139" s="134"/>
      <c r="B139" s="223"/>
      <c r="C139" s="223"/>
      <c r="D139" s="223"/>
      <c r="E139" s="223"/>
      <c r="F139" s="223"/>
      <c r="G139" s="223"/>
      <c r="H139" s="223"/>
      <c r="I139" s="223"/>
      <c r="J139" s="223"/>
      <c r="K139" s="223"/>
      <c r="L139" s="223"/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  <c r="X139" s="223"/>
      <c r="Y139" s="223"/>
      <c r="Z139" s="223"/>
      <c r="AA139" s="223"/>
      <c r="AB139" s="223"/>
      <c r="AC139" s="223"/>
      <c r="AD139" s="223"/>
      <c r="AE139" s="223"/>
      <c r="AF139" s="223"/>
      <c r="AG139" s="223"/>
      <c r="AH139" s="223"/>
      <c r="AI139" s="223"/>
      <c r="AJ139" s="223"/>
    </row>
    <row r="140" spans="1:36" x14ac:dyDescent="0.25">
      <c r="A140" s="134"/>
      <c r="B140" s="223"/>
      <c r="C140" s="223"/>
      <c r="D140" s="223"/>
      <c r="E140" s="223"/>
      <c r="F140" s="223"/>
      <c r="G140" s="223"/>
      <c r="H140" s="223"/>
      <c r="I140" s="223"/>
      <c r="J140" s="223"/>
      <c r="K140" s="223"/>
      <c r="L140" s="223"/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  <c r="X140" s="223"/>
      <c r="Y140" s="223"/>
      <c r="Z140" s="223"/>
      <c r="AA140" s="223"/>
      <c r="AB140" s="223"/>
      <c r="AC140" s="223"/>
      <c r="AD140" s="223"/>
      <c r="AE140" s="223"/>
      <c r="AF140" s="223"/>
      <c r="AG140" s="223"/>
      <c r="AH140" s="223"/>
      <c r="AI140" s="223"/>
      <c r="AJ140" s="223"/>
    </row>
    <row r="141" spans="1:36" x14ac:dyDescent="0.25">
      <c r="A141" s="134"/>
      <c r="B141" s="223"/>
      <c r="C141" s="223"/>
      <c r="D141" s="223"/>
      <c r="E141" s="223"/>
      <c r="F141" s="223"/>
      <c r="G141" s="223"/>
      <c r="H141" s="223"/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3"/>
      <c r="AA141" s="223"/>
      <c r="AB141" s="223"/>
      <c r="AC141" s="223"/>
      <c r="AD141" s="223"/>
      <c r="AE141" s="223"/>
      <c r="AF141" s="223"/>
      <c r="AG141" s="223"/>
      <c r="AH141" s="223"/>
      <c r="AI141" s="223"/>
      <c r="AJ141" s="223"/>
    </row>
    <row r="142" spans="1:36" x14ac:dyDescent="0.25">
      <c r="A142" s="134"/>
      <c r="B142" s="223"/>
      <c r="C142" s="223"/>
      <c r="D142" s="223"/>
      <c r="E142" s="223"/>
      <c r="F142" s="223"/>
      <c r="G142" s="223"/>
      <c r="H142" s="223"/>
      <c r="I142" s="223"/>
      <c r="J142" s="223"/>
      <c r="K142" s="223"/>
      <c r="L142" s="223"/>
      <c r="M142" s="223"/>
      <c r="N142" s="223"/>
      <c r="O142" s="223"/>
      <c r="P142" s="223"/>
      <c r="Q142" s="223"/>
      <c r="R142" s="223"/>
      <c r="S142" s="223"/>
      <c r="T142" s="223"/>
      <c r="U142" s="223"/>
      <c r="V142" s="223"/>
      <c r="W142" s="223"/>
      <c r="X142" s="223"/>
      <c r="Y142" s="223"/>
      <c r="Z142" s="223"/>
      <c r="AA142" s="223"/>
      <c r="AB142" s="223"/>
      <c r="AC142" s="223"/>
      <c r="AD142" s="223"/>
      <c r="AE142" s="223"/>
      <c r="AF142" s="223"/>
      <c r="AG142" s="223"/>
      <c r="AH142" s="223"/>
      <c r="AI142" s="223"/>
      <c r="AJ142" s="223"/>
    </row>
    <row r="143" spans="1:36" x14ac:dyDescent="0.25">
      <c r="A143" s="134"/>
      <c r="B143" s="223"/>
      <c r="C143" s="223"/>
      <c r="D143" s="223"/>
      <c r="E143" s="223"/>
      <c r="F143" s="223"/>
      <c r="G143" s="223"/>
      <c r="H143" s="223"/>
      <c r="I143" s="223"/>
      <c r="J143" s="223"/>
      <c r="K143" s="223"/>
      <c r="L143" s="223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223"/>
      <c r="Z143" s="223"/>
      <c r="AA143" s="223"/>
      <c r="AB143" s="223"/>
      <c r="AC143" s="223"/>
      <c r="AD143" s="223"/>
      <c r="AE143" s="223"/>
      <c r="AF143" s="223"/>
      <c r="AG143" s="223"/>
      <c r="AH143" s="223"/>
      <c r="AI143" s="223"/>
      <c r="AJ143" s="223"/>
    </row>
    <row r="144" spans="1:36" x14ac:dyDescent="0.25">
      <c r="A144" s="134"/>
      <c r="B144" s="223"/>
      <c r="C144" s="223"/>
      <c r="D144" s="223"/>
      <c r="E144" s="223"/>
      <c r="F144" s="223"/>
      <c r="G144" s="223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3"/>
      <c r="U144" s="223"/>
      <c r="V144" s="223"/>
      <c r="W144" s="223"/>
      <c r="X144" s="223"/>
      <c r="Y144" s="223"/>
      <c r="Z144" s="223"/>
      <c r="AA144" s="223"/>
      <c r="AB144" s="223"/>
      <c r="AC144" s="165"/>
    </row>
    <row r="145" spans="1:29" x14ac:dyDescent="0.25">
      <c r="A145" s="134"/>
      <c r="B145" s="223"/>
      <c r="C145" s="223"/>
      <c r="D145" s="223"/>
      <c r="E145" s="223"/>
      <c r="F145" s="223"/>
      <c r="G145" s="223"/>
      <c r="H145" s="223"/>
      <c r="I145" s="223"/>
      <c r="J145" s="223"/>
      <c r="K145" s="223"/>
      <c r="L145" s="223"/>
      <c r="M145" s="223"/>
      <c r="N145" s="223"/>
      <c r="O145" s="223"/>
      <c r="P145" s="223"/>
      <c r="Q145" s="223"/>
      <c r="R145" s="223"/>
      <c r="S145" s="223"/>
      <c r="T145" s="223"/>
      <c r="U145" s="223"/>
      <c r="V145" s="223"/>
      <c r="W145" s="223"/>
      <c r="X145" s="223"/>
      <c r="Y145" s="223"/>
      <c r="Z145" s="223"/>
      <c r="AA145" s="223"/>
      <c r="AB145" s="223"/>
      <c r="AC145" s="165"/>
    </row>
    <row r="146" spans="1:29" x14ac:dyDescent="0.25">
      <c r="A146" s="134"/>
      <c r="B146" s="223"/>
      <c r="C146" s="223"/>
      <c r="D146" s="223"/>
      <c r="E146" s="223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  <c r="AA146" s="223"/>
      <c r="AB146" s="165"/>
    </row>
    <row r="147" spans="1:29" x14ac:dyDescent="0.25">
      <c r="A147" s="166"/>
      <c r="B147" s="167"/>
      <c r="C147" s="167"/>
      <c r="D147" s="167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  <c r="AA147" s="167"/>
      <c r="AB147" s="168"/>
    </row>
  </sheetData>
  <mergeCells count="239">
    <mergeCell ref="B78:B79"/>
    <mergeCell ref="C78:C79"/>
    <mergeCell ref="D78:D79"/>
    <mergeCell ref="A61:A62"/>
    <mergeCell ref="A68:A69"/>
    <mergeCell ref="A52:A53"/>
    <mergeCell ref="C38:C39"/>
    <mergeCell ref="D38:D39"/>
    <mergeCell ref="G38:G39"/>
    <mergeCell ref="G52:G53"/>
    <mergeCell ref="AX52:AX53"/>
    <mergeCell ref="AY52:AY53"/>
    <mergeCell ref="AQ52:AQ53"/>
    <mergeCell ref="G94:G95"/>
    <mergeCell ref="H94:H95"/>
    <mergeCell ref="K94:L94"/>
    <mergeCell ref="M94:N94"/>
    <mergeCell ref="E94:E95"/>
    <mergeCell ref="F94:F95"/>
    <mergeCell ref="AU52:AU53"/>
    <mergeCell ref="AV52:AV53"/>
    <mergeCell ref="AW52:AW53"/>
    <mergeCell ref="G68:G69"/>
    <mergeCell ref="H68:H69"/>
    <mergeCell ref="W68:W69"/>
    <mergeCell ref="X68:X69"/>
    <mergeCell ref="AQ61:AQ62"/>
    <mergeCell ref="AR61:AR62"/>
    <mergeCell ref="AT61:AT62"/>
    <mergeCell ref="AK61:AK62"/>
    <mergeCell ref="E52:E53"/>
    <mergeCell ref="F52:F53"/>
    <mergeCell ref="AY78:AY79"/>
    <mergeCell ref="AS52:AS53"/>
    <mergeCell ref="AK78:AK79"/>
    <mergeCell ref="A5:A6"/>
    <mergeCell ref="B5:B6"/>
    <mergeCell ref="C5:C6"/>
    <mergeCell ref="D5:D6"/>
    <mergeCell ref="E5:E6"/>
    <mergeCell ref="F5:F6"/>
    <mergeCell ref="B52:B53"/>
    <mergeCell ref="C52:C53"/>
    <mergeCell ref="D52:D53"/>
    <mergeCell ref="A22:A23"/>
    <mergeCell ref="A38:A39"/>
    <mergeCell ref="E22:E23"/>
    <mergeCell ref="F22:F23"/>
    <mergeCell ref="C22:C23"/>
    <mergeCell ref="D22:D23"/>
    <mergeCell ref="B36:F36"/>
    <mergeCell ref="B68:B69"/>
    <mergeCell ref="C68:C69"/>
    <mergeCell ref="D68:D69"/>
    <mergeCell ref="K38:L38"/>
    <mergeCell ref="W52:W53"/>
    <mergeCell ref="X52:X53"/>
    <mergeCell ref="A78:A79"/>
    <mergeCell ref="AX5:AX6"/>
    <mergeCell ref="AY5:AY6"/>
    <mergeCell ref="AR5:AR6"/>
    <mergeCell ref="AT5:AT6"/>
    <mergeCell ref="AU5:AU6"/>
    <mergeCell ref="AV5:AV6"/>
    <mergeCell ref="AQ5:AQ6"/>
    <mergeCell ref="M22:M23"/>
    <mergeCell ref="N22:N23"/>
    <mergeCell ref="O22:O23"/>
    <mergeCell ref="U22:U23"/>
    <mergeCell ref="M5:N5"/>
    <mergeCell ref="O5:P5"/>
    <mergeCell ref="AH5:AH6"/>
    <mergeCell ref="AI5:AI6"/>
    <mergeCell ref="V22:V23"/>
    <mergeCell ref="W22:W23"/>
    <mergeCell ref="P22:P23"/>
    <mergeCell ref="AI22:AI23"/>
    <mergeCell ref="AJ22:AJ23"/>
    <mergeCell ref="AK22:AK23"/>
    <mergeCell ref="T22:T23"/>
    <mergeCell ref="X22:X23"/>
    <mergeCell ref="Q5:R5"/>
    <mergeCell ref="AW5:AW6"/>
    <mergeCell ref="AI52:AI53"/>
    <mergeCell ref="S5:T5"/>
    <mergeCell ref="U5:V5"/>
    <mergeCell ref="W5:W6"/>
    <mergeCell ref="X5:X6"/>
    <mergeCell ref="G5:G6"/>
    <mergeCell ref="B38:B39"/>
    <mergeCell ref="G22:G23"/>
    <mergeCell ref="H22:H23"/>
    <mergeCell ref="H5:H6"/>
    <mergeCell ref="K5:L5"/>
    <mergeCell ref="K22:L22"/>
    <mergeCell ref="E38:E39"/>
    <mergeCell ref="AC52:AC53"/>
    <mergeCell ref="AD52:AD53"/>
    <mergeCell ref="AJ5:AJ6"/>
    <mergeCell ref="B22:B23"/>
    <mergeCell ref="AA22:AA23"/>
    <mergeCell ref="AB22:AB23"/>
    <mergeCell ref="Z22:Z23"/>
    <mergeCell ref="Y22:Y23"/>
    <mergeCell ref="S22:S23"/>
    <mergeCell ref="AL5:AL6"/>
    <mergeCell ref="AA78:AA79"/>
    <mergeCell ref="AB78:AB79"/>
    <mergeCell ref="D61:D62"/>
    <mergeCell ref="E61:E62"/>
    <mergeCell ref="F61:F62"/>
    <mergeCell ref="G61:G62"/>
    <mergeCell ref="H61:H62"/>
    <mergeCell ref="W61:W62"/>
    <mergeCell ref="X61:X62"/>
    <mergeCell ref="Y61:Y62"/>
    <mergeCell ref="AA61:AA62"/>
    <mergeCell ref="AB61:AB62"/>
    <mergeCell ref="K61:L61"/>
    <mergeCell ref="F68:F69"/>
    <mergeCell ref="K68:L68"/>
    <mergeCell ref="Y68:Y69"/>
    <mergeCell ref="AA68:AA69"/>
    <mergeCell ref="AW78:AW79"/>
    <mergeCell ref="AX78:AX79"/>
    <mergeCell ref="AB68:AB69"/>
    <mergeCell ref="AC68:AC69"/>
    <mergeCell ref="AD68:AD69"/>
    <mergeCell ref="E68:E69"/>
    <mergeCell ref="AU78:AU79"/>
    <mergeCell ref="AC78:AC79"/>
    <mergeCell ref="AD78:AD79"/>
    <mergeCell ref="AE78:AE79"/>
    <mergeCell ref="AQ78:AQ79"/>
    <mergeCell ref="AR78:AR79"/>
    <mergeCell ref="AT78:AT79"/>
    <mergeCell ref="AJ78:AJ79"/>
    <mergeCell ref="AH78:AH79"/>
    <mergeCell ref="AI78:AI79"/>
    <mergeCell ref="E78:E79"/>
    <mergeCell ref="F78:F79"/>
    <mergeCell ref="G78:G79"/>
    <mergeCell ref="H78:H79"/>
    <mergeCell ref="K78:L78"/>
    <mergeCell ref="W78:W79"/>
    <mergeCell ref="X78:X79"/>
    <mergeCell ref="Y78:Y79"/>
    <mergeCell ref="F106:F107"/>
    <mergeCell ref="G106:G107"/>
    <mergeCell ref="H106:H107"/>
    <mergeCell ref="K106:L106"/>
    <mergeCell ref="B61:B62"/>
    <mergeCell ref="AY68:AY69"/>
    <mergeCell ref="AY61:AY62"/>
    <mergeCell ref="AX61:AX62"/>
    <mergeCell ref="AU68:AU69"/>
    <mergeCell ref="AV68:AV69"/>
    <mergeCell ref="AI68:AI69"/>
    <mergeCell ref="AJ68:AJ69"/>
    <mergeCell ref="AK68:AK69"/>
    <mergeCell ref="AE68:AE69"/>
    <mergeCell ref="AH68:AH69"/>
    <mergeCell ref="AV61:AV62"/>
    <mergeCell ref="AW61:AW62"/>
    <mergeCell ref="AW68:AW69"/>
    <mergeCell ref="AX68:AX69"/>
    <mergeCell ref="AU61:AU62"/>
    <mergeCell ref="AQ68:AQ69"/>
    <mergeCell ref="AR68:AR69"/>
    <mergeCell ref="AT68:AT69"/>
    <mergeCell ref="AV78:AV79"/>
    <mergeCell ref="A94:A95"/>
    <mergeCell ref="B94:B95"/>
    <mergeCell ref="C94:C95"/>
    <mergeCell ref="D94:D95"/>
    <mergeCell ref="A106:A107"/>
    <mergeCell ref="B106:B107"/>
    <mergeCell ref="C106:C107"/>
    <mergeCell ref="D106:D107"/>
    <mergeCell ref="E106:E107"/>
    <mergeCell ref="AY22:AY23"/>
    <mergeCell ref="AF22:AF23"/>
    <mergeCell ref="AG22:AG23"/>
    <mergeCell ref="AH22:AH23"/>
    <mergeCell ref="AT22:AT23"/>
    <mergeCell ref="AC22:AC23"/>
    <mergeCell ref="AD22:AD23"/>
    <mergeCell ref="AE22:AE23"/>
    <mergeCell ref="AR22:AR23"/>
    <mergeCell ref="AU22:AU23"/>
    <mergeCell ref="AV22:AV23"/>
    <mergeCell ref="AW22:AW23"/>
    <mergeCell ref="AX22:AX23"/>
    <mergeCell ref="AQ22:AQ23"/>
    <mergeCell ref="AM5:AM6"/>
    <mergeCell ref="AN5:AN6"/>
    <mergeCell ref="AO5:AO6"/>
    <mergeCell ref="AP5:AP6"/>
    <mergeCell ref="AS5:AS6"/>
    <mergeCell ref="C61:C62"/>
    <mergeCell ref="K52:L52"/>
    <mergeCell ref="AJ52:AJ53"/>
    <mergeCell ref="AK52:AK53"/>
    <mergeCell ref="AE52:AE53"/>
    <mergeCell ref="AH52:AH53"/>
    <mergeCell ref="Y52:Y53"/>
    <mergeCell ref="AA52:AA53"/>
    <mergeCell ref="AB52:AB53"/>
    <mergeCell ref="Z52:Z53"/>
    <mergeCell ref="AC61:AC62"/>
    <mergeCell ref="AD61:AD62"/>
    <mergeCell ref="AE61:AE62"/>
    <mergeCell ref="H52:H53"/>
    <mergeCell ref="H38:H39"/>
    <mergeCell ref="AH61:AH62"/>
    <mergeCell ref="AI61:AI62"/>
    <mergeCell ref="AJ61:AJ62"/>
    <mergeCell ref="F38:F39"/>
    <mergeCell ref="AK5:AK6"/>
    <mergeCell ref="B20:F20"/>
    <mergeCell ref="Y5:Y6"/>
    <mergeCell ref="AA5:AA6"/>
    <mergeCell ref="AB5:AB6"/>
    <mergeCell ref="AC5:AC6"/>
    <mergeCell ref="AD5:AD6"/>
    <mergeCell ref="AE5:AE6"/>
    <mergeCell ref="AG5:AG6"/>
    <mergeCell ref="Z5:Z6"/>
    <mergeCell ref="I5:J5"/>
    <mergeCell ref="M38:M39"/>
    <mergeCell ref="N38:N39"/>
    <mergeCell ref="O38:O39"/>
    <mergeCell ref="P38:P39"/>
    <mergeCell ref="Q38:Q39"/>
    <mergeCell ref="R38:R39"/>
    <mergeCell ref="AR52:AR53"/>
    <mergeCell ref="AT52:AT53"/>
    <mergeCell ref="Q22:Q23"/>
    <mergeCell ref="R22:R23"/>
  </mergeCells>
  <pageMargins left="0.17" right="0" top="0.74803149606299213" bottom="0.74803149606299213" header="0.31496062992125984" footer="0.31496062992125984"/>
  <pageSetup paperSize="9" scale="91" orientation="landscape" horizontalDpi="180" verticalDpi="180" r:id="rId1"/>
  <ignoredErrors>
    <ignoredError sqref="AL14 W31 P4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Q101"/>
  <sheetViews>
    <sheetView topLeftCell="C4" workbookViewId="0">
      <selection activeCell="K20" sqref="K20"/>
    </sheetView>
  </sheetViews>
  <sheetFormatPr defaultRowHeight="15" x14ac:dyDescent="0.25"/>
  <cols>
    <col min="1" max="1" width="5.42578125" customWidth="1"/>
    <col min="2" max="2" width="9.28515625" customWidth="1"/>
    <col min="3" max="3" width="21.85546875" customWidth="1"/>
    <col min="4" max="4" width="9" customWidth="1"/>
    <col min="5" max="5" width="9.42578125" customWidth="1"/>
    <col min="6" max="6" width="9.85546875" customWidth="1"/>
    <col min="7" max="7" width="9.140625" customWidth="1"/>
    <col min="8" max="8" width="10.28515625" customWidth="1"/>
    <col min="9" max="9" width="11.5703125" hidden="1" customWidth="1"/>
    <col min="10" max="10" width="10.28515625" hidden="1" customWidth="1"/>
    <col min="11" max="12" width="12" customWidth="1"/>
    <col min="13" max="14" width="12" hidden="1" customWidth="1"/>
    <col min="15" max="15" width="12.42578125" customWidth="1"/>
    <col min="16" max="16" width="10.42578125" customWidth="1"/>
    <col min="17" max="17" width="10.5703125" hidden="1" customWidth="1"/>
    <col min="18" max="18" width="10.28515625" hidden="1" customWidth="1"/>
    <col min="19" max="19" width="9.42578125" hidden="1" customWidth="1"/>
    <col min="20" max="20" width="11.140625" customWidth="1"/>
    <col min="21" max="21" width="10.140625" hidden="1" customWidth="1"/>
    <col min="22" max="22" width="12" customWidth="1"/>
    <col min="23" max="23" width="10.28515625" customWidth="1"/>
    <col min="24" max="24" width="10.140625" customWidth="1"/>
    <col min="25" max="26" width="10.7109375" customWidth="1"/>
    <col min="27" max="27" width="11.5703125" hidden="1" customWidth="1"/>
    <col min="28" max="30" width="9.85546875" customWidth="1"/>
    <col min="31" max="31" width="10" customWidth="1"/>
    <col min="32" max="32" width="10.5703125" customWidth="1"/>
    <col min="33" max="33" width="13.7109375" customWidth="1"/>
  </cols>
  <sheetData>
    <row r="1" spans="1:69" x14ac:dyDescent="0.25">
      <c r="AA1" s="34"/>
      <c r="AF1" s="250"/>
      <c r="AG1" s="250"/>
      <c r="AH1" s="250"/>
    </row>
    <row r="2" spans="1:69" ht="18.75" x14ac:dyDescent="0.3">
      <c r="D2" s="2095" t="s">
        <v>322</v>
      </c>
      <c r="E2" s="2095"/>
      <c r="F2" s="2095"/>
      <c r="G2" s="2095"/>
      <c r="H2" s="2095"/>
      <c r="I2" s="2095"/>
      <c r="J2" s="2095"/>
      <c r="K2" s="2095"/>
      <c r="L2" s="2095"/>
      <c r="M2" s="2095"/>
      <c r="N2" s="2095"/>
      <c r="O2" s="2095"/>
      <c r="P2" s="2095"/>
      <c r="Q2" s="2095"/>
      <c r="R2" s="2095"/>
      <c r="S2" s="2095"/>
      <c r="T2" s="2095"/>
      <c r="U2" s="2095"/>
      <c r="V2" s="24"/>
      <c r="W2" s="24"/>
      <c r="X2" s="24"/>
      <c r="Y2" s="24"/>
      <c r="Z2" s="24"/>
      <c r="AA2" s="34"/>
      <c r="AF2" s="250"/>
      <c r="AG2" s="250"/>
      <c r="AH2" s="250"/>
    </row>
    <row r="3" spans="1:69" ht="15.75" x14ac:dyDescent="0.25">
      <c r="D3" s="2096" t="s">
        <v>561</v>
      </c>
      <c r="E3" s="2096"/>
      <c r="F3" s="2096"/>
      <c r="G3" s="2096"/>
      <c r="H3" s="2096"/>
      <c r="I3" s="2096"/>
      <c r="J3" s="2096"/>
      <c r="K3" s="2096"/>
      <c r="L3" s="2096"/>
      <c r="M3" s="2096"/>
      <c r="N3" s="2096"/>
      <c r="O3" s="2096"/>
      <c r="P3" s="2096"/>
      <c r="Q3" s="2096"/>
      <c r="R3" s="2096"/>
      <c r="S3" s="2096"/>
      <c r="T3" s="2096"/>
      <c r="U3" s="2096"/>
      <c r="V3" s="25"/>
      <c r="W3" s="25"/>
      <c r="X3" s="478"/>
      <c r="Y3" s="478"/>
      <c r="Z3" s="478"/>
      <c r="AA3" s="34"/>
      <c r="AF3" s="250"/>
      <c r="AG3" s="250"/>
      <c r="AH3" s="250"/>
    </row>
    <row r="4" spans="1:69" x14ac:dyDescent="0.25">
      <c r="X4" s="479"/>
      <c r="Y4" s="479"/>
      <c r="Z4" s="479"/>
      <c r="AA4" s="34"/>
      <c r="AF4" s="250"/>
      <c r="AG4" s="250"/>
      <c r="AH4" s="250"/>
    </row>
    <row r="5" spans="1:69" ht="40.5" customHeight="1" x14ac:dyDescent="0.25">
      <c r="A5" s="2083" t="s">
        <v>0</v>
      </c>
      <c r="B5" s="2014"/>
      <c r="C5" s="2083" t="s">
        <v>184</v>
      </c>
      <c r="D5" s="2083" t="s">
        <v>54</v>
      </c>
      <c r="E5" s="2014" t="s">
        <v>55</v>
      </c>
      <c r="F5" s="2083" t="s">
        <v>56</v>
      </c>
      <c r="G5" s="2083" t="s">
        <v>57</v>
      </c>
      <c r="H5" s="2014" t="s">
        <v>6</v>
      </c>
      <c r="I5" s="2097" t="s">
        <v>593</v>
      </c>
      <c r="J5" s="2060"/>
      <c r="K5" s="1989" t="s">
        <v>538</v>
      </c>
      <c r="L5" s="1990"/>
      <c r="M5" s="2017" t="s">
        <v>598</v>
      </c>
      <c r="N5" s="2017"/>
      <c r="O5" s="1987" t="s">
        <v>181</v>
      </c>
      <c r="P5" s="2009" t="s">
        <v>332</v>
      </c>
      <c r="Q5" s="1987" t="s">
        <v>377</v>
      </c>
      <c r="R5" s="2003" t="s">
        <v>11</v>
      </c>
      <c r="S5" s="2003" t="s">
        <v>570</v>
      </c>
      <c r="T5" s="2003" t="s">
        <v>568</v>
      </c>
      <c r="U5" s="1997" t="s">
        <v>562</v>
      </c>
      <c r="V5" s="2102" t="s">
        <v>12</v>
      </c>
      <c r="W5" s="2009" t="s">
        <v>14</v>
      </c>
      <c r="X5" s="2007" t="s">
        <v>174</v>
      </c>
      <c r="Y5" s="1987" t="s">
        <v>323</v>
      </c>
      <c r="Z5" s="2005" t="s">
        <v>569</v>
      </c>
      <c r="AA5" s="1987" t="s">
        <v>175</v>
      </c>
      <c r="AB5" s="2005" t="s">
        <v>610</v>
      </c>
      <c r="AC5" s="2005" t="s">
        <v>611</v>
      </c>
      <c r="AD5" s="2001" t="s">
        <v>182</v>
      </c>
      <c r="AE5" s="1999" t="s">
        <v>544</v>
      </c>
      <c r="AF5" s="1995" t="s">
        <v>566</v>
      </c>
      <c r="AG5" s="250"/>
      <c r="AH5" s="250"/>
    </row>
    <row r="6" spans="1:69" ht="49.5" customHeight="1" x14ac:dyDescent="0.25">
      <c r="A6" s="2083"/>
      <c r="B6" s="2015"/>
      <c r="C6" s="2083"/>
      <c r="D6" s="2083"/>
      <c r="E6" s="2015"/>
      <c r="F6" s="2083"/>
      <c r="G6" s="2083"/>
      <c r="H6" s="2015"/>
      <c r="I6" s="150" t="s">
        <v>15</v>
      </c>
      <c r="J6" s="603" t="s">
        <v>16</v>
      </c>
      <c r="K6" s="150" t="s">
        <v>15</v>
      </c>
      <c r="L6" s="161" t="s">
        <v>16</v>
      </c>
      <c r="M6" s="150" t="s">
        <v>15</v>
      </c>
      <c r="N6" s="603" t="s">
        <v>16</v>
      </c>
      <c r="O6" s="1988"/>
      <c r="P6" s="2009"/>
      <c r="Q6" s="1988"/>
      <c r="R6" s="2004"/>
      <c r="S6" s="2002"/>
      <c r="T6" s="2004"/>
      <c r="U6" s="1998"/>
      <c r="V6" s="2102"/>
      <c r="W6" s="2009"/>
      <c r="X6" s="2098"/>
      <c r="Y6" s="1988"/>
      <c r="Z6" s="2099"/>
      <c r="AA6" s="1988"/>
      <c r="AB6" s="2006"/>
      <c r="AC6" s="2006"/>
      <c r="AD6" s="2002"/>
      <c r="AE6" s="2000"/>
      <c r="AF6" s="1996"/>
      <c r="AG6" s="250"/>
      <c r="AH6" s="250"/>
    </row>
    <row r="7" spans="1:69" x14ac:dyDescent="0.25">
      <c r="A7" s="32">
        <v>1</v>
      </c>
      <c r="B7" s="582"/>
      <c r="C7" s="42" t="s">
        <v>145</v>
      </c>
      <c r="D7" s="705">
        <v>1960</v>
      </c>
      <c r="E7" s="705">
        <v>2</v>
      </c>
      <c r="F7" s="866">
        <v>16</v>
      </c>
      <c r="G7" s="867">
        <v>35</v>
      </c>
      <c r="H7" s="866">
        <v>636.4</v>
      </c>
      <c r="I7" s="866">
        <v>423.36</v>
      </c>
      <c r="J7" s="866">
        <v>195.79</v>
      </c>
      <c r="K7" s="625">
        <v>17813.36</v>
      </c>
      <c r="L7" s="625">
        <v>18624.400000000001</v>
      </c>
      <c r="M7" s="625">
        <f>I7+K7</f>
        <v>18236.72</v>
      </c>
      <c r="N7" s="625">
        <f>J7+L7</f>
        <v>18820.190000000002</v>
      </c>
      <c r="O7" s="625">
        <f>P7+Q7+R7+S7+T7+U7+V7+W7+X7+Y7+Z7</f>
        <v>16031.019195367295</v>
      </c>
      <c r="P7" s="868">
        <v>175.42</v>
      </c>
      <c r="Q7" s="525">
        <f>35594.54/37786.48*H7</f>
        <v>599.48334049638913</v>
      </c>
      <c r="R7" s="625">
        <v>569.79999999999995</v>
      </c>
      <c r="S7" s="525">
        <f>528.36/37786.48*H7</f>
        <v>8.8986405719717734</v>
      </c>
      <c r="T7" s="625">
        <f>1000/37786.48*H7</f>
        <v>16.842002748072854</v>
      </c>
      <c r="U7" s="625">
        <f>19237.68/37786.48*H7</f>
        <v>324.00105942654614</v>
      </c>
      <c r="V7" s="625">
        <f>336293.77/1054493.81*K7</f>
        <v>5680.9456195548464</v>
      </c>
      <c r="W7" s="625">
        <f>38743.6/37786.48*H7</f>
        <v>652.5198176702354</v>
      </c>
      <c r="X7" s="625">
        <f>42703.81/37786.48*H7</f>
        <v>719.21768537318098</v>
      </c>
      <c r="Y7" s="625">
        <f>353648.35/37140.08*H7</f>
        <v>6059.8095087571155</v>
      </c>
      <c r="Z7" s="625">
        <f>Y7*0.202</f>
        <v>1224.0815207689375</v>
      </c>
      <c r="AA7" s="736">
        <f>M7-O7</f>
        <v>2205.7008046327064</v>
      </c>
      <c r="AB7" s="736">
        <f>L7/K7*100</f>
        <v>104.55298719612696</v>
      </c>
      <c r="AC7" s="736">
        <f>J7/I7*100</f>
        <v>46.246693121693113</v>
      </c>
      <c r="AD7" s="736">
        <f>O7/H7/4</f>
        <v>6.2975405387206536</v>
      </c>
      <c r="AE7" s="736">
        <v>6.99</v>
      </c>
      <c r="AF7" s="736">
        <f>M7-N7</f>
        <v>-583.47000000000116</v>
      </c>
      <c r="AG7" s="250"/>
      <c r="AH7" s="250"/>
    </row>
    <row r="8" spans="1:69" x14ac:dyDescent="0.25">
      <c r="A8" s="32">
        <v>2</v>
      </c>
      <c r="B8" s="582"/>
      <c r="C8" s="42" t="s">
        <v>146</v>
      </c>
      <c r="D8" s="705">
        <v>1960</v>
      </c>
      <c r="E8" s="705">
        <v>2</v>
      </c>
      <c r="F8" s="866">
        <v>16</v>
      </c>
      <c r="G8" s="867">
        <v>27</v>
      </c>
      <c r="H8" s="866">
        <v>647.79999999999995</v>
      </c>
      <c r="I8" s="866">
        <v>423.24</v>
      </c>
      <c r="J8" s="866">
        <v>213.05</v>
      </c>
      <c r="K8" s="625">
        <v>18138.400000000001</v>
      </c>
      <c r="L8" s="625">
        <v>13904.31</v>
      </c>
      <c r="M8" s="625">
        <f t="shared" ref="M8:M33" si="0">I8+K8</f>
        <v>18561.640000000003</v>
      </c>
      <c r="N8" s="625">
        <f t="shared" ref="N8:N33" si="1">J8+L8</f>
        <v>14117.359999999999</v>
      </c>
      <c r="O8" s="625">
        <f t="shared" ref="O8:O33" si="2">P8+Q8+R8+S8+T8+U8+V8+W8+X8+Y8+Z8</f>
        <v>16391.453548454181</v>
      </c>
      <c r="P8" s="868">
        <v>270.5</v>
      </c>
      <c r="Q8" s="525">
        <f t="shared" ref="Q8:Q33" si="3">35594.54/37786.48*H8</f>
        <v>610.22204269887004</v>
      </c>
      <c r="R8" s="625">
        <v>559.44000000000005</v>
      </c>
      <c r="S8" s="525">
        <f t="shared" ref="S8:S33" si="4">528.36/37786.48*H8</f>
        <v>9.0580442528650451</v>
      </c>
      <c r="T8" s="625">
        <f t="shared" ref="T8:T33" si="5">1000/37786.48*H8</f>
        <v>17.143697957576357</v>
      </c>
      <c r="U8" s="625">
        <f t="shared" ref="U8:U33" si="6">19237.68/37786.48*H8</f>
        <v>329.80497532450755</v>
      </c>
      <c r="V8" s="625">
        <f t="shared" ref="V8:V33" si="7">336293.77/1054493.81*K8</f>
        <v>5784.6057131127218</v>
      </c>
      <c r="W8" s="625">
        <f t="shared" ref="W8:W33" si="8">38743.6/37786.48*H8</f>
        <v>664.20857618915534</v>
      </c>
      <c r="X8" s="625">
        <f t="shared" ref="X8:X33" si="9">42703.81/37786.48*H8</f>
        <v>732.10122027772877</v>
      </c>
      <c r="Y8" s="625">
        <f t="shared" ref="Y8:Y29" si="10">353648.35/37140.08*H8</f>
        <v>6168.3604647593638</v>
      </c>
      <c r="Z8" s="625">
        <f t="shared" ref="Z8:Z29" si="11">Y8*0.202</f>
        <v>1246.0088138813915</v>
      </c>
      <c r="AA8" s="736">
        <f t="shared" ref="AA8:AA33" si="12">M8-O8</f>
        <v>2170.1864515458219</v>
      </c>
      <c r="AB8" s="736">
        <f t="shared" ref="AB8:AB34" si="13">L8/K8*100</f>
        <v>76.656761346094456</v>
      </c>
      <c r="AC8" s="736">
        <f t="shared" ref="AC8:AC34" si="14">J8/I8*100</f>
        <v>50.337869766562704</v>
      </c>
      <c r="AD8" s="736">
        <f t="shared" ref="AD8:AD33" si="15">O8/H8/4</f>
        <v>6.3258156639603973</v>
      </c>
      <c r="AE8" s="736">
        <v>7</v>
      </c>
      <c r="AF8" s="736">
        <f t="shared" ref="AF8:AF34" si="16">M8-N8</f>
        <v>4444.2800000000043</v>
      </c>
      <c r="AG8" s="250"/>
      <c r="AH8" s="250"/>
    </row>
    <row r="9" spans="1:69" x14ac:dyDescent="0.25">
      <c r="A9" s="32">
        <v>3</v>
      </c>
      <c r="B9" s="582"/>
      <c r="C9" s="42" t="s">
        <v>147</v>
      </c>
      <c r="D9" s="705">
        <v>1960</v>
      </c>
      <c r="E9" s="705">
        <v>2</v>
      </c>
      <c r="F9" s="866">
        <v>16</v>
      </c>
      <c r="G9" s="867">
        <v>27</v>
      </c>
      <c r="H9" s="866">
        <v>641</v>
      </c>
      <c r="I9" s="866">
        <v>423.24</v>
      </c>
      <c r="J9" s="866">
        <v>273.16000000000003</v>
      </c>
      <c r="K9" s="625">
        <v>17922.52</v>
      </c>
      <c r="L9" s="625">
        <v>17765.53</v>
      </c>
      <c r="M9" s="625">
        <f t="shared" si="0"/>
        <v>18345.760000000002</v>
      </c>
      <c r="N9" s="625">
        <f t="shared" si="1"/>
        <v>18038.689999999999</v>
      </c>
      <c r="O9" s="625">
        <f t="shared" si="2"/>
        <v>17638.567346959244</v>
      </c>
      <c r="P9" s="868">
        <v>1689.09</v>
      </c>
      <c r="Q9" s="525">
        <f t="shared" si="3"/>
        <v>603.81650103423237</v>
      </c>
      <c r="R9" s="625">
        <v>559.44000000000005</v>
      </c>
      <c r="S9" s="525">
        <f t="shared" si="4"/>
        <v>8.962961355490112</v>
      </c>
      <c r="T9" s="625">
        <f t="shared" si="5"/>
        <v>16.963739411556723</v>
      </c>
      <c r="U9" s="625">
        <f t="shared" si="6"/>
        <v>326.34299040291654</v>
      </c>
      <c r="V9" s="625">
        <f t="shared" si="7"/>
        <v>5715.7583681789465</v>
      </c>
      <c r="W9" s="625">
        <f t="shared" si="8"/>
        <v>657.23633426558911</v>
      </c>
      <c r="X9" s="625">
        <f t="shared" si="9"/>
        <v>724.41630472063014</v>
      </c>
      <c r="Y9" s="625">
        <f t="shared" si="10"/>
        <v>6103.610771705391</v>
      </c>
      <c r="Z9" s="625">
        <f t="shared" si="11"/>
        <v>1232.929375884489</v>
      </c>
      <c r="AA9" s="736">
        <f t="shared" si="12"/>
        <v>707.19265304075816</v>
      </c>
      <c r="AB9" s="736">
        <f t="shared" si="13"/>
        <v>99.124062910796013</v>
      </c>
      <c r="AC9" s="736">
        <f t="shared" si="14"/>
        <v>64.540213590397883</v>
      </c>
      <c r="AD9" s="736">
        <f t="shared" si="15"/>
        <v>6.8793164379716236</v>
      </c>
      <c r="AE9" s="736">
        <v>6.99</v>
      </c>
      <c r="AF9" s="736">
        <f t="shared" si="16"/>
        <v>307.07000000000335</v>
      </c>
      <c r="AG9" s="250"/>
      <c r="AH9" s="250"/>
    </row>
    <row r="10" spans="1:69" x14ac:dyDescent="0.25">
      <c r="A10" s="32">
        <v>4</v>
      </c>
      <c r="B10" s="582"/>
      <c r="C10" s="42" t="s">
        <v>148</v>
      </c>
      <c r="D10" s="705">
        <v>1960</v>
      </c>
      <c r="E10" s="705">
        <v>2</v>
      </c>
      <c r="F10" s="866">
        <v>16</v>
      </c>
      <c r="G10" s="867">
        <v>27</v>
      </c>
      <c r="H10" s="866">
        <v>634</v>
      </c>
      <c r="I10" s="866">
        <v>423.33</v>
      </c>
      <c r="J10" s="866">
        <v>243.49</v>
      </c>
      <c r="K10" s="625">
        <v>17782.64</v>
      </c>
      <c r="L10" s="625">
        <v>15220.75</v>
      </c>
      <c r="M10" s="625">
        <f t="shared" si="0"/>
        <v>18205.97</v>
      </c>
      <c r="N10" s="625">
        <f t="shared" si="1"/>
        <v>15464.24</v>
      </c>
      <c r="O10" s="625">
        <f t="shared" si="2"/>
        <v>16068.070180788181</v>
      </c>
      <c r="P10" s="868">
        <v>268.85000000000002</v>
      </c>
      <c r="Q10" s="525">
        <f t="shared" si="3"/>
        <v>597.22256108534054</v>
      </c>
      <c r="R10" s="625">
        <v>559.44000000000005</v>
      </c>
      <c r="S10" s="525">
        <f t="shared" si="4"/>
        <v>8.8650819023100329</v>
      </c>
      <c r="T10" s="625">
        <f t="shared" si="5"/>
        <v>16.778487967124747</v>
      </c>
      <c r="U10" s="625">
        <f t="shared" si="6"/>
        <v>322.77918239539639</v>
      </c>
      <c r="V10" s="625">
        <f t="shared" si="7"/>
        <v>5671.1485543502622</v>
      </c>
      <c r="W10" s="625">
        <f t="shared" si="8"/>
        <v>650.05902640309432</v>
      </c>
      <c r="X10" s="625">
        <f t="shared" si="9"/>
        <v>716.50536223538143</v>
      </c>
      <c r="Y10" s="625">
        <f t="shared" si="10"/>
        <v>6036.9566759145364</v>
      </c>
      <c r="Z10" s="625">
        <f t="shared" si="11"/>
        <v>1219.4652485347365</v>
      </c>
      <c r="AA10" s="736">
        <f t="shared" si="12"/>
        <v>2137.8998192118197</v>
      </c>
      <c r="AB10" s="736">
        <f t="shared" si="13"/>
        <v>85.593308979993978</v>
      </c>
      <c r="AC10" s="736">
        <f t="shared" si="14"/>
        <v>57.51777573051757</v>
      </c>
      <c r="AD10" s="736">
        <f t="shared" si="15"/>
        <v>6.3359898189227843</v>
      </c>
      <c r="AE10" s="736">
        <v>6.99</v>
      </c>
      <c r="AF10" s="736">
        <f t="shared" si="16"/>
        <v>2741.7300000000014</v>
      </c>
      <c r="AG10" s="250"/>
      <c r="AH10" s="250"/>
    </row>
    <row r="11" spans="1:69" x14ac:dyDescent="0.25">
      <c r="A11" s="32">
        <v>5</v>
      </c>
      <c r="B11" s="582"/>
      <c r="C11" s="42" t="s">
        <v>149</v>
      </c>
      <c r="D11" s="705">
        <v>1960</v>
      </c>
      <c r="E11" s="705">
        <v>2</v>
      </c>
      <c r="F11" s="866">
        <v>16</v>
      </c>
      <c r="G11" s="867">
        <v>22</v>
      </c>
      <c r="H11" s="866">
        <v>632.20000000000005</v>
      </c>
      <c r="I11" s="866">
        <v>423.34</v>
      </c>
      <c r="J11" s="866">
        <v>241.28</v>
      </c>
      <c r="K11" s="625">
        <v>17650.16</v>
      </c>
      <c r="L11" s="625">
        <v>17472.84</v>
      </c>
      <c r="M11" s="625">
        <f t="shared" si="0"/>
        <v>18073.5</v>
      </c>
      <c r="N11" s="625">
        <f t="shared" si="1"/>
        <v>17714.12</v>
      </c>
      <c r="O11" s="625">
        <f t="shared" si="2"/>
        <v>15998.65387506252</v>
      </c>
      <c r="P11" s="868">
        <v>268.85000000000002</v>
      </c>
      <c r="Q11" s="525">
        <f t="shared" si="3"/>
        <v>595.5269765270541</v>
      </c>
      <c r="R11" s="625">
        <v>559.44000000000005</v>
      </c>
      <c r="S11" s="525">
        <f t="shared" si="4"/>
        <v>8.8399129000637267</v>
      </c>
      <c r="T11" s="625">
        <f t="shared" si="5"/>
        <v>16.73085188141367</v>
      </c>
      <c r="U11" s="625">
        <f t="shared" si="6"/>
        <v>321.86277462203407</v>
      </c>
      <c r="V11" s="625">
        <f t="shared" si="7"/>
        <v>5628.8987106554941</v>
      </c>
      <c r="W11" s="625">
        <f t="shared" si="8"/>
        <v>648.21343295273857</v>
      </c>
      <c r="X11" s="625">
        <f t="shared" si="9"/>
        <v>714.47111988203176</v>
      </c>
      <c r="Y11" s="625">
        <f t="shared" si="10"/>
        <v>6019.8170512826036</v>
      </c>
      <c r="Z11" s="625">
        <f t="shared" si="11"/>
        <v>1216.0030443590861</v>
      </c>
      <c r="AA11" s="736">
        <f t="shared" si="12"/>
        <v>2074.8461249374795</v>
      </c>
      <c r="AB11" s="736">
        <f t="shared" si="13"/>
        <v>98.995363214837724</v>
      </c>
      <c r="AC11" s="736">
        <f t="shared" si="14"/>
        <v>56.994378041290695</v>
      </c>
      <c r="AD11" s="736">
        <f t="shared" si="15"/>
        <v>6.3265793558456656</v>
      </c>
      <c r="AE11" s="736">
        <v>6.99</v>
      </c>
      <c r="AF11" s="736">
        <f t="shared" si="16"/>
        <v>359.38000000000102</v>
      </c>
      <c r="AG11" s="250"/>
      <c r="AH11" s="250"/>
    </row>
    <row r="12" spans="1:69" x14ac:dyDescent="0.25">
      <c r="A12" s="32">
        <v>6</v>
      </c>
      <c r="B12" s="582"/>
      <c r="C12" s="42" t="s">
        <v>150</v>
      </c>
      <c r="D12" s="705">
        <v>1966</v>
      </c>
      <c r="E12" s="690">
        <v>3</v>
      </c>
      <c r="F12" s="706">
        <v>36</v>
      </c>
      <c r="G12" s="869">
        <v>65</v>
      </c>
      <c r="H12" s="706">
        <v>1460.92</v>
      </c>
      <c r="I12" s="706">
        <v>4568.76</v>
      </c>
      <c r="J12" s="706">
        <v>2514.1</v>
      </c>
      <c r="K12" s="625">
        <v>45015.96</v>
      </c>
      <c r="L12" s="625">
        <v>39662.21</v>
      </c>
      <c r="M12" s="625">
        <f t="shared" si="0"/>
        <v>49584.72</v>
      </c>
      <c r="N12" s="625">
        <f t="shared" si="1"/>
        <v>42176.31</v>
      </c>
      <c r="O12" s="625">
        <f t="shared" si="2"/>
        <v>40053.293898240801</v>
      </c>
      <c r="P12" s="870">
        <v>2751.99</v>
      </c>
      <c r="Q12" s="525">
        <f t="shared" si="3"/>
        <v>1376.1741071621384</v>
      </c>
      <c r="R12" s="871">
        <v>896.14</v>
      </c>
      <c r="S12" s="525">
        <f t="shared" si="4"/>
        <v>20.42772153426305</v>
      </c>
      <c r="T12" s="625">
        <f t="shared" si="5"/>
        <v>38.662505742794778</v>
      </c>
      <c r="U12" s="625">
        <f t="shared" si="6"/>
        <v>743.77691347804819</v>
      </c>
      <c r="V12" s="625">
        <f t="shared" si="7"/>
        <v>14356.259614809118</v>
      </c>
      <c r="W12" s="625">
        <f t="shared" si="8"/>
        <v>1497.9246574965437</v>
      </c>
      <c r="X12" s="625">
        <f t="shared" si="9"/>
        <v>1651.0362993642168</v>
      </c>
      <c r="Y12" s="625">
        <f t="shared" si="10"/>
        <v>13910.900231825024</v>
      </c>
      <c r="Z12" s="625">
        <f t="shared" si="11"/>
        <v>2810.0018468286548</v>
      </c>
      <c r="AA12" s="736">
        <f t="shared" si="12"/>
        <v>9531.4261017591998</v>
      </c>
      <c r="AB12" s="736">
        <f t="shared" si="13"/>
        <v>88.106995829923434</v>
      </c>
      <c r="AC12" s="736">
        <f t="shared" si="14"/>
        <v>55.02806013010094</v>
      </c>
      <c r="AD12" s="736">
        <f t="shared" si="15"/>
        <v>6.8541217004080988</v>
      </c>
      <c r="AE12" s="736">
        <v>7.58</v>
      </c>
      <c r="AF12" s="736">
        <f t="shared" si="16"/>
        <v>7408.4100000000035</v>
      </c>
      <c r="AG12" s="250"/>
      <c r="AH12" s="250"/>
    </row>
    <row r="13" spans="1:69" x14ac:dyDescent="0.25">
      <c r="A13" s="32">
        <v>7</v>
      </c>
      <c r="B13" s="582"/>
      <c r="C13" s="42" t="s">
        <v>151</v>
      </c>
      <c r="D13" s="705">
        <v>1966</v>
      </c>
      <c r="E13" s="690">
        <v>3</v>
      </c>
      <c r="F13" s="706">
        <v>36</v>
      </c>
      <c r="G13" s="869">
        <v>68</v>
      </c>
      <c r="H13" s="706">
        <v>1486.39</v>
      </c>
      <c r="I13" s="706">
        <v>4568.67</v>
      </c>
      <c r="J13" s="706">
        <v>2547.1</v>
      </c>
      <c r="K13" s="625">
        <v>45031.58</v>
      </c>
      <c r="L13" s="625">
        <v>41381.68</v>
      </c>
      <c r="M13" s="625">
        <f t="shared" si="0"/>
        <v>49600.25</v>
      </c>
      <c r="N13" s="625">
        <f t="shared" si="1"/>
        <v>43928.78</v>
      </c>
      <c r="O13" s="625">
        <f t="shared" si="2"/>
        <v>37925.590786449844</v>
      </c>
      <c r="P13" s="870">
        <v>594.91</v>
      </c>
      <c r="Q13" s="525">
        <f t="shared" si="3"/>
        <v>1400.1666286618918</v>
      </c>
      <c r="R13" s="871">
        <v>536.13</v>
      </c>
      <c r="S13" s="525">
        <f t="shared" si="4"/>
        <v>20.783862916048282</v>
      </c>
      <c r="T13" s="625">
        <f t="shared" si="5"/>
        <v>39.336556355606554</v>
      </c>
      <c r="U13" s="625">
        <f t="shared" si="6"/>
        <v>756.74408347112501</v>
      </c>
      <c r="V13" s="625">
        <f t="shared" si="7"/>
        <v>14361.241065280981</v>
      </c>
      <c r="W13" s="625">
        <f t="shared" si="8"/>
        <v>1524.039804819078</v>
      </c>
      <c r="X13" s="625">
        <f t="shared" si="9"/>
        <v>1679.8208286641145</v>
      </c>
      <c r="Y13" s="625">
        <f t="shared" si="10"/>
        <v>14153.425920366892</v>
      </c>
      <c r="Z13" s="625">
        <f t="shared" si="11"/>
        <v>2858.9920359141124</v>
      </c>
      <c r="AA13" s="736">
        <f t="shared" si="12"/>
        <v>11674.659213550156</v>
      </c>
      <c r="AB13" s="736">
        <f t="shared" si="13"/>
        <v>91.894799160944387</v>
      </c>
      <c r="AC13" s="736">
        <f t="shared" si="14"/>
        <v>55.751455018637806</v>
      </c>
      <c r="AD13" s="736">
        <f t="shared" si="15"/>
        <v>6.378808856768722</v>
      </c>
      <c r="AE13" s="736">
        <v>7.58</v>
      </c>
      <c r="AF13" s="736">
        <f t="shared" si="16"/>
        <v>5671.4700000000012</v>
      </c>
      <c r="AG13" s="250"/>
      <c r="AH13" s="250"/>
    </row>
    <row r="14" spans="1:69" x14ac:dyDescent="0.25">
      <c r="A14" s="32">
        <v>8</v>
      </c>
      <c r="B14" s="582"/>
      <c r="C14" s="42" t="s">
        <v>152</v>
      </c>
      <c r="D14" s="705">
        <v>1955</v>
      </c>
      <c r="E14" s="690">
        <v>2</v>
      </c>
      <c r="F14" s="706">
        <v>12</v>
      </c>
      <c r="G14" s="869">
        <v>33</v>
      </c>
      <c r="H14" s="706">
        <v>797.5</v>
      </c>
      <c r="I14" s="706">
        <v>593.01</v>
      </c>
      <c r="J14" s="706">
        <v>341.02</v>
      </c>
      <c r="K14" s="625">
        <v>22181.32</v>
      </c>
      <c r="L14" s="625">
        <v>20027.330000000002</v>
      </c>
      <c r="M14" s="625">
        <f t="shared" si="0"/>
        <v>22774.329999999998</v>
      </c>
      <c r="N14" s="625">
        <f t="shared" si="1"/>
        <v>20368.350000000002</v>
      </c>
      <c r="O14" s="625">
        <f t="shared" si="2"/>
        <v>19957.264999313957</v>
      </c>
      <c r="P14" s="870">
        <v>59.7</v>
      </c>
      <c r="Q14" s="525">
        <f t="shared" si="3"/>
        <v>751.23815846302693</v>
      </c>
      <c r="R14" s="871">
        <v>787.36</v>
      </c>
      <c r="S14" s="525">
        <f t="shared" si="4"/>
        <v>11.151266273016168</v>
      </c>
      <c r="T14" s="625">
        <f t="shared" si="5"/>
        <v>21.105432419214491</v>
      </c>
      <c r="U14" s="625">
        <f t="shared" si="6"/>
        <v>406.01955514247419</v>
      </c>
      <c r="V14" s="625">
        <f t="shared" si="7"/>
        <v>7073.9530717362868</v>
      </c>
      <c r="W14" s="625">
        <f t="shared" si="8"/>
        <v>817.7004314770785</v>
      </c>
      <c r="X14" s="625">
        <f t="shared" si="9"/>
        <v>901.28237599797581</v>
      </c>
      <c r="Y14" s="625">
        <f t="shared" si="10"/>
        <v>7593.8059133152101</v>
      </c>
      <c r="Z14" s="625">
        <f t="shared" si="11"/>
        <v>1533.9487944896725</v>
      </c>
      <c r="AA14" s="736">
        <f t="shared" si="12"/>
        <v>2817.0650006860415</v>
      </c>
      <c r="AB14" s="736">
        <f t="shared" si="13"/>
        <v>90.289171248600184</v>
      </c>
      <c r="AC14" s="736">
        <f t="shared" si="14"/>
        <v>57.506618775400078</v>
      </c>
      <c r="AD14" s="736">
        <f t="shared" si="15"/>
        <v>6.2561959245498295</v>
      </c>
      <c r="AE14" s="736">
        <v>6.97</v>
      </c>
      <c r="AF14" s="736">
        <f t="shared" si="16"/>
        <v>2405.9799999999959</v>
      </c>
      <c r="AG14" s="250"/>
      <c r="AH14" s="250"/>
    </row>
    <row r="15" spans="1:69" x14ac:dyDescent="0.25">
      <c r="A15" s="32">
        <v>9</v>
      </c>
      <c r="B15" s="582"/>
      <c r="C15" s="42" t="s">
        <v>153</v>
      </c>
      <c r="D15" s="705">
        <v>1955</v>
      </c>
      <c r="E15" s="690">
        <v>2</v>
      </c>
      <c r="F15" s="706">
        <v>12</v>
      </c>
      <c r="G15" s="869">
        <v>31</v>
      </c>
      <c r="H15" s="706">
        <v>804</v>
      </c>
      <c r="I15" s="706">
        <v>592.95000000000005</v>
      </c>
      <c r="J15" s="706">
        <v>299.42</v>
      </c>
      <c r="K15" s="625">
        <v>22228.76</v>
      </c>
      <c r="L15" s="625">
        <v>18605.990000000002</v>
      </c>
      <c r="M15" s="625">
        <f t="shared" si="0"/>
        <v>22821.71</v>
      </c>
      <c r="N15" s="625">
        <f t="shared" si="1"/>
        <v>18905.41</v>
      </c>
      <c r="O15" s="625">
        <f t="shared" si="2"/>
        <v>20070.495434251006</v>
      </c>
      <c r="P15" s="870">
        <v>59.7</v>
      </c>
      <c r="Q15" s="525">
        <f t="shared" si="3"/>
        <v>757.36110270128358</v>
      </c>
      <c r="R15" s="871">
        <v>787.36</v>
      </c>
      <c r="S15" s="525">
        <f t="shared" si="4"/>
        <v>11.242154336683384</v>
      </c>
      <c r="T15" s="625">
        <f t="shared" si="5"/>
        <v>21.277451617615611</v>
      </c>
      <c r="U15" s="625">
        <f t="shared" si="6"/>
        <v>409.32880543517143</v>
      </c>
      <c r="V15" s="625">
        <f t="shared" si="7"/>
        <v>7089.0823937839896</v>
      </c>
      <c r="W15" s="625">
        <f t="shared" si="8"/>
        <v>824.36507449225212</v>
      </c>
      <c r="X15" s="625">
        <f t="shared" si="9"/>
        <v>908.62825116284966</v>
      </c>
      <c r="Y15" s="625">
        <f t="shared" si="10"/>
        <v>7655.6990022638602</v>
      </c>
      <c r="Z15" s="625">
        <f t="shared" si="11"/>
        <v>1546.4511984572998</v>
      </c>
      <c r="AA15" s="736">
        <f t="shared" si="12"/>
        <v>2751.2145657489928</v>
      </c>
      <c r="AB15" s="736">
        <f t="shared" si="13"/>
        <v>83.702329774580335</v>
      </c>
      <c r="AC15" s="736">
        <f t="shared" si="14"/>
        <v>50.496669196390933</v>
      </c>
      <c r="AD15" s="736">
        <f t="shared" si="15"/>
        <v>6.2408256947297902</v>
      </c>
      <c r="AE15" s="736">
        <v>6.97</v>
      </c>
      <c r="AF15" s="736">
        <f t="shared" si="16"/>
        <v>3916.2999999999993</v>
      </c>
      <c r="AG15" s="250"/>
      <c r="AH15" s="250"/>
    </row>
    <row r="16" spans="1:69" x14ac:dyDescent="0.25">
      <c r="A16" s="32">
        <v>10</v>
      </c>
      <c r="B16" s="582"/>
      <c r="C16" s="42" t="s">
        <v>154</v>
      </c>
      <c r="D16" s="705">
        <v>1955</v>
      </c>
      <c r="E16" s="690">
        <v>2</v>
      </c>
      <c r="F16" s="706">
        <v>6</v>
      </c>
      <c r="G16" s="869">
        <v>14</v>
      </c>
      <c r="H16" s="706">
        <v>328.7</v>
      </c>
      <c r="I16" s="706">
        <v>296.49</v>
      </c>
      <c r="J16" s="706">
        <v>183.61</v>
      </c>
      <c r="K16" s="625">
        <v>9229.8799999999992</v>
      </c>
      <c r="L16" s="625">
        <v>8526.6</v>
      </c>
      <c r="M16" s="625">
        <f t="shared" si="0"/>
        <v>9526.369999999999</v>
      </c>
      <c r="N16" s="625">
        <f t="shared" si="1"/>
        <v>8710.2100000000009</v>
      </c>
      <c r="O16" s="625">
        <f t="shared" si="2"/>
        <v>9292.0539163704343</v>
      </c>
      <c r="P16" s="870">
        <v>600.25</v>
      </c>
      <c r="Q16" s="525">
        <f t="shared" si="3"/>
        <v>309.63258017153225</v>
      </c>
      <c r="R16" s="871">
        <v>787.36</v>
      </c>
      <c r="S16" s="525">
        <f t="shared" si="4"/>
        <v>4.5961394657560053</v>
      </c>
      <c r="T16" s="625">
        <f t="shared" si="5"/>
        <v>8.698878540684392</v>
      </c>
      <c r="U16" s="625">
        <f t="shared" si="6"/>
        <v>167.34624172455329</v>
      </c>
      <c r="V16" s="625">
        <f t="shared" si="7"/>
        <v>2943.5460999506481</v>
      </c>
      <c r="W16" s="625">
        <f t="shared" si="8"/>
        <v>337.02587062885976</v>
      </c>
      <c r="X16" s="625">
        <f t="shared" si="9"/>
        <v>371.4752564144635</v>
      </c>
      <c r="Y16" s="625">
        <f t="shared" si="10"/>
        <v>3129.8858980648392</v>
      </c>
      <c r="Z16" s="625">
        <f t="shared" si="11"/>
        <v>632.23695140909751</v>
      </c>
      <c r="AA16" s="736">
        <f t="shared" si="12"/>
        <v>234.31608362956467</v>
      </c>
      <c r="AB16" s="736">
        <f t="shared" si="13"/>
        <v>92.380399311800389</v>
      </c>
      <c r="AC16" s="736">
        <f t="shared" si="14"/>
        <v>61.927889642146447</v>
      </c>
      <c r="AD16" s="736">
        <f t="shared" si="15"/>
        <v>7.0672755676684167</v>
      </c>
      <c r="AE16" s="736">
        <v>7.02</v>
      </c>
      <c r="AF16" s="736">
        <f t="shared" si="16"/>
        <v>816.15999999999804</v>
      </c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</row>
    <row r="17" spans="1:69" x14ac:dyDescent="0.25">
      <c r="A17" s="32">
        <v>11</v>
      </c>
      <c r="B17" s="582"/>
      <c r="C17" s="42" t="s">
        <v>155</v>
      </c>
      <c r="D17" s="705">
        <v>1979</v>
      </c>
      <c r="E17" s="690">
        <v>5</v>
      </c>
      <c r="F17" s="706">
        <v>81</v>
      </c>
      <c r="G17" s="869">
        <v>168</v>
      </c>
      <c r="H17" s="706">
        <v>3928.89</v>
      </c>
      <c r="I17" s="706">
        <v>8167.89</v>
      </c>
      <c r="J17" s="706">
        <v>4316.17</v>
      </c>
      <c r="K17" s="625">
        <v>116496.02</v>
      </c>
      <c r="L17" s="625">
        <v>104718.39</v>
      </c>
      <c r="M17" s="625">
        <f t="shared" si="0"/>
        <v>124663.91</v>
      </c>
      <c r="N17" s="625">
        <f t="shared" si="1"/>
        <v>109034.56</v>
      </c>
      <c r="O17" s="625">
        <f t="shared" si="2"/>
        <v>99527.55403300983</v>
      </c>
      <c r="P17" s="870">
        <v>897.77</v>
      </c>
      <c r="Q17" s="525">
        <f t="shared" si="3"/>
        <v>3700.9806751144852</v>
      </c>
      <c r="R17" s="871">
        <v>2180.7800000000002</v>
      </c>
      <c r="S17" s="525">
        <f t="shared" si="4"/>
        <v>54.936800686383066</v>
      </c>
      <c r="T17" s="625">
        <f t="shared" si="5"/>
        <v>103.97607821633557</v>
      </c>
      <c r="U17" s="625">
        <f t="shared" si="6"/>
        <v>2000.2585203808342</v>
      </c>
      <c r="V17" s="625">
        <f t="shared" si="7"/>
        <v>37152.314583805288</v>
      </c>
      <c r="W17" s="625">
        <f t="shared" si="8"/>
        <v>4028.4075839824186</v>
      </c>
      <c r="X17" s="625">
        <f t="shared" si="9"/>
        <v>4440.1746886955325</v>
      </c>
      <c r="Y17" s="625">
        <f t="shared" si="10"/>
        <v>37410.944344532909</v>
      </c>
      <c r="Z17" s="625">
        <f t="shared" si="11"/>
        <v>7557.0107575956481</v>
      </c>
      <c r="AA17" s="736">
        <f t="shared" si="12"/>
        <v>25136.355966990173</v>
      </c>
      <c r="AB17" s="736">
        <f t="shared" si="13"/>
        <v>89.89010096653945</v>
      </c>
      <c r="AC17" s="736">
        <f t="shared" si="14"/>
        <v>52.843145536974667</v>
      </c>
      <c r="AD17" s="736">
        <f t="shared" si="15"/>
        <v>6.333058066846478</v>
      </c>
      <c r="AE17" s="736">
        <v>7.39</v>
      </c>
      <c r="AF17" s="736">
        <f t="shared" si="16"/>
        <v>15629.350000000006</v>
      </c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</row>
    <row r="18" spans="1:69" s="370" customFormat="1" x14ac:dyDescent="0.25">
      <c r="A18" s="33">
        <v>12</v>
      </c>
      <c r="B18" s="594"/>
      <c r="C18" s="407" t="s">
        <v>156</v>
      </c>
      <c r="D18" s="872">
        <v>1957</v>
      </c>
      <c r="E18" s="872">
        <v>1</v>
      </c>
      <c r="F18" s="873">
        <v>4</v>
      </c>
      <c r="G18" s="874">
        <v>8</v>
      </c>
      <c r="H18" s="873">
        <v>118.1</v>
      </c>
      <c r="I18" s="873">
        <v>0</v>
      </c>
      <c r="J18" s="873">
        <v>0</v>
      </c>
      <c r="K18" s="871">
        <v>2170.52</v>
      </c>
      <c r="L18" s="871">
        <v>1505.1</v>
      </c>
      <c r="M18" s="625">
        <f t="shared" si="0"/>
        <v>2170.52</v>
      </c>
      <c r="N18" s="625">
        <f t="shared" si="1"/>
        <v>1505.1</v>
      </c>
      <c r="O18" s="625">
        <f t="shared" si="2"/>
        <v>1122.9240115844457</v>
      </c>
      <c r="P18" s="870"/>
      <c r="Q18" s="525">
        <f t="shared" si="3"/>
        <v>111.2491868520169</v>
      </c>
      <c r="R18" s="871">
        <v>0</v>
      </c>
      <c r="S18" s="525">
        <f t="shared" si="4"/>
        <v>1.6513662029381937</v>
      </c>
      <c r="T18" s="625">
        <f t="shared" si="5"/>
        <v>3.1254565124880642</v>
      </c>
      <c r="U18" s="625">
        <f t="shared" si="6"/>
        <v>60.126532241161378</v>
      </c>
      <c r="V18" s="625">
        <f t="shared" si="7"/>
        <v>692.21113176605559</v>
      </c>
      <c r="W18" s="625">
        <f t="shared" si="8"/>
        <v>121.09143693723256</v>
      </c>
      <c r="X18" s="625">
        <f t="shared" si="9"/>
        <v>133.46890107255291</v>
      </c>
      <c r="Y18" s="871"/>
      <c r="Z18" s="871"/>
      <c r="AA18" s="736">
        <f t="shared" si="12"/>
        <v>1047.5959884155543</v>
      </c>
      <c r="AB18" s="736">
        <f t="shared" si="13"/>
        <v>69.342830289515874</v>
      </c>
      <c r="AC18" s="736">
        <v>0</v>
      </c>
      <c r="AD18" s="736">
        <f t="shared" si="15"/>
        <v>2.3770618365462441</v>
      </c>
      <c r="AE18" s="875">
        <v>4.76</v>
      </c>
      <c r="AF18" s="736">
        <f t="shared" si="16"/>
        <v>665.42000000000007</v>
      </c>
      <c r="AG18" s="250"/>
      <c r="AH18" s="250"/>
      <c r="AI18" s="250"/>
      <c r="AJ18" s="250"/>
      <c r="AK18" s="250"/>
      <c r="AL18" s="250"/>
      <c r="AM18" s="250"/>
      <c r="AN18" s="250"/>
      <c r="AO18" s="250"/>
      <c r="AP18" s="250"/>
      <c r="AQ18" s="250"/>
      <c r="AR18" s="250"/>
      <c r="AS18" s="250"/>
      <c r="AT18" s="250"/>
      <c r="AU18" s="250"/>
      <c r="AV18" s="250"/>
      <c r="AW18" s="250"/>
      <c r="AX18" s="250"/>
      <c r="AY18" s="250"/>
      <c r="AZ18" s="250"/>
      <c r="BA18" s="250"/>
      <c r="BB18" s="250"/>
      <c r="BC18" s="250"/>
      <c r="BD18" s="250"/>
      <c r="BE18" s="250"/>
      <c r="BF18" s="250"/>
      <c r="BG18" s="250"/>
      <c r="BH18" s="250"/>
      <c r="BI18" s="250"/>
      <c r="BJ18" s="250"/>
      <c r="BK18" s="250"/>
      <c r="BL18" s="250"/>
      <c r="BM18" s="250"/>
      <c r="BN18" s="250"/>
      <c r="BO18" s="250"/>
      <c r="BP18" s="250"/>
      <c r="BQ18" s="250"/>
    </row>
    <row r="19" spans="1:69" x14ac:dyDescent="0.25">
      <c r="A19" s="32">
        <v>13</v>
      </c>
      <c r="B19" s="582"/>
      <c r="C19" s="42" t="s">
        <v>157</v>
      </c>
      <c r="D19" s="705">
        <v>1955</v>
      </c>
      <c r="E19" s="690">
        <v>2</v>
      </c>
      <c r="F19" s="706">
        <v>15</v>
      </c>
      <c r="G19" s="869">
        <v>33</v>
      </c>
      <c r="H19" s="706">
        <v>796.8</v>
      </c>
      <c r="I19" s="706">
        <v>645.27</v>
      </c>
      <c r="J19" s="706">
        <v>375.57</v>
      </c>
      <c r="K19" s="625">
        <v>22274.76</v>
      </c>
      <c r="L19" s="625">
        <v>19590.189999999999</v>
      </c>
      <c r="M19" s="625">
        <f t="shared" si="0"/>
        <v>22920.03</v>
      </c>
      <c r="N19" s="625">
        <f t="shared" si="1"/>
        <v>19965.759999999998</v>
      </c>
      <c r="O19" s="625">
        <f t="shared" si="2"/>
        <v>20463.829670743657</v>
      </c>
      <c r="P19" s="870">
        <v>474.51</v>
      </c>
      <c r="Q19" s="525">
        <f t="shared" si="3"/>
        <v>750.57876446813771</v>
      </c>
      <c r="R19" s="871">
        <v>859.88</v>
      </c>
      <c r="S19" s="525">
        <f t="shared" si="4"/>
        <v>11.141478327698159</v>
      </c>
      <c r="T19" s="625">
        <f t="shared" si="5"/>
        <v>21.086907274771292</v>
      </c>
      <c r="U19" s="625">
        <f t="shared" si="6"/>
        <v>405.66317434172214</v>
      </c>
      <c r="V19" s="625">
        <f t="shared" si="7"/>
        <v>7103.752478400228</v>
      </c>
      <c r="W19" s="625">
        <f t="shared" si="8"/>
        <v>816.98270069082889</v>
      </c>
      <c r="X19" s="625">
        <f t="shared" si="9"/>
        <v>900.49128174945088</v>
      </c>
      <c r="Y19" s="625">
        <f t="shared" si="10"/>
        <v>7587.1405037361237</v>
      </c>
      <c r="Z19" s="625">
        <f t="shared" si="11"/>
        <v>1532.602381754697</v>
      </c>
      <c r="AA19" s="736">
        <f t="shared" si="12"/>
        <v>2456.2003292563422</v>
      </c>
      <c r="AB19" s="736">
        <f t="shared" si="13"/>
        <v>87.947928507422759</v>
      </c>
      <c r="AC19" s="736">
        <f t="shared" si="14"/>
        <v>58.203542703054531</v>
      </c>
      <c r="AD19" s="736">
        <f t="shared" si="15"/>
        <v>6.4206292892644505</v>
      </c>
      <c r="AE19" s="736">
        <v>6.96</v>
      </c>
      <c r="AF19" s="736">
        <f t="shared" si="16"/>
        <v>2954.2700000000004</v>
      </c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0"/>
      <c r="BM19" s="250"/>
      <c r="BN19" s="250"/>
      <c r="BO19" s="250"/>
      <c r="BP19" s="250"/>
      <c r="BQ19" s="250"/>
    </row>
    <row r="20" spans="1:69" x14ac:dyDescent="0.25">
      <c r="A20" s="32">
        <v>14</v>
      </c>
      <c r="B20" s="582"/>
      <c r="C20" s="42" t="s">
        <v>158</v>
      </c>
      <c r="D20" s="705">
        <v>1955</v>
      </c>
      <c r="E20" s="690">
        <v>2</v>
      </c>
      <c r="F20" s="706">
        <v>12</v>
      </c>
      <c r="G20" s="869">
        <v>29</v>
      </c>
      <c r="H20" s="706">
        <v>842</v>
      </c>
      <c r="I20" s="706">
        <v>671.34</v>
      </c>
      <c r="J20" s="706">
        <v>399.2</v>
      </c>
      <c r="K20" s="625">
        <v>23246.560000000001</v>
      </c>
      <c r="L20" s="625">
        <v>20438.61</v>
      </c>
      <c r="M20" s="625">
        <f t="shared" si="0"/>
        <v>23917.9</v>
      </c>
      <c r="N20" s="625">
        <f t="shared" si="1"/>
        <v>20837.810000000001</v>
      </c>
      <c r="O20" s="625">
        <f t="shared" si="2"/>
        <v>21432.421200559467</v>
      </c>
      <c r="P20" s="870">
        <v>419.92</v>
      </c>
      <c r="Q20" s="525">
        <f t="shared" si="3"/>
        <v>793.15677670955324</v>
      </c>
      <c r="R20" s="871">
        <v>890.96</v>
      </c>
      <c r="S20" s="525">
        <f t="shared" si="4"/>
        <v>11.773499939660958</v>
      </c>
      <c r="T20" s="625">
        <f t="shared" si="5"/>
        <v>22.283102315960626</v>
      </c>
      <c r="U20" s="625">
        <f t="shared" si="6"/>
        <v>428.67519176170941</v>
      </c>
      <c r="V20" s="625">
        <f t="shared" si="7"/>
        <v>7413.6739616624209</v>
      </c>
      <c r="W20" s="625">
        <f t="shared" si="8"/>
        <v>863.32760288865211</v>
      </c>
      <c r="X20" s="625">
        <f t="shared" si="9"/>
        <v>951.57336751134255</v>
      </c>
      <c r="Y20" s="625">
        <f t="shared" si="10"/>
        <v>8017.5355222713561</v>
      </c>
      <c r="Z20" s="625">
        <f t="shared" si="11"/>
        <v>1619.542175498814</v>
      </c>
      <c r="AA20" s="736">
        <f t="shared" si="12"/>
        <v>2485.4787994405342</v>
      </c>
      <c r="AB20" s="736">
        <f t="shared" si="13"/>
        <v>87.92100852771334</v>
      </c>
      <c r="AC20" s="736">
        <f t="shared" si="14"/>
        <v>59.463163225787227</v>
      </c>
      <c r="AD20" s="736">
        <f t="shared" si="15"/>
        <v>6.3635454871019794</v>
      </c>
      <c r="AE20" s="736">
        <v>6.95</v>
      </c>
      <c r="AF20" s="736">
        <f t="shared" si="16"/>
        <v>3080.09</v>
      </c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0"/>
      <c r="BI20" s="250"/>
      <c r="BJ20" s="250"/>
      <c r="BK20" s="250"/>
      <c r="BL20" s="250"/>
      <c r="BM20" s="250"/>
      <c r="BN20" s="250"/>
      <c r="BO20" s="250"/>
      <c r="BP20" s="250"/>
      <c r="BQ20" s="250"/>
    </row>
    <row r="21" spans="1:69" x14ac:dyDescent="0.25">
      <c r="A21" s="32">
        <v>15</v>
      </c>
      <c r="B21" s="582"/>
      <c r="C21" s="42" t="s">
        <v>159</v>
      </c>
      <c r="D21" s="705">
        <v>1955</v>
      </c>
      <c r="E21" s="690">
        <v>2</v>
      </c>
      <c r="F21" s="706">
        <v>12</v>
      </c>
      <c r="G21" s="869">
        <v>29</v>
      </c>
      <c r="H21" s="706">
        <v>794.83</v>
      </c>
      <c r="I21" s="706">
        <v>645.14</v>
      </c>
      <c r="J21" s="706">
        <v>342.39</v>
      </c>
      <c r="K21" s="625">
        <v>22089.49</v>
      </c>
      <c r="L21" s="625">
        <v>23848.76</v>
      </c>
      <c r="M21" s="625">
        <f t="shared" si="0"/>
        <v>22734.63</v>
      </c>
      <c r="N21" s="625">
        <f t="shared" si="1"/>
        <v>24191.149999999998</v>
      </c>
      <c r="O21" s="625">
        <f t="shared" si="2"/>
        <v>19968.30212693242</v>
      </c>
      <c r="P21" s="870">
        <v>67.8</v>
      </c>
      <c r="Q21" s="525">
        <f t="shared" si="3"/>
        <v>748.72304136823539</v>
      </c>
      <c r="R21" s="871">
        <v>859.88</v>
      </c>
      <c r="S21" s="525">
        <f t="shared" si="4"/>
        <v>11.113932253017481</v>
      </c>
      <c r="T21" s="625">
        <f t="shared" si="5"/>
        <v>21.034772225409721</v>
      </c>
      <c r="U21" s="625">
        <f t="shared" si="6"/>
        <v>404.66021694532009</v>
      </c>
      <c r="V21" s="625">
        <f t="shared" si="7"/>
        <v>7044.6671180339126</v>
      </c>
      <c r="W21" s="625">
        <f t="shared" si="8"/>
        <v>814.96280119238406</v>
      </c>
      <c r="X21" s="625">
        <f t="shared" si="9"/>
        <v>898.26491650717389</v>
      </c>
      <c r="Y21" s="625">
        <f t="shared" si="10"/>
        <v>7568.3821367778419</v>
      </c>
      <c r="Z21" s="625">
        <f t="shared" si="11"/>
        <v>1528.813191629124</v>
      </c>
      <c r="AA21" s="736">
        <f t="shared" si="12"/>
        <v>2766.3278730675811</v>
      </c>
      <c r="AB21" s="736">
        <f t="shared" si="13"/>
        <v>107.96428527774972</v>
      </c>
      <c r="AC21" s="736">
        <f t="shared" si="14"/>
        <v>53.072201382645623</v>
      </c>
      <c r="AD21" s="736">
        <f t="shared" si="15"/>
        <v>6.2806833306909713</v>
      </c>
      <c r="AE21" s="736">
        <v>6.95</v>
      </c>
      <c r="AF21" s="736">
        <f t="shared" si="16"/>
        <v>-1456.5199999999968</v>
      </c>
      <c r="AG21" s="250"/>
      <c r="AH21" s="250"/>
    </row>
    <row r="22" spans="1:69" x14ac:dyDescent="0.25">
      <c r="A22" s="32">
        <v>16</v>
      </c>
      <c r="B22" s="582"/>
      <c r="C22" s="42" t="s">
        <v>160</v>
      </c>
      <c r="D22" s="705">
        <v>1955</v>
      </c>
      <c r="E22" s="690">
        <v>2</v>
      </c>
      <c r="F22" s="706">
        <v>12</v>
      </c>
      <c r="G22" s="869">
        <v>31</v>
      </c>
      <c r="H22" s="706">
        <v>836.38</v>
      </c>
      <c r="I22" s="706">
        <v>671.31</v>
      </c>
      <c r="J22" s="706">
        <v>478.55</v>
      </c>
      <c r="K22" s="625">
        <v>22910.720000000001</v>
      </c>
      <c r="L22" s="625">
        <v>23198.1</v>
      </c>
      <c r="M22" s="625">
        <f t="shared" si="0"/>
        <v>23582.030000000002</v>
      </c>
      <c r="N22" s="625">
        <f t="shared" si="1"/>
        <v>23676.649999999998</v>
      </c>
      <c r="O22" s="625">
        <f t="shared" si="2"/>
        <v>21240.497094813589</v>
      </c>
      <c r="P22" s="870">
        <v>419.92</v>
      </c>
      <c r="Q22" s="525">
        <f t="shared" si="3"/>
        <v>787.86278492201438</v>
      </c>
      <c r="R22" s="871">
        <v>890.96</v>
      </c>
      <c r="S22" s="525">
        <f t="shared" si="4"/>
        <v>11.69491672153638</v>
      </c>
      <c r="T22" s="625">
        <f t="shared" si="5"/>
        <v>22.134371870573812</v>
      </c>
      <c r="U22" s="625">
        <f t="shared" si="6"/>
        <v>425.81396304710034</v>
      </c>
      <c r="V22" s="625">
        <f t="shared" si="7"/>
        <v>7306.56958736856</v>
      </c>
      <c r="W22" s="625">
        <f t="shared" si="8"/>
        <v>857.56525000476347</v>
      </c>
      <c r="X22" s="625">
        <f t="shared" si="9"/>
        <v>945.2220108303286</v>
      </c>
      <c r="Y22" s="625">
        <f t="shared" si="10"/>
        <v>7964.0218053649842</v>
      </c>
      <c r="Z22" s="625">
        <f t="shared" si="11"/>
        <v>1608.7324046837268</v>
      </c>
      <c r="AA22" s="736">
        <f t="shared" si="12"/>
        <v>2341.5329051864137</v>
      </c>
      <c r="AB22" s="736">
        <f t="shared" si="13"/>
        <v>101.25434730990557</v>
      </c>
      <c r="AC22" s="736">
        <f t="shared" si="14"/>
        <v>71.285993058348609</v>
      </c>
      <c r="AD22" s="736">
        <f t="shared" si="15"/>
        <v>6.3489374132611935</v>
      </c>
      <c r="AE22" s="736">
        <v>6.84</v>
      </c>
      <c r="AF22" s="736">
        <f t="shared" si="16"/>
        <v>-94.619999999995343</v>
      </c>
      <c r="AG22" s="250"/>
      <c r="AH22" s="250"/>
    </row>
    <row r="23" spans="1:69" x14ac:dyDescent="0.25">
      <c r="A23" s="32">
        <v>17</v>
      </c>
      <c r="B23" s="583">
        <v>42569</v>
      </c>
      <c r="C23" s="42" t="s">
        <v>161</v>
      </c>
      <c r="D23" s="705">
        <v>1955</v>
      </c>
      <c r="E23" s="690">
        <v>2</v>
      </c>
      <c r="F23" s="706">
        <v>12</v>
      </c>
      <c r="G23" s="869">
        <v>31</v>
      </c>
      <c r="H23" s="706">
        <v>747.9</v>
      </c>
      <c r="I23" s="706">
        <v>645.24</v>
      </c>
      <c r="J23" s="706">
        <v>303.52</v>
      </c>
      <c r="K23" s="625">
        <v>21464.52</v>
      </c>
      <c r="L23" s="625">
        <v>15504.69</v>
      </c>
      <c r="M23" s="625">
        <f t="shared" si="0"/>
        <v>22109.760000000002</v>
      </c>
      <c r="N23" s="625">
        <f t="shared" si="1"/>
        <v>15808.210000000001</v>
      </c>
      <c r="O23" s="625">
        <f t="shared" si="2"/>
        <v>19429.419857466746</v>
      </c>
      <c r="P23" s="870">
        <v>436.52</v>
      </c>
      <c r="Q23" s="525">
        <f t="shared" si="3"/>
        <v>704.51538396802243</v>
      </c>
      <c r="R23" s="871">
        <v>859.88</v>
      </c>
      <c r="S23" s="525">
        <f t="shared" si="4"/>
        <v>10.457720433340178</v>
      </c>
      <c r="T23" s="625">
        <f t="shared" si="5"/>
        <v>19.792793612953623</v>
      </c>
      <c r="U23" s="625">
        <f t="shared" si="6"/>
        <v>380.76742983204565</v>
      </c>
      <c r="V23" s="625">
        <f t="shared" si="7"/>
        <v>6845.3548836293312</v>
      </c>
      <c r="W23" s="625">
        <f t="shared" si="8"/>
        <v>766.84407862283001</v>
      </c>
      <c r="X23" s="625">
        <f t="shared" si="9"/>
        <v>845.22769781678505</v>
      </c>
      <c r="Y23" s="625">
        <f t="shared" si="10"/>
        <v>7121.5140345685832</v>
      </c>
      <c r="Z23" s="625">
        <f t="shared" si="11"/>
        <v>1438.5458349828539</v>
      </c>
      <c r="AA23" s="736">
        <f t="shared" si="12"/>
        <v>2680.3401425332559</v>
      </c>
      <c r="AB23" s="736">
        <f t="shared" si="13"/>
        <v>72.234040174203756</v>
      </c>
      <c r="AC23" s="736">
        <f t="shared" si="14"/>
        <v>47.03986113694129</v>
      </c>
      <c r="AD23" s="736">
        <f t="shared" si="15"/>
        <v>6.494658329143852</v>
      </c>
      <c r="AE23" s="736">
        <v>6.97</v>
      </c>
      <c r="AF23" s="736">
        <f t="shared" si="16"/>
        <v>6301.5500000000011</v>
      </c>
      <c r="AG23" s="250"/>
      <c r="AH23" s="250"/>
    </row>
    <row r="24" spans="1:69" x14ac:dyDescent="0.25">
      <c r="A24" s="32">
        <v>18</v>
      </c>
      <c r="B24" s="582"/>
      <c r="C24" s="42" t="s">
        <v>162</v>
      </c>
      <c r="D24" s="705">
        <v>1985</v>
      </c>
      <c r="E24" s="690">
        <v>5</v>
      </c>
      <c r="F24" s="706">
        <v>76</v>
      </c>
      <c r="G24" s="869">
        <v>158</v>
      </c>
      <c r="H24" s="706">
        <v>4043.22</v>
      </c>
      <c r="I24" s="706">
        <v>9995.2999999999993</v>
      </c>
      <c r="J24" s="706">
        <v>6158.96</v>
      </c>
      <c r="K24" s="625">
        <v>111698.54</v>
      </c>
      <c r="L24" s="625">
        <v>113142.34</v>
      </c>
      <c r="M24" s="625">
        <f t="shared" si="0"/>
        <v>121693.84</v>
      </c>
      <c r="N24" s="625">
        <f t="shared" si="1"/>
        <v>119301.3</v>
      </c>
      <c r="O24" s="625">
        <f t="shared" si="2"/>
        <v>101655.34937362776</v>
      </c>
      <c r="P24" s="870">
        <v>815.01</v>
      </c>
      <c r="Q24" s="525">
        <f t="shared" si="3"/>
        <v>3808.6785543083133</v>
      </c>
      <c r="R24" s="871">
        <v>4195.8</v>
      </c>
      <c r="S24" s="525">
        <f t="shared" si="4"/>
        <v>56.535451812394271</v>
      </c>
      <c r="T24" s="625">
        <f t="shared" si="5"/>
        <v>107.00176359375098</v>
      </c>
      <c r="U24" s="625">
        <f t="shared" si="6"/>
        <v>2058.4656874522311</v>
      </c>
      <c r="V24" s="625">
        <f t="shared" si="7"/>
        <v>35622.326811094128</v>
      </c>
      <c r="W24" s="625">
        <f t="shared" si="8"/>
        <v>4145.6335279708501</v>
      </c>
      <c r="X24" s="625">
        <f t="shared" si="9"/>
        <v>4569.3829821724585</v>
      </c>
      <c r="Y24" s="625">
        <f t="shared" si="10"/>
        <v>38499.59616907125</v>
      </c>
      <c r="Z24" s="625">
        <f t="shared" si="11"/>
        <v>7776.9184261523933</v>
      </c>
      <c r="AA24" s="736">
        <f t="shared" si="12"/>
        <v>20038.490626372237</v>
      </c>
      <c r="AB24" s="736">
        <f t="shared" si="13"/>
        <v>101.29258627731392</v>
      </c>
      <c r="AC24" s="736">
        <f t="shared" si="14"/>
        <v>61.618560723540071</v>
      </c>
      <c r="AD24" s="736">
        <f t="shared" si="15"/>
        <v>6.2855440325797112</v>
      </c>
      <c r="AE24" s="736">
        <v>6.93</v>
      </c>
      <c r="AF24" s="736">
        <f t="shared" si="16"/>
        <v>2392.5399999999936</v>
      </c>
      <c r="AG24" s="250"/>
      <c r="AH24" s="250"/>
    </row>
    <row r="25" spans="1:69" x14ac:dyDescent="0.25">
      <c r="A25" s="32">
        <v>19</v>
      </c>
      <c r="B25" s="583">
        <v>42569</v>
      </c>
      <c r="C25" s="42" t="s">
        <v>163</v>
      </c>
      <c r="D25" s="705">
        <v>1955</v>
      </c>
      <c r="E25" s="690">
        <v>2</v>
      </c>
      <c r="F25" s="706">
        <v>12</v>
      </c>
      <c r="G25" s="869">
        <v>21</v>
      </c>
      <c r="H25" s="706">
        <v>606.29999999999995</v>
      </c>
      <c r="I25" s="706">
        <v>645.21</v>
      </c>
      <c r="J25" s="706">
        <v>269.76</v>
      </c>
      <c r="K25" s="625">
        <v>18674.04</v>
      </c>
      <c r="L25" s="625">
        <v>12166.66</v>
      </c>
      <c r="M25" s="625">
        <f t="shared" si="0"/>
        <v>19319.25</v>
      </c>
      <c r="N25" s="625">
        <f t="shared" si="1"/>
        <v>12436.42</v>
      </c>
      <c r="O25" s="625">
        <f t="shared" si="2"/>
        <v>16429.35924176257</v>
      </c>
      <c r="P25" s="870">
        <v>463.48</v>
      </c>
      <c r="Q25" s="525">
        <f t="shared" si="3"/>
        <v>571.12939871615447</v>
      </c>
      <c r="R25" s="871">
        <v>859.88</v>
      </c>
      <c r="S25" s="525">
        <f t="shared" si="4"/>
        <v>8.4777589232974329</v>
      </c>
      <c r="T25" s="625">
        <f t="shared" si="5"/>
        <v>16.045421537015354</v>
      </c>
      <c r="U25" s="625">
        <f t="shared" si="6"/>
        <v>308.6766849942095</v>
      </c>
      <c r="V25" s="625">
        <f t="shared" si="7"/>
        <v>5955.4292810223324</v>
      </c>
      <c r="W25" s="625">
        <f t="shared" si="8"/>
        <v>621.65739386150801</v>
      </c>
      <c r="X25" s="625">
        <f t="shared" si="9"/>
        <v>685.20063268661158</v>
      </c>
      <c r="Y25" s="625">
        <f t="shared" si="10"/>
        <v>5773.1968968564406</v>
      </c>
      <c r="Z25" s="625">
        <f t="shared" si="11"/>
        <v>1166.1857731650011</v>
      </c>
      <c r="AA25" s="736">
        <f t="shared" si="12"/>
        <v>2889.8907582374304</v>
      </c>
      <c r="AB25" s="736">
        <f t="shared" si="13"/>
        <v>65.152800358144248</v>
      </c>
      <c r="AC25" s="736">
        <f t="shared" si="14"/>
        <v>41.809643371925418</v>
      </c>
      <c r="AD25" s="736">
        <f t="shared" si="15"/>
        <v>6.7744347854867932</v>
      </c>
      <c r="AE25" s="736">
        <v>7.18</v>
      </c>
      <c r="AF25" s="736">
        <f t="shared" si="16"/>
        <v>6882.83</v>
      </c>
      <c r="AG25" s="250"/>
      <c r="AH25" s="250"/>
    </row>
    <row r="26" spans="1:69" x14ac:dyDescent="0.25">
      <c r="A26" s="32">
        <v>20</v>
      </c>
      <c r="B26" s="582"/>
      <c r="C26" s="42" t="s">
        <v>164</v>
      </c>
      <c r="D26" s="705">
        <v>1989</v>
      </c>
      <c r="E26" s="690">
        <v>5</v>
      </c>
      <c r="F26" s="706">
        <v>75</v>
      </c>
      <c r="G26" s="869">
        <v>146</v>
      </c>
      <c r="H26" s="706">
        <v>3492.24</v>
      </c>
      <c r="I26" s="706">
        <v>7090.45</v>
      </c>
      <c r="J26" s="706">
        <v>4183.93</v>
      </c>
      <c r="K26" s="625">
        <v>94767.47</v>
      </c>
      <c r="L26" s="625">
        <v>90944.54</v>
      </c>
      <c r="M26" s="625">
        <f t="shared" si="0"/>
        <v>101857.92</v>
      </c>
      <c r="N26" s="625">
        <f t="shared" si="1"/>
        <v>95128.47</v>
      </c>
      <c r="O26" s="625">
        <f t="shared" si="2"/>
        <v>90261.125138503849</v>
      </c>
      <c r="P26" s="870">
        <v>4980.09</v>
      </c>
      <c r="Q26" s="525">
        <f t="shared" si="3"/>
        <v>3289.6601210168292</v>
      </c>
      <c r="R26" s="871">
        <v>2351.7199999999998</v>
      </c>
      <c r="S26" s="525">
        <f t="shared" si="4"/>
        <v>48.831220224799978</v>
      </c>
      <c r="T26" s="625">
        <f t="shared" si="5"/>
        <v>92.420357757589471</v>
      </c>
      <c r="U26" s="625">
        <f t="shared" si="6"/>
        <v>1777.9532680260238</v>
      </c>
      <c r="V26" s="625">
        <f t="shared" si="7"/>
        <v>30222.756603627575</v>
      </c>
      <c r="W26" s="625">
        <f t="shared" si="8"/>
        <v>3580.6973728169432</v>
      </c>
      <c r="X26" s="625">
        <f t="shared" si="9"/>
        <v>3946.7013978121267</v>
      </c>
      <c r="Y26" s="625">
        <f t="shared" si="10"/>
        <v>33253.157069236244</v>
      </c>
      <c r="Z26" s="625">
        <f t="shared" si="11"/>
        <v>6717.1377279857215</v>
      </c>
      <c r="AA26" s="736">
        <f t="shared" si="12"/>
        <v>11596.79486149615</v>
      </c>
      <c r="AB26" s="736">
        <f t="shared" si="13"/>
        <v>95.965989173289103</v>
      </c>
      <c r="AC26" s="736">
        <f t="shared" si="14"/>
        <v>59.00796141288636</v>
      </c>
      <c r="AD26" s="736">
        <f t="shared" si="15"/>
        <v>6.4615494022821922</v>
      </c>
      <c r="AE26" s="736">
        <v>6.91</v>
      </c>
      <c r="AF26" s="736">
        <f t="shared" si="16"/>
        <v>6729.4499999999971</v>
      </c>
      <c r="AG26" s="250"/>
      <c r="AH26" s="250"/>
    </row>
    <row r="27" spans="1:69" x14ac:dyDescent="0.25">
      <c r="A27" s="32">
        <v>21</v>
      </c>
      <c r="B27" s="582"/>
      <c r="C27" s="42" t="s">
        <v>165</v>
      </c>
      <c r="D27" s="705">
        <v>1989</v>
      </c>
      <c r="E27" s="690">
        <v>5</v>
      </c>
      <c r="F27" s="706">
        <v>75</v>
      </c>
      <c r="G27" s="869">
        <v>137</v>
      </c>
      <c r="H27" s="706">
        <v>3454.59</v>
      </c>
      <c r="I27" s="706">
        <v>7123.56</v>
      </c>
      <c r="J27" s="706">
        <v>4206.2700000000004</v>
      </c>
      <c r="K27" s="625">
        <v>94171.24</v>
      </c>
      <c r="L27" s="625">
        <v>86416.16</v>
      </c>
      <c r="M27" s="625">
        <f t="shared" si="0"/>
        <v>101294.8</v>
      </c>
      <c r="N27" s="625">
        <f t="shared" si="1"/>
        <v>90622.430000000008</v>
      </c>
      <c r="O27" s="625">
        <f t="shared" si="2"/>
        <v>83122.236687022698</v>
      </c>
      <c r="P27" s="870">
        <v>627.54999999999995</v>
      </c>
      <c r="Q27" s="525">
        <f t="shared" si="3"/>
        <v>3254.1941440060045</v>
      </c>
      <c r="R27" s="871">
        <v>323.75</v>
      </c>
      <c r="S27" s="525">
        <f t="shared" si="4"/>
        <v>48.304768594481416</v>
      </c>
      <c r="T27" s="625">
        <f t="shared" si="5"/>
        <v>91.423969631466065</v>
      </c>
      <c r="U27" s="625">
        <f t="shared" si="6"/>
        <v>1758.785072099862</v>
      </c>
      <c r="V27" s="625">
        <f t="shared" si="7"/>
        <v>30032.609982959315</v>
      </c>
      <c r="W27" s="625">
        <f t="shared" si="8"/>
        <v>3542.0937098136683</v>
      </c>
      <c r="X27" s="625">
        <f t="shared" si="9"/>
        <v>3904.1518285878965</v>
      </c>
      <c r="Y27" s="625">
        <f t="shared" si="10"/>
        <v>32894.653254018296</v>
      </c>
      <c r="Z27" s="625">
        <f t="shared" si="11"/>
        <v>6644.7199573116959</v>
      </c>
      <c r="AA27" s="736">
        <f t="shared" si="12"/>
        <v>18172.563312977305</v>
      </c>
      <c r="AB27" s="736">
        <f t="shared" si="13"/>
        <v>91.764916762272648</v>
      </c>
      <c r="AC27" s="736">
        <f t="shared" si="14"/>
        <v>59.047302191600835</v>
      </c>
      <c r="AD27" s="736">
        <f t="shared" si="15"/>
        <v>6.0153474570804857</v>
      </c>
      <c r="AE27" s="736">
        <v>6.81</v>
      </c>
      <c r="AF27" s="736">
        <f t="shared" si="16"/>
        <v>10672.369999999995</v>
      </c>
      <c r="AG27" s="250"/>
      <c r="AH27" s="250"/>
    </row>
    <row r="28" spans="1:69" x14ac:dyDescent="0.25">
      <c r="A28" s="32">
        <v>22</v>
      </c>
      <c r="B28" s="582"/>
      <c r="C28" s="42" t="s">
        <v>166</v>
      </c>
      <c r="D28" s="705">
        <v>1993</v>
      </c>
      <c r="E28" s="690">
        <v>5</v>
      </c>
      <c r="F28" s="706">
        <v>100</v>
      </c>
      <c r="G28" s="869">
        <v>227</v>
      </c>
      <c r="H28" s="706">
        <v>6046.32</v>
      </c>
      <c r="I28" s="706">
        <v>23496.21</v>
      </c>
      <c r="J28" s="706">
        <v>14510.59</v>
      </c>
      <c r="K28" s="625">
        <v>165284.92000000001</v>
      </c>
      <c r="L28" s="625">
        <v>169158.08</v>
      </c>
      <c r="M28" s="625">
        <f t="shared" si="0"/>
        <v>188781.13</v>
      </c>
      <c r="N28" s="625">
        <f t="shared" si="1"/>
        <v>183668.66999999998</v>
      </c>
      <c r="O28" s="625">
        <f t="shared" si="2"/>
        <v>158827.53797638539</v>
      </c>
      <c r="P28" s="870">
        <v>1802.98</v>
      </c>
      <c r="Q28" s="525">
        <f t="shared" si="3"/>
        <v>5695.581570254757</v>
      </c>
      <c r="R28" s="871">
        <v>13058.78</v>
      </c>
      <c r="S28" s="525">
        <f t="shared" si="4"/>
        <v>84.544356478825222</v>
      </c>
      <c r="T28" s="625">
        <f t="shared" si="5"/>
        <v>160.01278764256421</v>
      </c>
      <c r="U28" s="625">
        <f t="shared" si="6"/>
        <v>3078.2748045756043</v>
      </c>
      <c r="V28" s="625">
        <f t="shared" si="7"/>
        <v>52711.82091713597</v>
      </c>
      <c r="W28" s="625">
        <f t="shared" si="8"/>
        <v>6199.4714393084496</v>
      </c>
      <c r="X28" s="625">
        <f t="shared" si="9"/>
        <v>6833.1556810584088</v>
      </c>
      <c r="Y28" s="625">
        <f t="shared" si="10"/>
        <v>57573.141780308484</v>
      </c>
      <c r="Z28" s="625">
        <f t="shared" si="11"/>
        <v>11629.774639622314</v>
      </c>
      <c r="AA28" s="736">
        <f t="shared" si="12"/>
        <v>29953.592023614619</v>
      </c>
      <c r="AB28" s="736">
        <f t="shared" si="13"/>
        <v>102.34332327474279</v>
      </c>
      <c r="AC28" s="736">
        <f t="shared" si="14"/>
        <v>61.757151472514082</v>
      </c>
      <c r="AD28" s="736">
        <f t="shared" si="15"/>
        <v>6.567115947236724</v>
      </c>
      <c r="AE28" s="736">
        <v>6.82</v>
      </c>
      <c r="AF28" s="736">
        <f t="shared" si="16"/>
        <v>5112.460000000021</v>
      </c>
      <c r="AG28" s="250"/>
      <c r="AH28" s="250"/>
    </row>
    <row r="29" spans="1:69" x14ac:dyDescent="0.25">
      <c r="A29" s="32">
        <v>23</v>
      </c>
      <c r="B29" s="582"/>
      <c r="C29" s="42" t="s">
        <v>167</v>
      </c>
      <c r="D29" s="705">
        <v>1989</v>
      </c>
      <c r="E29" s="690">
        <v>5</v>
      </c>
      <c r="F29" s="706">
        <v>76</v>
      </c>
      <c r="G29" s="869">
        <v>141</v>
      </c>
      <c r="H29" s="706">
        <v>3481.7</v>
      </c>
      <c r="I29" s="706">
        <v>7123.62</v>
      </c>
      <c r="J29" s="706">
        <v>3614.04</v>
      </c>
      <c r="K29" s="625">
        <v>95136.99</v>
      </c>
      <c r="L29" s="625">
        <v>81169.69</v>
      </c>
      <c r="M29" s="625">
        <f t="shared" si="0"/>
        <v>102260.61</v>
      </c>
      <c r="N29" s="625">
        <f t="shared" si="1"/>
        <v>84783.73</v>
      </c>
      <c r="O29" s="625">
        <f t="shared" si="2"/>
        <v>93960.705838386057</v>
      </c>
      <c r="P29" s="870">
        <v>3085.26</v>
      </c>
      <c r="Q29" s="525">
        <f t="shared" si="3"/>
        <v>3279.7315314366406</v>
      </c>
      <c r="R29" s="871">
        <v>7987.36</v>
      </c>
      <c r="S29" s="525">
        <f t="shared" si="4"/>
        <v>48.683841733868832</v>
      </c>
      <c r="T29" s="625">
        <f t="shared" si="5"/>
        <v>92.141422011259039</v>
      </c>
      <c r="U29" s="625">
        <f t="shared" si="6"/>
        <v>1772.5871913975577</v>
      </c>
      <c r="V29" s="625">
        <f t="shared" si="7"/>
        <v>30340.602031179587</v>
      </c>
      <c r="W29" s="625">
        <f t="shared" si="8"/>
        <v>3569.8903978354156</v>
      </c>
      <c r="X29" s="625">
        <f t="shared" si="9"/>
        <v>3934.7897786986236</v>
      </c>
      <c r="Y29" s="625">
        <f t="shared" si="10"/>
        <v>33152.795045002589</v>
      </c>
      <c r="Z29" s="625">
        <f t="shared" si="11"/>
        <v>6696.8645990905234</v>
      </c>
      <c r="AA29" s="736">
        <f t="shared" si="12"/>
        <v>8299.9041616139439</v>
      </c>
      <c r="AB29" s="736">
        <f t="shared" si="13"/>
        <v>85.318749310862145</v>
      </c>
      <c r="AC29" s="736">
        <f t="shared" si="14"/>
        <v>50.733194639803926</v>
      </c>
      <c r="AD29" s="736">
        <f t="shared" si="15"/>
        <v>6.7467548782481304</v>
      </c>
      <c r="AE29" s="736">
        <v>6.83</v>
      </c>
      <c r="AF29" s="736">
        <f t="shared" si="16"/>
        <v>17476.880000000005</v>
      </c>
      <c r="AG29" s="250"/>
      <c r="AH29" s="250"/>
    </row>
    <row r="30" spans="1:69" x14ac:dyDescent="0.25">
      <c r="A30" s="33">
        <v>24</v>
      </c>
      <c r="B30" s="594"/>
      <c r="C30" s="407" t="s">
        <v>168</v>
      </c>
      <c r="D30" s="872">
        <v>1957</v>
      </c>
      <c r="E30" s="872">
        <v>1</v>
      </c>
      <c r="F30" s="873">
        <v>4</v>
      </c>
      <c r="G30" s="874">
        <v>11</v>
      </c>
      <c r="H30" s="873">
        <v>132.6</v>
      </c>
      <c r="I30" s="873">
        <v>0</v>
      </c>
      <c r="J30" s="873">
        <v>0</v>
      </c>
      <c r="K30" s="871">
        <v>2414.2800000000002</v>
      </c>
      <c r="L30" s="871">
        <v>956.9</v>
      </c>
      <c r="M30" s="625">
        <f t="shared" si="0"/>
        <v>2414.2800000000002</v>
      </c>
      <c r="N30" s="625">
        <f t="shared" si="1"/>
        <v>956.9</v>
      </c>
      <c r="O30" s="625">
        <f t="shared" si="2"/>
        <v>1253.5444710874251</v>
      </c>
      <c r="P30" s="870"/>
      <c r="Q30" s="525">
        <f t="shared" si="3"/>
        <v>124.90806246043557</v>
      </c>
      <c r="R30" s="871">
        <v>0</v>
      </c>
      <c r="S30" s="525">
        <f t="shared" si="4"/>
        <v>1.8541164988112149</v>
      </c>
      <c r="T30" s="625">
        <f t="shared" si="5"/>
        <v>3.509191647382873</v>
      </c>
      <c r="U30" s="625">
        <f t="shared" si="6"/>
        <v>67.50870597102454</v>
      </c>
      <c r="V30" s="625">
        <f t="shared" si="7"/>
        <v>769.94982363680265</v>
      </c>
      <c r="W30" s="625">
        <f t="shared" si="8"/>
        <v>135.95871750954308</v>
      </c>
      <c r="X30" s="625">
        <f t="shared" si="9"/>
        <v>149.85585336342518</v>
      </c>
      <c r="Y30" s="871"/>
      <c r="Z30" s="871"/>
      <c r="AA30" s="736">
        <f t="shared" si="12"/>
        <v>1160.7355289125751</v>
      </c>
      <c r="AB30" s="736">
        <f t="shared" si="13"/>
        <v>39.63500505326639</v>
      </c>
      <c r="AC30" s="736">
        <v>0</v>
      </c>
      <c r="AD30" s="736">
        <f t="shared" si="15"/>
        <v>2.3633945533322493</v>
      </c>
      <c r="AE30" s="875">
        <v>4.76</v>
      </c>
      <c r="AF30" s="736">
        <f t="shared" si="16"/>
        <v>1457.38</v>
      </c>
      <c r="AG30" s="250"/>
      <c r="AH30" s="250"/>
    </row>
    <row r="31" spans="1:69" x14ac:dyDescent="0.25">
      <c r="A31" s="33">
        <v>25</v>
      </c>
      <c r="B31" s="594"/>
      <c r="C31" s="407" t="s">
        <v>169</v>
      </c>
      <c r="D31" s="872">
        <v>1957</v>
      </c>
      <c r="E31" s="872">
        <v>1</v>
      </c>
      <c r="F31" s="873">
        <v>4</v>
      </c>
      <c r="G31" s="874">
        <v>5</v>
      </c>
      <c r="H31" s="873">
        <v>131.19999999999999</v>
      </c>
      <c r="I31" s="873">
        <v>0</v>
      </c>
      <c r="J31" s="873">
        <v>0</v>
      </c>
      <c r="K31" s="871">
        <v>3663.12</v>
      </c>
      <c r="L31" s="871">
        <v>1963.49</v>
      </c>
      <c r="M31" s="625">
        <f t="shared" si="0"/>
        <v>3663.12</v>
      </c>
      <c r="N31" s="625">
        <f t="shared" si="1"/>
        <v>1963.49</v>
      </c>
      <c r="O31" s="625">
        <f t="shared" si="2"/>
        <v>1646.7123076849759</v>
      </c>
      <c r="P31" s="870"/>
      <c r="Q31" s="525">
        <f t="shared" si="3"/>
        <v>123.58927447065722</v>
      </c>
      <c r="R31" s="871">
        <v>0</v>
      </c>
      <c r="S31" s="525">
        <f t="shared" si="4"/>
        <v>1.8345406081751989</v>
      </c>
      <c r="T31" s="625">
        <f t="shared" si="5"/>
        <v>3.4721413584964775</v>
      </c>
      <c r="U31" s="625">
        <f t="shared" si="6"/>
        <v>66.795944369520512</v>
      </c>
      <c r="V31" s="625">
        <f t="shared" si="7"/>
        <v>1168.2234860747071</v>
      </c>
      <c r="W31" s="625">
        <f t="shared" si="8"/>
        <v>134.52325593704413</v>
      </c>
      <c r="X31" s="625">
        <f t="shared" si="9"/>
        <v>148.27366486637544</v>
      </c>
      <c r="Y31" s="871"/>
      <c r="Z31" s="871"/>
      <c r="AA31" s="736">
        <f t="shared" si="12"/>
        <v>2016.407692315024</v>
      </c>
      <c r="AB31" s="736">
        <f t="shared" si="13"/>
        <v>53.601574613990266</v>
      </c>
      <c r="AC31" s="736">
        <v>0</v>
      </c>
      <c r="AD31" s="736">
        <f t="shared" si="15"/>
        <v>3.1377902204363113</v>
      </c>
      <c r="AE31" s="875">
        <v>4.76</v>
      </c>
      <c r="AF31" s="736">
        <f t="shared" si="16"/>
        <v>1699.6299999999999</v>
      </c>
      <c r="AG31" s="250"/>
      <c r="AH31" s="250"/>
    </row>
    <row r="32" spans="1:69" x14ac:dyDescent="0.25">
      <c r="A32" s="33">
        <v>26</v>
      </c>
      <c r="B32" s="594"/>
      <c r="C32" s="407" t="s">
        <v>170</v>
      </c>
      <c r="D32" s="872">
        <v>1957</v>
      </c>
      <c r="E32" s="872">
        <v>1</v>
      </c>
      <c r="F32" s="873">
        <v>4</v>
      </c>
      <c r="G32" s="874">
        <v>3</v>
      </c>
      <c r="H32" s="873">
        <v>123</v>
      </c>
      <c r="I32" s="873">
        <v>0</v>
      </c>
      <c r="J32" s="873">
        <v>0</v>
      </c>
      <c r="K32" s="871">
        <v>2341.88</v>
      </c>
      <c r="L32" s="871">
        <v>1967.52</v>
      </c>
      <c r="M32" s="625">
        <f t="shared" si="0"/>
        <v>2341.88</v>
      </c>
      <c r="N32" s="625">
        <f t="shared" si="1"/>
        <v>1967.52</v>
      </c>
      <c r="O32" s="625">
        <f t="shared" si="2"/>
        <v>1195.4436563700019</v>
      </c>
      <c r="P32" s="870"/>
      <c r="Q32" s="525">
        <f t="shared" si="3"/>
        <v>115.86494481624115</v>
      </c>
      <c r="R32" s="871">
        <v>0</v>
      </c>
      <c r="S32" s="525">
        <f t="shared" si="4"/>
        <v>1.7198818201642492</v>
      </c>
      <c r="T32" s="625">
        <f t="shared" si="5"/>
        <v>3.255132523590448</v>
      </c>
      <c r="U32" s="625">
        <f t="shared" si="6"/>
        <v>62.621197846425481</v>
      </c>
      <c r="V32" s="625">
        <f t="shared" si="7"/>
        <v>746.86038611037463</v>
      </c>
      <c r="W32" s="625">
        <f t="shared" si="8"/>
        <v>126.11555244097887</v>
      </c>
      <c r="X32" s="625">
        <f t="shared" si="9"/>
        <v>139.00656081222701</v>
      </c>
      <c r="Y32" s="871"/>
      <c r="Z32" s="871"/>
      <c r="AA32" s="736">
        <f t="shared" si="12"/>
        <v>1146.4363436299982</v>
      </c>
      <c r="AB32" s="736">
        <f t="shared" si="13"/>
        <v>84.014552410883553</v>
      </c>
      <c r="AC32" s="736">
        <v>0</v>
      </c>
      <c r="AD32" s="736">
        <f t="shared" si="15"/>
        <v>2.429763529207321</v>
      </c>
      <c r="AE32" s="875">
        <v>4.76</v>
      </c>
      <c r="AF32" s="736">
        <f t="shared" si="16"/>
        <v>374.36000000000013</v>
      </c>
      <c r="AG32" s="250"/>
      <c r="AH32" s="250"/>
    </row>
    <row r="33" spans="1:34" x14ac:dyDescent="0.25">
      <c r="A33" s="33">
        <v>27</v>
      </c>
      <c r="B33" s="594"/>
      <c r="C33" s="407" t="s">
        <v>171</v>
      </c>
      <c r="D33" s="872">
        <v>1957</v>
      </c>
      <c r="E33" s="872">
        <v>1</v>
      </c>
      <c r="F33" s="873">
        <v>4</v>
      </c>
      <c r="G33" s="874">
        <v>8</v>
      </c>
      <c r="H33" s="873">
        <v>141.5</v>
      </c>
      <c r="I33" s="873">
        <v>0</v>
      </c>
      <c r="J33" s="873">
        <v>0</v>
      </c>
      <c r="K33" s="871">
        <v>2694.16</v>
      </c>
      <c r="L33" s="871">
        <v>2485.33</v>
      </c>
      <c r="M33" s="625">
        <f t="shared" si="0"/>
        <v>2694.16</v>
      </c>
      <c r="N33" s="625">
        <f t="shared" si="1"/>
        <v>2485.33</v>
      </c>
      <c r="O33" s="625">
        <f t="shared" si="2"/>
        <v>1375.2608328015676</v>
      </c>
      <c r="P33" s="870"/>
      <c r="Q33" s="525">
        <f t="shared" si="3"/>
        <v>133.29178610974083</v>
      </c>
      <c r="R33" s="871">
        <v>0</v>
      </c>
      <c r="S33" s="525">
        <f t="shared" si="4"/>
        <v>1.9785632321401727</v>
      </c>
      <c r="T33" s="625">
        <f t="shared" si="5"/>
        <v>3.7447256267321007</v>
      </c>
      <c r="U33" s="625">
        <f t="shared" si="6"/>
        <v>72.039833294871599</v>
      </c>
      <c r="V33" s="625">
        <f t="shared" si="7"/>
        <v>859.20772108012659</v>
      </c>
      <c r="W33" s="625">
        <f t="shared" si="8"/>
        <v>145.08415179185781</v>
      </c>
      <c r="X33" s="625">
        <f t="shared" si="9"/>
        <v>159.91405166609854</v>
      </c>
      <c r="Y33" s="871"/>
      <c r="Z33" s="871"/>
      <c r="AA33" s="736">
        <f t="shared" si="12"/>
        <v>1318.8991671984322</v>
      </c>
      <c r="AB33" s="736">
        <f t="shared" si="13"/>
        <v>92.2487899753541</v>
      </c>
      <c r="AC33" s="736">
        <v>0</v>
      </c>
      <c r="AD33" s="736">
        <f t="shared" si="15"/>
        <v>2.4297894572465859</v>
      </c>
      <c r="AE33" s="875">
        <v>4.76</v>
      </c>
      <c r="AF33" s="736">
        <f t="shared" si="16"/>
        <v>208.82999999999993</v>
      </c>
      <c r="AG33" s="250"/>
      <c r="AH33" s="250"/>
    </row>
    <row r="34" spans="1:34" x14ac:dyDescent="0.25">
      <c r="A34" s="162"/>
      <c r="B34" s="162"/>
      <c r="C34" s="152" t="s">
        <v>52</v>
      </c>
      <c r="D34" s="876"/>
      <c r="E34" s="876"/>
      <c r="F34" s="692">
        <f>SUM(F7:F33)</f>
        <v>760</v>
      </c>
      <c r="G34" s="692">
        <f>SUM(G7:G33)</f>
        <v>1535</v>
      </c>
      <c r="H34" s="692">
        <f t="shared" ref="H34:R34" si="17">SUM(H7:H33)</f>
        <v>37786.479999999989</v>
      </c>
      <c r="I34" s="692">
        <f>SUM(I7:I33)</f>
        <v>79656.929999999993</v>
      </c>
      <c r="J34" s="692">
        <f>SUM(J7:J33)</f>
        <v>46210.969999999994</v>
      </c>
      <c r="K34" s="877">
        <f t="shared" si="17"/>
        <v>1054493.81</v>
      </c>
      <c r="L34" s="877">
        <f t="shared" si="17"/>
        <v>980366.19</v>
      </c>
      <c r="M34" s="877">
        <f t="shared" si="17"/>
        <v>1134150.7400000002</v>
      </c>
      <c r="N34" s="877">
        <f t="shared" si="17"/>
        <v>1026577.1600000001</v>
      </c>
      <c r="O34" s="56">
        <f t="shared" si="17"/>
        <v>962338.68669999985</v>
      </c>
      <c r="P34" s="877">
        <f t="shared" si="17"/>
        <v>21230.07</v>
      </c>
      <c r="Q34" s="878">
        <f t="shared" si="17"/>
        <v>35594.539999999994</v>
      </c>
      <c r="R34" s="877">
        <f t="shared" si="17"/>
        <v>41921.54</v>
      </c>
      <c r="S34" s="877">
        <f>SUM(S7:S33)</f>
        <v>528.35999999999979</v>
      </c>
      <c r="T34" s="56">
        <f t="shared" ref="T34:Z34" si="18">SUM(T7:T33)</f>
        <v>1000</v>
      </c>
      <c r="U34" s="56">
        <f t="shared" si="18"/>
        <v>19237.679999999997</v>
      </c>
      <c r="V34" s="56">
        <f t="shared" si="18"/>
        <v>336293.77</v>
      </c>
      <c r="W34" s="56">
        <f t="shared" si="18"/>
        <v>38743.599999999991</v>
      </c>
      <c r="X34" s="56">
        <f t="shared" si="18"/>
        <v>42703.80999999999</v>
      </c>
      <c r="Y34" s="877">
        <f t="shared" si="18"/>
        <v>353648.35</v>
      </c>
      <c r="Z34" s="877">
        <f t="shared" si="18"/>
        <v>71436.96669999999</v>
      </c>
      <c r="AA34" s="762">
        <f>SUM(AA7:AA33)</f>
        <v>171812.05330000012</v>
      </c>
      <c r="AB34" s="1026">
        <f t="shared" si="13"/>
        <v>92.970312457310669</v>
      </c>
      <c r="AC34" s="762">
        <f t="shared" si="14"/>
        <v>58.012491819606907</v>
      </c>
      <c r="AD34" s="762">
        <f>O34/H34/4</f>
        <v>6.3669511337123765</v>
      </c>
      <c r="AE34" s="811"/>
      <c r="AF34" s="762">
        <f t="shared" si="16"/>
        <v>107573.58000000007</v>
      </c>
      <c r="AG34" s="250"/>
      <c r="AH34" s="250"/>
    </row>
    <row r="35" spans="1:34" x14ac:dyDescent="0.25">
      <c r="A35" s="15"/>
      <c r="B35" s="15"/>
      <c r="C35" s="507" t="s">
        <v>540</v>
      </c>
      <c r="D35" s="661"/>
      <c r="E35" s="661"/>
      <c r="F35" s="661"/>
      <c r="G35" s="661"/>
      <c r="H35" s="661"/>
      <c r="I35" s="661"/>
      <c r="J35" s="661"/>
      <c r="K35" s="864">
        <v>5080.4799999999996</v>
      </c>
      <c r="L35" s="864">
        <v>1861.17</v>
      </c>
      <c r="M35" s="864"/>
      <c r="N35" s="864"/>
      <c r="O35" s="879"/>
      <c r="P35" s="880">
        <f>P34+Q34</f>
        <v>56824.609999999993</v>
      </c>
      <c r="Q35" s="881"/>
      <c r="R35" s="882">
        <v>12649.56</v>
      </c>
      <c r="S35" s="661"/>
      <c r="T35" s="661"/>
      <c r="U35" s="661"/>
      <c r="V35" s="661"/>
      <c r="W35" s="736"/>
      <c r="X35" s="736"/>
      <c r="Y35" s="883">
        <f>Y34+Z34</f>
        <v>425085.31669999997</v>
      </c>
      <c r="Z35" s="661"/>
      <c r="AA35" s="881"/>
      <c r="AB35" s="736"/>
      <c r="AC35" s="736"/>
      <c r="AD35" s="661"/>
      <c r="AE35" s="661"/>
      <c r="AF35" s="661"/>
      <c r="AG35" s="250"/>
      <c r="AH35" s="250"/>
    </row>
    <row r="36" spans="1:34" ht="15" customHeight="1" x14ac:dyDescent="0.25">
      <c r="A36" s="15"/>
      <c r="B36" s="15"/>
      <c r="C36" s="507" t="s">
        <v>539</v>
      </c>
      <c r="D36" s="661"/>
      <c r="E36" s="661"/>
      <c r="F36" s="661"/>
      <c r="G36" s="661"/>
      <c r="H36" s="881"/>
      <c r="I36" s="881"/>
      <c r="J36" s="881"/>
      <c r="K36" s="864">
        <f>K34+K35</f>
        <v>1059574.29</v>
      </c>
      <c r="L36" s="864">
        <f>L34+L35</f>
        <v>982227.36</v>
      </c>
      <c r="M36" s="864"/>
      <c r="N36" s="864"/>
      <c r="O36" s="864"/>
      <c r="P36" s="864"/>
      <c r="Q36" s="864"/>
      <c r="R36" s="864">
        <f t="shared" ref="R36" si="19">R34+R35</f>
        <v>54571.1</v>
      </c>
      <c r="S36" s="661"/>
      <c r="T36" s="661"/>
      <c r="U36" s="661"/>
      <c r="V36" s="661"/>
      <c r="W36" s="661"/>
      <c r="X36" s="661"/>
      <c r="Y36" s="661"/>
      <c r="Z36" s="661"/>
      <c r="AA36" s="661"/>
      <c r="AB36" s="661"/>
      <c r="AC36" s="661"/>
      <c r="AD36" s="661"/>
      <c r="AE36" s="661"/>
      <c r="AF36" s="661"/>
      <c r="AG36" s="250"/>
      <c r="AH36" s="250"/>
    </row>
    <row r="37" spans="1:34" ht="18.75" customHeight="1" x14ac:dyDescent="0.3">
      <c r="C37" s="353" t="s">
        <v>422</v>
      </c>
      <c r="D37" s="1147"/>
      <c r="E37" s="1147"/>
      <c r="F37" s="1147"/>
      <c r="G37" s="1147"/>
      <c r="H37" s="1147"/>
      <c r="I37" s="1147"/>
      <c r="J37" s="1147"/>
      <c r="K37" s="1147"/>
      <c r="L37" s="1147"/>
      <c r="M37" s="1147"/>
      <c r="N37" s="1147"/>
      <c r="O37" s="1147"/>
      <c r="P37" s="1147"/>
      <c r="Q37" s="1147"/>
      <c r="R37" s="1147"/>
      <c r="S37" s="1147"/>
      <c r="T37" s="1147"/>
      <c r="U37" s="1147"/>
      <c r="V37" s="850"/>
      <c r="W37" s="850"/>
      <c r="X37" s="850"/>
      <c r="Y37" s="850"/>
      <c r="Z37" s="850"/>
      <c r="AA37" s="851"/>
      <c r="AB37" s="375"/>
      <c r="AC37" s="375"/>
      <c r="AD37" s="375"/>
      <c r="AE37" s="375"/>
      <c r="AF37" s="375"/>
      <c r="AG37" s="250"/>
      <c r="AH37" s="250"/>
    </row>
    <row r="38" spans="1:34" ht="15.75" customHeight="1" x14ac:dyDescent="0.25">
      <c r="D38" s="2091" t="s">
        <v>567</v>
      </c>
      <c r="E38" s="2091"/>
      <c r="F38" s="2091"/>
      <c r="G38" s="2091"/>
      <c r="H38" s="2091"/>
      <c r="I38" s="2091"/>
      <c r="J38" s="2091"/>
      <c r="K38" s="2091"/>
      <c r="L38" s="2091"/>
      <c r="M38" s="2091"/>
      <c r="N38" s="2091"/>
      <c r="O38" s="2091"/>
      <c r="P38" s="2091"/>
      <c r="Q38" s="2091"/>
      <c r="R38" s="2091"/>
      <c r="S38" s="2091"/>
      <c r="T38" s="2091"/>
      <c r="U38" s="2091"/>
      <c r="V38" s="852"/>
      <c r="W38" s="852"/>
      <c r="X38" s="852"/>
      <c r="Y38" s="852"/>
      <c r="Z38" s="852"/>
      <c r="AA38" s="851"/>
      <c r="AB38" s="375"/>
      <c r="AC38" s="375"/>
      <c r="AD38" s="375"/>
      <c r="AE38" s="375"/>
      <c r="AF38" s="375"/>
      <c r="AG38" s="250"/>
      <c r="AH38" s="250"/>
    </row>
    <row r="39" spans="1:34" x14ac:dyDescent="0.25"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  <c r="R39" s="375"/>
      <c r="S39" s="375"/>
      <c r="T39" s="375"/>
      <c r="U39" s="375"/>
      <c r="V39" s="375"/>
      <c r="W39" s="375"/>
      <c r="X39" s="349"/>
      <c r="Y39" s="349"/>
      <c r="Z39" s="349"/>
      <c r="AA39" s="790"/>
      <c r="AB39" s="349"/>
      <c r="AC39" s="349"/>
      <c r="AD39" s="349"/>
      <c r="AE39" s="349"/>
      <c r="AF39" s="349"/>
      <c r="AG39" s="250"/>
      <c r="AH39" s="250"/>
    </row>
    <row r="40" spans="1:34" ht="26.25" customHeight="1" x14ac:dyDescent="0.25">
      <c r="A40" s="2083" t="s">
        <v>0</v>
      </c>
      <c r="B40" s="2014"/>
      <c r="C40" s="2083" t="s">
        <v>184</v>
      </c>
      <c r="D40" s="2084" t="s">
        <v>54</v>
      </c>
      <c r="E40" s="2085" t="s">
        <v>55</v>
      </c>
      <c r="F40" s="2084" t="s">
        <v>56</v>
      </c>
      <c r="G40" s="2084" t="s">
        <v>57</v>
      </c>
      <c r="H40" s="2085" t="s">
        <v>6</v>
      </c>
      <c r="I40" s="949"/>
      <c r="J40" s="949"/>
      <c r="K40" s="2087" t="s">
        <v>284</v>
      </c>
      <c r="L40" s="2088"/>
      <c r="M40" s="943"/>
      <c r="N40" s="943"/>
      <c r="O40" s="2074" t="s">
        <v>181</v>
      </c>
      <c r="P40" s="2093" t="s">
        <v>332</v>
      </c>
      <c r="Q40" s="2103" t="s">
        <v>314</v>
      </c>
      <c r="R40" s="2103" t="s">
        <v>372</v>
      </c>
      <c r="S40" s="2105" t="s">
        <v>423</v>
      </c>
      <c r="T40" s="2074" t="s">
        <v>175</v>
      </c>
      <c r="U40" s="2074" t="s">
        <v>176</v>
      </c>
      <c r="V40" s="2080" t="s">
        <v>182</v>
      </c>
      <c r="W40" s="2100" t="s">
        <v>544</v>
      </c>
      <c r="X40" s="2072" t="s">
        <v>566</v>
      </c>
      <c r="Y40" s="884"/>
      <c r="Z40" s="884"/>
      <c r="AA40" s="854"/>
      <c r="AB40" s="885"/>
      <c r="AC40" s="1022"/>
      <c r="AD40" s="886"/>
      <c r="AE40" s="887"/>
      <c r="AF40" s="349"/>
      <c r="AG40" s="250"/>
      <c r="AH40" s="250"/>
    </row>
    <row r="41" spans="1:34" ht="39.75" customHeight="1" x14ac:dyDescent="0.25">
      <c r="A41" s="2083"/>
      <c r="B41" s="2015"/>
      <c r="C41" s="2083"/>
      <c r="D41" s="2084"/>
      <c r="E41" s="2086"/>
      <c r="F41" s="2084"/>
      <c r="G41" s="2084"/>
      <c r="H41" s="2086"/>
      <c r="I41" s="950"/>
      <c r="J41" s="950"/>
      <c r="K41" s="767" t="s">
        <v>15</v>
      </c>
      <c r="L41" s="768" t="s">
        <v>286</v>
      </c>
      <c r="M41" s="944"/>
      <c r="N41" s="944"/>
      <c r="O41" s="2075"/>
      <c r="P41" s="2093"/>
      <c r="Q41" s="2104"/>
      <c r="R41" s="2104"/>
      <c r="S41" s="2106"/>
      <c r="T41" s="2075"/>
      <c r="U41" s="2075"/>
      <c r="V41" s="2079"/>
      <c r="W41" s="2101"/>
      <c r="X41" s="2073"/>
      <c r="Y41" s="884"/>
      <c r="Z41" s="888"/>
      <c r="AA41" s="854"/>
      <c r="AB41" s="885"/>
      <c r="AC41" s="1022"/>
      <c r="AD41" s="886"/>
      <c r="AE41" s="887"/>
      <c r="AF41" s="349"/>
      <c r="AG41" s="250"/>
      <c r="AH41" s="250"/>
    </row>
    <row r="42" spans="1:34" x14ac:dyDescent="0.25">
      <c r="A42" s="32">
        <v>1</v>
      </c>
      <c r="B42" s="32"/>
      <c r="C42" s="42" t="s">
        <v>145</v>
      </c>
      <c r="D42" s="705">
        <v>1960</v>
      </c>
      <c r="E42" s="705">
        <v>2</v>
      </c>
      <c r="F42" s="866">
        <v>16</v>
      </c>
      <c r="G42" s="867">
        <v>35</v>
      </c>
      <c r="H42" s="770">
        <v>639.20000000000005</v>
      </c>
      <c r="I42" s="951"/>
      <c r="J42" s="951"/>
      <c r="K42" s="524">
        <v>10193.6</v>
      </c>
      <c r="L42" s="524">
        <v>10635.92</v>
      </c>
      <c r="M42" s="945"/>
      <c r="N42" s="945"/>
      <c r="O42" s="524">
        <f>P42+Q42+R42+S42</f>
        <v>0</v>
      </c>
      <c r="P42" s="541"/>
      <c r="Q42" s="889"/>
      <c r="R42" s="591"/>
      <c r="S42" s="890"/>
      <c r="T42" s="591">
        <f>K42-O42</f>
        <v>10193.6</v>
      </c>
      <c r="U42" s="591">
        <f>L42/K42*100</f>
        <v>104.33919321927483</v>
      </c>
      <c r="V42" s="891">
        <f>O42/H42/4</f>
        <v>0</v>
      </c>
      <c r="W42" s="678">
        <v>4</v>
      </c>
      <c r="X42" s="591">
        <f>K42-L42</f>
        <v>-442.31999999999971</v>
      </c>
      <c r="Y42" s="871"/>
      <c r="Z42" s="871"/>
      <c r="AA42" s="736"/>
      <c r="AB42" s="350"/>
      <c r="AC42" s="350"/>
      <c r="AD42" s="350"/>
      <c r="AE42" s="350"/>
      <c r="AF42" s="349"/>
      <c r="AG42" s="250"/>
      <c r="AH42" s="250"/>
    </row>
    <row r="43" spans="1:34" x14ac:dyDescent="0.25">
      <c r="A43" s="32">
        <v>2</v>
      </c>
      <c r="B43" s="32"/>
      <c r="C43" s="42" t="s">
        <v>146</v>
      </c>
      <c r="D43" s="705">
        <v>1960</v>
      </c>
      <c r="E43" s="705">
        <v>2</v>
      </c>
      <c r="F43" s="866">
        <v>16</v>
      </c>
      <c r="G43" s="867">
        <v>27</v>
      </c>
      <c r="H43" s="770">
        <v>647.29999999999995</v>
      </c>
      <c r="I43" s="951"/>
      <c r="J43" s="951"/>
      <c r="K43" s="524">
        <v>10364.799999999999</v>
      </c>
      <c r="L43" s="524">
        <v>7945.33</v>
      </c>
      <c r="M43" s="945"/>
      <c r="N43" s="945"/>
      <c r="O43" s="524">
        <f t="shared" ref="O43:O63" si="20">P43+Q43+R43+S43</f>
        <v>0</v>
      </c>
      <c r="P43" s="541"/>
      <c r="Q43" s="889"/>
      <c r="R43" s="591"/>
      <c r="S43" s="890"/>
      <c r="T43" s="591">
        <f t="shared" ref="T43:T68" si="21">K43-O43</f>
        <v>10364.799999999999</v>
      </c>
      <c r="U43" s="591">
        <f t="shared" ref="U43:U68" si="22">L43/K43*100</f>
        <v>76.65685782648967</v>
      </c>
      <c r="V43" s="891">
        <f t="shared" ref="V43:V68" si="23">O43/H43/4</f>
        <v>0</v>
      </c>
      <c r="W43" s="678">
        <v>4</v>
      </c>
      <c r="X43" s="591">
        <f t="shared" ref="X43:X67" si="24">K43-L43</f>
        <v>2419.4699999999993</v>
      </c>
      <c r="Y43" s="871"/>
      <c r="Z43" s="871"/>
      <c r="AA43" s="736"/>
      <c r="AB43" s="350"/>
      <c r="AC43" s="350"/>
      <c r="AD43" s="350"/>
      <c r="AE43" s="350"/>
      <c r="AF43" s="349"/>
      <c r="AG43" s="250"/>
      <c r="AH43" s="250"/>
    </row>
    <row r="44" spans="1:34" x14ac:dyDescent="0.25">
      <c r="A44" s="32">
        <v>3</v>
      </c>
      <c r="B44" s="32"/>
      <c r="C44" s="42" t="s">
        <v>147</v>
      </c>
      <c r="D44" s="705">
        <v>1960</v>
      </c>
      <c r="E44" s="705">
        <v>2</v>
      </c>
      <c r="F44" s="866">
        <v>16</v>
      </c>
      <c r="G44" s="867">
        <v>27</v>
      </c>
      <c r="H44" s="770">
        <v>640.79999999999995</v>
      </c>
      <c r="I44" s="951"/>
      <c r="J44" s="951"/>
      <c r="K44" s="524">
        <v>12614.8</v>
      </c>
      <c r="L44" s="524">
        <v>12504.32</v>
      </c>
      <c r="M44" s="945"/>
      <c r="N44" s="945"/>
      <c r="O44" s="524">
        <f t="shared" si="20"/>
        <v>0</v>
      </c>
      <c r="P44" s="541"/>
      <c r="Q44" s="889"/>
      <c r="R44" s="591"/>
      <c r="S44" s="890"/>
      <c r="T44" s="591">
        <f t="shared" si="21"/>
        <v>12614.8</v>
      </c>
      <c r="U44" s="591">
        <f t="shared" si="22"/>
        <v>99.12420331673907</v>
      </c>
      <c r="V44" s="891">
        <f t="shared" si="23"/>
        <v>0</v>
      </c>
      <c r="W44" s="678">
        <v>4.92</v>
      </c>
      <c r="X44" s="591">
        <f t="shared" si="24"/>
        <v>110.47999999999956</v>
      </c>
      <c r="Y44" s="871"/>
      <c r="Z44" s="871"/>
      <c r="AA44" s="736"/>
      <c r="AB44" s="350"/>
      <c r="AC44" s="350"/>
      <c r="AD44" s="350"/>
      <c r="AE44" s="350"/>
      <c r="AF44" s="349"/>
      <c r="AG44" s="250"/>
      <c r="AH44" s="250"/>
    </row>
    <row r="45" spans="1:34" x14ac:dyDescent="0.25">
      <c r="A45" s="32">
        <v>4</v>
      </c>
      <c r="B45" s="32"/>
      <c r="C45" s="42" t="s">
        <v>148</v>
      </c>
      <c r="D45" s="705">
        <v>1960</v>
      </c>
      <c r="E45" s="705">
        <v>2</v>
      </c>
      <c r="F45" s="866">
        <v>16</v>
      </c>
      <c r="G45" s="867">
        <v>27</v>
      </c>
      <c r="H45" s="770">
        <v>634</v>
      </c>
      <c r="I45" s="951"/>
      <c r="J45" s="951"/>
      <c r="K45" s="524">
        <v>10176</v>
      </c>
      <c r="L45" s="524">
        <v>8710</v>
      </c>
      <c r="M45" s="945"/>
      <c r="N45" s="945"/>
      <c r="O45" s="524">
        <f t="shared" si="20"/>
        <v>14548.21</v>
      </c>
      <c r="P45" s="541">
        <v>14548.21</v>
      </c>
      <c r="Q45" s="889"/>
      <c r="R45" s="591"/>
      <c r="S45" s="890"/>
      <c r="T45" s="591">
        <f t="shared" si="21"/>
        <v>-4372.2099999999991</v>
      </c>
      <c r="U45" s="591">
        <f t="shared" si="22"/>
        <v>85.593553459119505</v>
      </c>
      <c r="V45" s="891">
        <f t="shared" si="23"/>
        <v>5.7366758675078859</v>
      </c>
      <c r="W45" s="678">
        <v>4</v>
      </c>
      <c r="X45" s="591">
        <f t="shared" si="24"/>
        <v>1466</v>
      </c>
      <c r="Y45" s="871"/>
      <c r="Z45" s="871"/>
      <c r="AA45" s="736"/>
      <c r="AB45" s="350"/>
      <c r="AC45" s="350"/>
      <c r="AD45" s="350"/>
      <c r="AE45" s="350"/>
      <c r="AF45" s="349"/>
      <c r="AG45" s="250"/>
      <c r="AH45" s="250"/>
    </row>
    <row r="46" spans="1:34" x14ac:dyDescent="0.25">
      <c r="A46" s="32">
        <v>5</v>
      </c>
      <c r="B46" s="32"/>
      <c r="C46" s="42" t="s">
        <v>149</v>
      </c>
      <c r="D46" s="705">
        <v>1960</v>
      </c>
      <c r="E46" s="705">
        <v>2</v>
      </c>
      <c r="F46" s="866">
        <v>16</v>
      </c>
      <c r="G46" s="867">
        <v>22</v>
      </c>
      <c r="H46" s="770">
        <v>634.1</v>
      </c>
      <c r="I46" s="951"/>
      <c r="J46" s="951"/>
      <c r="K46" s="524">
        <v>10100.14</v>
      </c>
      <c r="L46" s="524">
        <v>9995.2800000000007</v>
      </c>
      <c r="M46" s="945"/>
      <c r="N46" s="945"/>
      <c r="O46" s="524">
        <f t="shared" si="20"/>
        <v>98.11</v>
      </c>
      <c r="P46" s="541">
        <v>98.11</v>
      </c>
      <c r="Q46" s="889"/>
      <c r="R46" s="591"/>
      <c r="S46" s="890"/>
      <c r="T46" s="591">
        <f t="shared" si="21"/>
        <v>10002.029999999999</v>
      </c>
      <c r="U46" s="591">
        <f t="shared" si="22"/>
        <v>98.961796569156476</v>
      </c>
      <c r="V46" s="891">
        <f t="shared" si="23"/>
        <v>3.8680807443620881E-2</v>
      </c>
      <c r="W46" s="678">
        <v>4</v>
      </c>
      <c r="X46" s="591">
        <f t="shared" si="24"/>
        <v>104.85999999999876</v>
      </c>
      <c r="Y46" s="871"/>
      <c r="Z46" s="871"/>
      <c r="AA46" s="736"/>
      <c r="AB46" s="350"/>
      <c r="AC46" s="350"/>
      <c r="AD46" s="350"/>
      <c r="AE46" s="350"/>
      <c r="AF46" s="349"/>
      <c r="AG46" s="250"/>
      <c r="AH46" s="250"/>
    </row>
    <row r="47" spans="1:34" x14ac:dyDescent="0.25">
      <c r="A47" s="32">
        <v>6</v>
      </c>
      <c r="B47" s="32"/>
      <c r="C47" s="42" t="s">
        <v>150</v>
      </c>
      <c r="D47" s="705">
        <v>1966</v>
      </c>
      <c r="E47" s="690">
        <v>3</v>
      </c>
      <c r="F47" s="706">
        <v>36</v>
      </c>
      <c r="G47" s="869">
        <v>65</v>
      </c>
      <c r="H47" s="676">
        <v>1490.6</v>
      </c>
      <c r="I47" s="951"/>
      <c r="J47" s="951"/>
      <c r="K47" s="524">
        <v>23755.200000000001</v>
      </c>
      <c r="L47" s="524">
        <v>20571.439999999999</v>
      </c>
      <c r="M47" s="945"/>
      <c r="N47" s="945"/>
      <c r="O47" s="524">
        <f t="shared" si="20"/>
        <v>0</v>
      </c>
      <c r="P47" s="892"/>
      <c r="Q47" s="889"/>
      <c r="R47" s="591"/>
      <c r="S47" s="890"/>
      <c r="T47" s="591">
        <f t="shared" si="21"/>
        <v>23755.200000000001</v>
      </c>
      <c r="U47" s="591">
        <f t="shared" si="22"/>
        <v>86.597629150670159</v>
      </c>
      <c r="V47" s="891">
        <f t="shared" si="23"/>
        <v>0</v>
      </c>
      <c r="W47" s="678">
        <v>4</v>
      </c>
      <c r="X47" s="591">
        <f t="shared" si="24"/>
        <v>3183.760000000002</v>
      </c>
      <c r="Y47" s="871"/>
      <c r="Z47" s="871"/>
      <c r="AA47" s="736"/>
      <c r="AB47" s="350"/>
      <c r="AC47" s="350"/>
      <c r="AD47" s="350"/>
      <c r="AE47" s="350"/>
      <c r="AF47" s="349"/>
      <c r="AG47" s="250"/>
      <c r="AH47" s="250"/>
    </row>
    <row r="48" spans="1:34" x14ac:dyDescent="0.25">
      <c r="A48" s="32">
        <v>7</v>
      </c>
      <c r="B48" s="32"/>
      <c r="C48" s="42" t="s">
        <v>151</v>
      </c>
      <c r="D48" s="705">
        <v>1966</v>
      </c>
      <c r="E48" s="690">
        <v>3</v>
      </c>
      <c r="F48" s="706">
        <v>36</v>
      </c>
      <c r="G48" s="869">
        <v>68</v>
      </c>
      <c r="H48" s="676">
        <v>1481.39</v>
      </c>
      <c r="I48" s="951"/>
      <c r="J48" s="951"/>
      <c r="K48" s="524">
        <v>23763.439999999999</v>
      </c>
      <c r="L48" s="524">
        <v>21590.6</v>
      </c>
      <c r="M48" s="945"/>
      <c r="N48" s="945"/>
      <c r="O48" s="524">
        <f t="shared" si="20"/>
        <v>0</v>
      </c>
      <c r="P48" s="892"/>
      <c r="Q48" s="889"/>
      <c r="R48" s="591"/>
      <c r="S48" s="890"/>
      <c r="T48" s="591">
        <f t="shared" si="21"/>
        <v>23763.439999999999</v>
      </c>
      <c r="U48" s="591">
        <f t="shared" si="22"/>
        <v>90.856374329642506</v>
      </c>
      <c r="V48" s="891">
        <f t="shared" si="23"/>
        <v>0</v>
      </c>
      <c r="W48" s="678">
        <v>4</v>
      </c>
      <c r="X48" s="591">
        <f t="shared" si="24"/>
        <v>2172.84</v>
      </c>
      <c r="Y48" s="871"/>
      <c r="Z48" s="871"/>
      <c r="AA48" s="736"/>
      <c r="AB48" s="350"/>
      <c r="AC48" s="350"/>
      <c r="AD48" s="350"/>
      <c r="AE48" s="350"/>
      <c r="AF48" s="349"/>
      <c r="AG48" s="250"/>
      <c r="AH48" s="250"/>
    </row>
    <row r="49" spans="1:34" x14ac:dyDescent="0.25">
      <c r="A49" s="32">
        <v>8</v>
      </c>
      <c r="B49" s="32"/>
      <c r="C49" s="42" t="s">
        <v>152</v>
      </c>
      <c r="D49" s="705">
        <v>1955</v>
      </c>
      <c r="E49" s="690">
        <v>2</v>
      </c>
      <c r="F49" s="706">
        <v>12</v>
      </c>
      <c r="G49" s="869">
        <v>33</v>
      </c>
      <c r="H49" s="676">
        <v>855.6</v>
      </c>
      <c r="I49" s="951"/>
      <c r="J49" s="951"/>
      <c r="K49" s="524">
        <v>10247.280000000001</v>
      </c>
      <c r="L49" s="524">
        <v>9237.3799999999992</v>
      </c>
      <c r="M49" s="945"/>
      <c r="N49" s="945"/>
      <c r="O49" s="524">
        <f t="shared" si="20"/>
        <v>12</v>
      </c>
      <c r="P49" s="892">
        <v>12</v>
      </c>
      <c r="Q49" s="889"/>
      <c r="R49" s="591"/>
      <c r="S49" s="890"/>
      <c r="T49" s="591">
        <f t="shared" si="21"/>
        <v>10235.280000000001</v>
      </c>
      <c r="U49" s="591">
        <f t="shared" si="22"/>
        <v>90.14470181355442</v>
      </c>
      <c r="V49" s="891">
        <f t="shared" si="23"/>
        <v>3.5063113604488078E-3</v>
      </c>
      <c r="W49" s="678">
        <v>3.22</v>
      </c>
      <c r="X49" s="591">
        <f t="shared" si="24"/>
        <v>1009.9000000000015</v>
      </c>
      <c r="Y49" s="871"/>
      <c r="Z49" s="871"/>
      <c r="AA49" s="736"/>
      <c r="AB49" s="350"/>
      <c r="AC49" s="350"/>
      <c r="AD49" s="350"/>
      <c r="AE49" s="350"/>
      <c r="AF49" s="349"/>
      <c r="AG49" s="250"/>
      <c r="AH49" s="250"/>
    </row>
    <row r="50" spans="1:34" x14ac:dyDescent="0.25">
      <c r="A50" s="32">
        <v>9</v>
      </c>
      <c r="B50" s="32"/>
      <c r="C50" s="42" t="s">
        <v>153</v>
      </c>
      <c r="D50" s="705">
        <v>1955</v>
      </c>
      <c r="E50" s="690">
        <v>2</v>
      </c>
      <c r="F50" s="706">
        <v>12</v>
      </c>
      <c r="G50" s="869">
        <v>31</v>
      </c>
      <c r="H50" s="676">
        <v>804</v>
      </c>
      <c r="I50" s="951"/>
      <c r="J50" s="951"/>
      <c r="K50" s="524">
        <v>10269.24</v>
      </c>
      <c r="L50" s="524">
        <v>8595.57</v>
      </c>
      <c r="M50" s="945"/>
      <c r="N50" s="945"/>
      <c r="O50" s="524">
        <f t="shared" si="20"/>
        <v>0</v>
      </c>
      <c r="P50" s="892"/>
      <c r="Q50" s="889"/>
      <c r="R50" s="591"/>
      <c r="S50" s="890"/>
      <c r="T50" s="591">
        <f t="shared" si="21"/>
        <v>10269.24</v>
      </c>
      <c r="U50" s="591">
        <f t="shared" si="22"/>
        <v>83.702104537434124</v>
      </c>
      <c r="V50" s="891">
        <f t="shared" si="23"/>
        <v>0</v>
      </c>
      <c r="W50" s="678">
        <v>3.22</v>
      </c>
      <c r="X50" s="591">
        <f t="shared" si="24"/>
        <v>1673.67</v>
      </c>
      <c r="Y50" s="871"/>
      <c r="Z50" s="871"/>
      <c r="AA50" s="736"/>
      <c r="AB50" s="350"/>
      <c r="AC50" s="350"/>
      <c r="AD50" s="350"/>
      <c r="AE50" s="350"/>
      <c r="AF50" s="349"/>
      <c r="AG50" s="250"/>
      <c r="AH50" s="250"/>
    </row>
    <row r="51" spans="1:34" x14ac:dyDescent="0.25">
      <c r="A51" s="32">
        <v>10</v>
      </c>
      <c r="B51" s="32"/>
      <c r="C51" s="42" t="s">
        <v>154</v>
      </c>
      <c r="D51" s="705">
        <v>1955</v>
      </c>
      <c r="E51" s="690">
        <v>2</v>
      </c>
      <c r="F51" s="706">
        <v>6</v>
      </c>
      <c r="G51" s="869">
        <v>14</v>
      </c>
      <c r="H51" s="676">
        <v>385.7</v>
      </c>
      <c r="I51" s="951"/>
      <c r="J51" s="951"/>
      <c r="K51" s="524">
        <v>4181.08</v>
      </c>
      <c r="L51" s="524">
        <v>3859.75</v>
      </c>
      <c r="M51" s="945"/>
      <c r="N51" s="945"/>
      <c r="O51" s="524">
        <f t="shared" si="20"/>
        <v>4650.1000000000004</v>
      </c>
      <c r="P51" s="892">
        <v>4650.1000000000004</v>
      </c>
      <c r="Q51" s="889"/>
      <c r="R51" s="591"/>
      <c r="S51" s="890"/>
      <c r="T51" s="591">
        <f t="shared" si="21"/>
        <v>-469.02000000000044</v>
      </c>
      <c r="U51" s="591">
        <f t="shared" si="22"/>
        <v>92.314665110449937</v>
      </c>
      <c r="V51" s="891">
        <f t="shared" si="23"/>
        <v>3.0140653357531764</v>
      </c>
      <c r="W51" s="678">
        <v>3.18</v>
      </c>
      <c r="X51" s="591">
        <f t="shared" si="24"/>
        <v>321.32999999999993</v>
      </c>
      <c r="Y51" s="871"/>
      <c r="Z51" s="871"/>
      <c r="AA51" s="736"/>
      <c r="AB51" s="350"/>
      <c r="AC51" s="350"/>
      <c r="AD51" s="350"/>
      <c r="AE51" s="350"/>
      <c r="AF51" s="349"/>
      <c r="AG51" s="250"/>
      <c r="AH51" s="250"/>
    </row>
    <row r="52" spans="1:34" x14ac:dyDescent="0.25">
      <c r="A52" s="32">
        <v>11</v>
      </c>
      <c r="B52" s="32"/>
      <c r="C52" s="42" t="s">
        <v>155</v>
      </c>
      <c r="D52" s="705">
        <v>1979</v>
      </c>
      <c r="E52" s="690">
        <v>5</v>
      </c>
      <c r="F52" s="706">
        <v>81</v>
      </c>
      <c r="G52" s="869">
        <v>168</v>
      </c>
      <c r="H52" s="676">
        <v>3924.61</v>
      </c>
      <c r="I52" s="951"/>
      <c r="J52" s="951"/>
      <c r="K52" s="524">
        <v>63055.839999999997</v>
      </c>
      <c r="L52" s="524">
        <v>56671.03</v>
      </c>
      <c r="M52" s="945"/>
      <c r="N52" s="945"/>
      <c r="O52" s="524">
        <f t="shared" si="20"/>
        <v>0</v>
      </c>
      <c r="P52" s="892"/>
      <c r="Q52" s="890"/>
      <c r="R52" s="591"/>
      <c r="S52" s="890"/>
      <c r="T52" s="591">
        <f t="shared" si="21"/>
        <v>63055.839999999997</v>
      </c>
      <c r="U52" s="591">
        <f t="shared" si="22"/>
        <v>89.874355809073364</v>
      </c>
      <c r="V52" s="891">
        <f t="shared" si="23"/>
        <v>0</v>
      </c>
      <c r="W52" s="678">
        <v>4</v>
      </c>
      <c r="X52" s="591">
        <f t="shared" si="24"/>
        <v>6384.8099999999977</v>
      </c>
      <c r="Y52" s="871"/>
      <c r="Z52" s="871"/>
      <c r="AA52" s="736"/>
      <c r="AB52" s="350"/>
      <c r="AC52" s="350"/>
      <c r="AD52" s="350"/>
      <c r="AE52" s="350"/>
      <c r="AF52" s="349"/>
      <c r="AG52" s="250"/>
      <c r="AH52" s="250"/>
    </row>
    <row r="53" spans="1:34" x14ac:dyDescent="0.25">
      <c r="A53" s="32">
        <v>12</v>
      </c>
      <c r="B53" s="32"/>
      <c r="C53" s="42" t="s">
        <v>157</v>
      </c>
      <c r="D53" s="705">
        <v>1955</v>
      </c>
      <c r="E53" s="690">
        <v>2</v>
      </c>
      <c r="F53" s="706">
        <v>15</v>
      </c>
      <c r="G53" s="869">
        <v>33</v>
      </c>
      <c r="H53" s="676">
        <v>796.8</v>
      </c>
      <c r="I53" s="951"/>
      <c r="J53" s="951"/>
      <c r="K53" s="524">
        <v>13857.72</v>
      </c>
      <c r="L53" s="524">
        <v>12187.61</v>
      </c>
      <c r="M53" s="945"/>
      <c r="N53" s="945"/>
      <c r="O53" s="524">
        <f t="shared" si="20"/>
        <v>0</v>
      </c>
      <c r="P53" s="892"/>
      <c r="Q53" s="890"/>
      <c r="R53" s="591"/>
      <c r="S53" s="890"/>
      <c r="T53" s="591">
        <f t="shared" si="21"/>
        <v>13857.72</v>
      </c>
      <c r="U53" s="591">
        <f t="shared" si="22"/>
        <v>87.948161746665406</v>
      </c>
      <c r="V53" s="891">
        <f t="shared" si="23"/>
        <v>0</v>
      </c>
      <c r="W53" s="678">
        <v>4.33</v>
      </c>
      <c r="X53" s="591">
        <f t="shared" si="24"/>
        <v>1670.1099999999988</v>
      </c>
      <c r="Y53" s="871"/>
      <c r="Z53" s="871"/>
      <c r="AA53" s="736"/>
      <c r="AB53" s="350"/>
      <c r="AC53" s="350"/>
      <c r="AD53" s="350"/>
      <c r="AE53" s="350"/>
      <c r="AF53" s="349"/>
      <c r="AG53" s="250"/>
      <c r="AH53" s="250"/>
    </row>
    <row r="54" spans="1:34" x14ac:dyDescent="0.25">
      <c r="A54" s="32">
        <v>13</v>
      </c>
      <c r="B54" s="32"/>
      <c r="C54" s="42" t="s">
        <v>158</v>
      </c>
      <c r="D54" s="705">
        <v>1955</v>
      </c>
      <c r="E54" s="690">
        <v>2</v>
      </c>
      <c r="F54" s="706">
        <v>12</v>
      </c>
      <c r="G54" s="869">
        <v>29</v>
      </c>
      <c r="H54" s="676">
        <v>842</v>
      </c>
      <c r="I54" s="951"/>
      <c r="J54" s="951"/>
      <c r="K54" s="524">
        <v>14550.08</v>
      </c>
      <c r="L54" s="524">
        <v>12733.8</v>
      </c>
      <c r="M54" s="945"/>
      <c r="N54" s="945"/>
      <c r="O54" s="524">
        <f t="shared" si="20"/>
        <v>0</v>
      </c>
      <c r="P54" s="892"/>
      <c r="Q54" s="890"/>
      <c r="R54" s="591"/>
      <c r="S54" s="890"/>
      <c r="T54" s="591">
        <f t="shared" si="21"/>
        <v>14550.08</v>
      </c>
      <c r="U54" s="591">
        <f t="shared" si="22"/>
        <v>87.517044579823605</v>
      </c>
      <c r="V54" s="891">
        <f t="shared" si="23"/>
        <v>0</v>
      </c>
      <c r="W54" s="678">
        <v>4.3499999999999996</v>
      </c>
      <c r="X54" s="591">
        <f t="shared" si="24"/>
        <v>1816.2800000000007</v>
      </c>
      <c r="Y54" s="871"/>
      <c r="Z54" s="871"/>
      <c r="AA54" s="736"/>
      <c r="AB54" s="350"/>
      <c r="AC54" s="350"/>
      <c r="AD54" s="350"/>
      <c r="AE54" s="350"/>
      <c r="AF54" s="349"/>
      <c r="AG54" s="250"/>
      <c r="AH54" s="250"/>
    </row>
    <row r="55" spans="1:34" x14ac:dyDescent="0.25">
      <c r="A55" s="32">
        <v>14</v>
      </c>
      <c r="B55" s="32"/>
      <c r="C55" s="42" t="s">
        <v>159</v>
      </c>
      <c r="D55" s="705">
        <v>1955</v>
      </c>
      <c r="E55" s="690">
        <v>2</v>
      </c>
      <c r="F55" s="706">
        <v>12</v>
      </c>
      <c r="G55" s="869">
        <v>29</v>
      </c>
      <c r="H55" s="676">
        <v>803.43</v>
      </c>
      <c r="I55" s="951"/>
      <c r="J55" s="951"/>
      <c r="K55" s="524">
        <v>12713.28</v>
      </c>
      <c r="L55" s="524">
        <v>13705.03</v>
      </c>
      <c r="M55" s="945"/>
      <c r="N55" s="945"/>
      <c r="O55" s="524">
        <f t="shared" si="20"/>
        <v>29.1</v>
      </c>
      <c r="P55" s="892">
        <v>29.1</v>
      </c>
      <c r="Q55" s="890"/>
      <c r="R55" s="591"/>
      <c r="S55" s="890"/>
      <c r="T55" s="591">
        <f t="shared" si="21"/>
        <v>12684.18</v>
      </c>
      <c r="U55" s="591">
        <f t="shared" si="22"/>
        <v>107.80089795866998</v>
      </c>
      <c r="V55" s="891">
        <f t="shared" si="23"/>
        <v>9.0549270004854198E-3</v>
      </c>
      <c r="W55" s="678">
        <v>4</v>
      </c>
      <c r="X55" s="591">
        <f t="shared" si="24"/>
        <v>-991.75</v>
      </c>
      <c r="Y55" s="871"/>
      <c r="Z55" s="871"/>
      <c r="AA55" s="736"/>
      <c r="AB55" s="350"/>
      <c r="AC55" s="350"/>
      <c r="AD55" s="350"/>
      <c r="AE55" s="350"/>
      <c r="AF55" s="349"/>
      <c r="AG55" s="250"/>
      <c r="AH55" s="250"/>
    </row>
    <row r="56" spans="1:34" x14ac:dyDescent="0.25">
      <c r="A56" s="32">
        <v>15</v>
      </c>
      <c r="B56" s="32"/>
      <c r="C56" s="42" t="s">
        <v>160</v>
      </c>
      <c r="D56" s="705">
        <v>1955</v>
      </c>
      <c r="E56" s="690">
        <v>2</v>
      </c>
      <c r="F56" s="706">
        <v>12</v>
      </c>
      <c r="G56" s="869">
        <v>31</v>
      </c>
      <c r="H56" s="676">
        <v>836.38</v>
      </c>
      <c r="I56" s="951"/>
      <c r="J56" s="951"/>
      <c r="K56" s="524">
        <v>14938.88</v>
      </c>
      <c r="L56" s="524">
        <v>15126.25</v>
      </c>
      <c r="M56" s="945"/>
      <c r="N56" s="945"/>
      <c r="O56" s="524">
        <f t="shared" si="20"/>
        <v>0</v>
      </c>
      <c r="P56" s="892"/>
      <c r="Q56" s="890"/>
      <c r="R56" s="591"/>
      <c r="S56" s="890"/>
      <c r="T56" s="591">
        <f t="shared" si="21"/>
        <v>14938.88</v>
      </c>
      <c r="U56" s="591">
        <f t="shared" si="22"/>
        <v>101.25424395938651</v>
      </c>
      <c r="V56" s="891">
        <f t="shared" si="23"/>
        <v>0</v>
      </c>
      <c r="W56" s="678">
        <v>4.46</v>
      </c>
      <c r="X56" s="591">
        <f t="shared" si="24"/>
        <v>-187.3700000000008</v>
      </c>
      <c r="Y56" s="871"/>
      <c r="Z56" s="871"/>
      <c r="AA56" s="736"/>
      <c r="AB56" s="350"/>
      <c r="AC56" s="350"/>
      <c r="AD56" s="350"/>
      <c r="AE56" s="350"/>
      <c r="AF56" s="349"/>
      <c r="AG56" s="250"/>
      <c r="AH56" s="250"/>
    </row>
    <row r="57" spans="1:34" x14ac:dyDescent="0.25">
      <c r="A57" s="32">
        <v>16</v>
      </c>
      <c r="B57" s="583">
        <v>42569</v>
      </c>
      <c r="C57" s="42" t="s">
        <v>161</v>
      </c>
      <c r="D57" s="705">
        <v>1955</v>
      </c>
      <c r="E57" s="690">
        <v>2</v>
      </c>
      <c r="F57" s="706">
        <v>12</v>
      </c>
      <c r="G57" s="869">
        <v>31</v>
      </c>
      <c r="H57" s="676">
        <v>752.9</v>
      </c>
      <c r="I57" s="951"/>
      <c r="J57" s="951"/>
      <c r="K57" s="524">
        <v>11150.4</v>
      </c>
      <c r="L57" s="524">
        <v>8054.39</v>
      </c>
      <c r="M57" s="945"/>
      <c r="N57" s="945"/>
      <c r="O57" s="524">
        <f t="shared" si="20"/>
        <v>0</v>
      </c>
      <c r="P57" s="892"/>
      <c r="Q57" s="890"/>
      <c r="R57" s="591"/>
      <c r="S57" s="890"/>
      <c r="T57" s="591">
        <f t="shared" si="21"/>
        <v>11150.4</v>
      </c>
      <c r="U57" s="591">
        <f t="shared" si="22"/>
        <v>72.234090256851786</v>
      </c>
      <c r="V57" s="891">
        <f t="shared" si="23"/>
        <v>0</v>
      </c>
      <c r="W57" s="678">
        <v>0</v>
      </c>
      <c r="X57" s="591">
        <f t="shared" si="24"/>
        <v>3096.0099999999993</v>
      </c>
      <c r="Y57" s="871"/>
      <c r="Z57" s="871"/>
      <c r="AA57" s="736"/>
      <c r="AB57" s="350"/>
      <c r="AC57" s="350"/>
      <c r="AD57" s="350"/>
      <c r="AE57" s="350"/>
      <c r="AF57" s="349"/>
      <c r="AG57" s="250"/>
      <c r="AH57" s="250"/>
    </row>
    <row r="58" spans="1:34" x14ac:dyDescent="0.25">
      <c r="A58" s="32">
        <v>17</v>
      </c>
      <c r="B58" s="32"/>
      <c r="C58" s="42" t="s">
        <v>162</v>
      </c>
      <c r="D58" s="705">
        <v>1985</v>
      </c>
      <c r="E58" s="690">
        <v>5</v>
      </c>
      <c r="F58" s="706">
        <v>76</v>
      </c>
      <c r="G58" s="869">
        <v>158</v>
      </c>
      <c r="H58" s="676">
        <v>4051.07</v>
      </c>
      <c r="I58" s="951"/>
      <c r="J58" s="951"/>
      <c r="K58" s="524">
        <v>40295.24</v>
      </c>
      <c r="L58" s="524">
        <v>40470.870000000003</v>
      </c>
      <c r="M58" s="945"/>
      <c r="N58" s="945"/>
      <c r="O58" s="524">
        <f t="shared" si="20"/>
        <v>0</v>
      </c>
      <c r="P58" s="892"/>
      <c r="Q58" s="890"/>
      <c r="R58" s="591"/>
      <c r="S58" s="890"/>
      <c r="T58" s="591">
        <f t="shared" si="21"/>
        <v>40295.24</v>
      </c>
      <c r="U58" s="591">
        <f t="shared" si="22"/>
        <v>100.4358579325995</v>
      </c>
      <c r="V58" s="891">
        <f t="shared" si="23"/>
        <v>0</v>
      </c>
      <c r="W58" s="678">
        <v>2.5</v>
      </c>
      <c r="X58" s="591">
        <f t="shared" si="24"/>
        <v>-175.63000000000466</v>
      </c>
      <c r="Y58" s="871"/>
      <c r="Z58" s="871"/>
      <c r="AA58" s="736"/>
      <c r="AB58" s="350"/>
      <c r="AC58" s="350"/>
      <c r="AD58" s="350"/>
      <c r="AE58" s="350"/>
      <c r="AF58" s="349"/>
      <c r="AG58" s="250"/>
      <c r="AH58" s="250"/>
    </row>
    <row r="59" spans="1:34" x14ac:dyDescent="0.25">
      <c r="A59" s="32">
        <v>18</v>
      </c>
      <c r="B59" s="583">
        <v>42569</v>
      </c>
      <c r="C59" s="42" t="s">
        <v>163</v>
      </c>
      <c r="D59" s="705">
        <v>1955</v>
      </c>
      <c r="E59" s="690">
        <v>2</v>
      </c>
      <c r="F59" s="706">
        <v>12</v>
      </c>
      <c r="G59" s="869">
        <v>21</v>
      </c>
      <c r="H59" s="676">
        <v>538</v>
      </c>
      <c r="I59" s="951"/>
      <c r="J59" s="951"/>
      <c r="K59" s="524">
        <v>9700.7999999999993</v>
      </c>
      <c r="L59" s="524">
        <v>6320.34</v>
      </c>
      <c r="M59" s="945"/>
      <c r="N59" s="945"/>
      <c r="O59" s="524">
        <f t="shared" si="20"/>
        <v>0</v>
      </c>
      <c r="P59" s="892"/>
      <c r="Q59" s="890"/>
      <c r="R59" s="591"/>
      <c r="S59" s="890"/>
      <c r="T59" s="591">
        <f t="shared" si="21"/>
        <v>9700.7999999999993</v>
      </c>
      <c r="U59" s="591">
        <f t="shared" si="22"/>
        <v>65.152770905492346</v>
      </c>
      <c r="V59" s="891">
        <f t="shared" si="23"/>
        <v>0</v>
      </c>
      <c r="W59" s="678">
        <v>0</v>
      </c>
      <c r="X59" s="591">
        <f t="shared" si="24"/>
        <v>3380.4599999999991</v>
      </c>
      <c r="Y59" s="871"/>
      <c r="Z59" s="871"/>
      <c r="AA59" s="736"/>
      <c r="AB59" s="350"/>
      <c r="AC59" s="350"/>
      <c r="AD59" s="350"/>
      <c r="AE59" s="350"/>
      <c r="AF59" s="349"/>
      <c r="AG59" s="250"/>
      <c r="AH59" s="250"/>
    </row>
    <row r="60" spans="1:34" x14ac:dyDescent="0.25">
      <c r="A60" s="32">
        <v>19</v>
      </c>
      <c r="B60" s="32"/>
      <c r="C60" s="42" t="s">
        <v>164</v>
      </c>
      <c r="D60" s="705">
        <v>1989</v>
      </c>
      <c r="E60" s="690">
        <v>5</v>
      </c>
      <c r="F60" s="706">
        <v>75</v>
      </c>
      <c r="G60" s="869">
        <v>146</v>
      </c>
      <c r="H60" s="676">
        <v>3468.54</v>
      </c>
      <c r="I60" s="951"/>
      <c r="J60" s="951"/>
      <c r="K60" s="524">
        <v>50195.16</v>
      </c>
      <c r="L60" s="524">
        <v>47973.18</v>
      </c>
      <c r="M60" s="945"/>
      <c r="N60" s="945"/>
      <c r="O60" s="524">
        <f t="shared" si="20"/>
        <v>0</v>
      </c>
      <c r="P60" s="892"/>
      <c r="Q60" s="890"/>
      <c r="R60" s="591"/>
      <c r="S60" s="890"/>
      <c r="T60" s="591">
        <f t="shared" si="21"/>
        <v>50195.16</v>
      </c>
      <c r="U60" s="591">
        <f t="shared" si="22"/>
        <v>95.573318224306874</v>
      </c>
      <c r="V60" s="891">
        <f t="shared" si="23"/>
        <v>0</v>
      </c>
      <c r="W60" s="678">
        <v>3.66</v>
      </c>
      <c r="X60" s="591">
        <f t="shared" si="24"/>
        <v>2221.9800000000032</v>
      </c>
      <c r="Y60" s="871"/>
      <c r="Z60" s="871"/>
      <c r="AA60" s="736"/>
      <c r="AB60" s="350"/>
      <c r="AC60" s="350"/>
      <c r="AD60" s="350"/>
      <c r="AE60" s="350"/>
      <c r="AF60" s="349"/>
      <c r="AG60" s="250"/>
      <c r="AH60" s="250"/>
    </row>
    <row r="61" spans="1:34" x14ac:dyDescent="0.25">
      <c r="A61" s="32">
        <v>20</v>
      </c>
      <c r="B61" s="32"/>
      <c r="C61" s="42" t="s">
        <v>165</v>
      </c>
      <c r="D61" s="705">
        <v>1989</v>
      </c>
      <c r="E61" s="690">
        <v>5</v>
      </c>
      <c r="F61" s="706">
        <v>75</v>
      </c>
      <c r="G61" s="869">
        <v>137</v>
      </c>
      <c r="H61" s="676">
        <v>3459.49</v>
      </c>
      <c r="I61" s="951"/>
      <c r="J61" s="951"/>
      <c r="K61" s="524">
        <v>54622.96</v>
      </c>
      <c r="L61" s="524">
        <v>50213.3</v>
      </c>
      <c r="M61" s="945"/>
      <c r="N61" s="945"/>
      <c r="O61" s="524">
        <f t="shared" si="20"/>
        <v>240</v>
      </c>
      <c r="P61" s="892">
        <v>240</v>
      </c>
      <c r="Q61" s="890"/>
      <c r="R61" s="591"/>
      <c r="S61" s="890"/>
      <c r="T61" s="591">
        <f t="shared" si="21"/>
        <v>54382.96</v>
      </c>
      <c r="U61" s="591">
        <f t="shared" si="22"/>
        <v>91.927094394005749</v>
      </c>
      <c r="V61" s="891">
        <f t="shared" si="23"/>
        <v>1.7343596888558719E-2</v>
      </c>
      <c r="W61" s="678">
        <v>3.95</v>
      </c>
      <c r="X61" s="591">
        <f t="shared" si="24"/>
        <v>4409.6599999999962</v>
      </c>
      <c r="Y61" s="871"/>
      <c r="Z61" s="871"/>
      <c r="AA61" s="736"/>
      <c r="AB61" s="350"/>
      <c r="AC61" s="350"/>
      <c r="AD61" s="350"/>
      <c r="AE61" s="350"/>
      <c r="AF61" s="349"/>
      <c r="AG61" s="250"/>
      <c r="AH61" s="250"/>
    </row>
    <row r="62" spans="1:34" x14ac:dyDescent="0.25">
      <c r="A62" s="32">
        <v>21</v>
      </c>
      <c r="B62" s="32"/>
      <c r="C62" s="42" t="s">
        <v>166</v>
      </c>
      <c r="D62" s="705">
        <v>1993</v>
      </c>
      <c r="E62" s="690">
        <v>5</v>
      </c>
      <c r="F62" s="706">
        <v>100</v>
      </c>
      <c r="G62" s="869">
        <v>227</v>
      </c>
      <c r="H62" s="676">
        <v>6033.82</v>
      </c>
      <c r="I62" s="951"/>
      <c r="J62" s="951"/>
      <c r="K62" s="524">
        <v>61315.76</v>
      </c>
      <c r="L62" s="524">
        <v>62482.69</v>
      </c>
      <c r="M62" s="945"/>
      <c r="N62" s="945"/>
      <c r="O62" s="524">
        <f t="shared" si="20"/>
        <v>0</v>
      </c>
      <c r="P62" s="892"/>
      <c r="Q62" s="890"/>
      <c r="R62" s="591"/>
      <c r="S62" s="890"/>
      <c r="T62" s="591">
        <f t="shared" si="21"/>
        <v>61315.76</v>
      </c>
      <c r="U62" s="591">
        <f t="shared" si="22"/>
        <v>101.90314855430316</v>
      </c>
      <c r="V62" s="891">
        <f t="shared" si="23"/>
        <v>0</v>
      </c>
      <c r="W62" s="678">
        <v>2.5299999999999998</v>
      </c>
      <c r="X62" s="591">
        <f t="shared" si="24"/>
        <v>-1166.9300000000003</v>
      </c>
      <c r="Y62" s="871"/>
      <c r="Z62" s="871"/>
      <c r="AA62" s="736"/>
      <c r="AB62" s="350"/>
      <c r="AC62" s="350"/>
      <c r="AD62" s="350"/>
      <c r="AE62" s="350"/>
      <c r="AF62" s="349"/>
    </row>
    <row r="63" spans="1:34" x14ac:dyDescent="0.25">
      <c r="A63" s="32">
        <v>22</v>
      </c>
      <c r="B63" s="32"/>
      <c r="C63" s="42" t="s">
        <v>167</v>
      </c>
      <c r="D63" s="705">
        <v>1989</v>
      </c>
      <c r="E63" s="690">
        <v>5</v>
      </c>
      <c r="F63" s="706">
        <v>76</v>
      </c>
      <c r="G63" s="869">
        <v>141</v>
      </c>
      <c r="H63" s="676">
        <v>3519.3</v>
      </c>
      <c r="I63" s="951"/>
      <c r="J63" s="951"/>
      <c r="K63" s="524">
        <v>55717.120000000003</v>
      </c>
      <c r="L63" s="524">
        <v>46241.43</v>
      </c>
      <c r="M63" s="945"/>
      <c r="N63" s="945"/>
      <c r="O63" s="524">
        <f t="shared" si="20"/>
        <v>0</v>
      </c>
      <c r="P63" s="892"/>
      <c r="Q63" s="890"/>
      <c r="R63" s="591"/>
      <c r="S63" s="890"/>
      <c r="T63" s="591">
        <f t="shared" si="21"/>
        <v>55717.120000000003</v>
      </c>
      <c r="U63" s="591">
        <f t="shared" si="22"/>
        <v>82.993216447655584</v>
      </c>
      <c r="V63" s="891">
        <f t="shared" si="23"/>
        <v>0</v>
      </c>
      <c r="W63" s="678">
        <v>4</v>
      </c>
      <c r="X63" s="591">
        <f t="shared" si="24"/>
        <v>9475.6900000000023</v>
      </c>
      <c r="Y63" s="871"/>
      <c r="Z63" s="871"/>
      <c r="AA63" s="736"/>
      <c r="AB63" s="350"/>
      <c r="AC63" s="350"/>
      <c r="AD63" s="350"/>
      <c r="AE63" s="350"/>
      <c r="AF63" s="349"/>
    </row>
    <row r="64" spans="1:34" ht="15" hidden="1" customHeight="1" x14ac:dyDescent="0.25">
      <c r="A64" s="32">
        <v>25</v>
      </c>
      <c r="B64" s="32"/>
      <c r="C64" s="42" t="s">
        <v>168</v>
      </c>
      <c r="D64" s="705">
        <v>1957</v>
      </c>
      <c r="E64" s="705">
        <v>1</v>
      </c>
      <c r="F64" s="866">
        <v>4</v>
      </c>
      <c r="G64" s="867">
        <v>11</v>
      </c>
      <c r="H64" s="866">
        <v>132.6</v>
      </c>
      <c r="I64" s="952"/>
      <c r="J64" s="952"/>
      <c r="K64" s="625"/>
      <c r="L64" s="625"/>
      <c r="M64" s="946"/>
      <c r="N64" s="946"/>
      <c r="O64" s="524">
        <f t="shared" ref="O64:O68" si="25">P64+Q64+R64+S64</f>
        <v>0</v>
      </c>
      <c r="P64" s="541"/>
      <c r="Q64" s="889"/>
      <c r="R64" s="893"/>
      <c r="S64" s="889"/>
      <c r="T64" s="591">
        <f t="shared" si="21"/>
        <v>0</v>
      </c>
      <c r="U64" s="591" t="e">
        <f t="shared" si="22"/>
        <v>#DIV/0!</v>
      </c>
      <c r="V64" s="891">
        <f t="shared" si="23"/>
        <v>0</v>
      </c>
      <c r="W64" s="678"/>
      <c r="X64" s="591">
        <f t="shared" si="24"/>
        <v>0</v>
      </c>
      <c r="Y64" s="871"/>
      <c r="Z64" s="871">
        <f>(W64+X64)*0.307</f>
        <v>0</v>
      </c>
      <c r="AA64" s="736">
        <f>K64-O64</f>
        <v>0</v>
      </c>
      <c r="AB64" s="350">
        <v>0</v>
      </c>
      <c r="AC64" s="350"/>
      <c r="AD64" s="350">
        <f>O64/H64/12</f>
        <v>0</v>
      </c>
      <c r="AE64" s="350">
        <v>0</v>
      </c>
      <c r="AF64" s="349"/>
    </row>
    <row r="65" spans="1:32" ht="15" hidden="1" customHeight="1" x14ac:dyDescent="0.25">
      <c r="A65" s="32">
        <v>26</v>
      </c>
      <c r="B65" s="32"/>
      <c r="C65" s="42" t="s">
        <v>169</v>
      </c>
      <c r="D65" s="705">
        <v>1957</v>
      </c>
      <c r="E65" s="705">
        <v>1</v>
      </c>
      <c r="F65" s="866">
        <v>4</v>
      </c>
      <c r="G65" s="867">
        <v>5</v>
      </c>
      <c r="H65" s="866">
        <v>131.19999999999999</v>
      </c>
      <c r="I65" s="952"/>
      <c r="J65" s="952"/>
      <c r="K65" s="625"/>
      <c r="L65" s="625"/>
      <c r="M65" s="946"/>
      <c r="N65" s="946"/>
      <c r="O65" s="524">
        <f t="shared" si="25"/>
        <v>0</v>
      </c>
      <c r="P65" s="541"/>
      <c r="Q65" s="889"/>
      <c r="R65" s="893"/>
      <c r="S65" s="889"/>
      <c r="T65" s="591">
        <f t="shared" si="21"/>
        <v>0</v>
      </c>
      <c r="U65" s="591" t="e">
        <f t="shared" si="22"/>
        <v>#DIV/0!</v>
      </c>
      <c r="V65" s="891">
        <f t="shared" si="23"/>
        <v>0</v>
      </c>
      <c r="W65" s="678"/>
      <c r="X65" s="591">
        <f t="shared" si="24"/>
        <v>0</v>
      </c>
      <c r="Y65" s="871"/>
      <c r="Z65" s="871">
        <f>(W65+X65)*0.307</f>
        <v>0</v>
      </c>
      <c r="AA65" s="736">
        <f>K65-O65</f>
        <v>0</v>
      </c>
      <c r="AB65" s="350">
        <v>0</v>
      </c>
      <c r="AC65" s="350"/>
      <c r="AD65" s="350">
        <f>O65/H65/12</f>
        <v>0</v>
      </c>
      <c r="AE65" s="350">
        <v>0</v>
      </c>
      <c r="AF65" s="349"/>
    </row>
    <row r="66" spans="1:32" ht="15" hidden="1" customHeight="1" x14ac:dyDescent="0.25">
      <c r="A66" s="32">
        <v>27</v>
      </c>
      <c r="B66" s="32"/>
      <c r="C66" s="42" t="s">
        <v>170</v>
      </c>
      <c r="D66" s="705">
        <v>1957</v>
      </c>
      <c r="E66" s="705">
        <v>1</v>
      </c>
      <c r="F66" s="866">
        <v>4</v>
      </c>
      <c r="G66" s="867">
        <v>3</v>
      </c>
      <c r="H66" s="866">
        <v>131.19999999999999</v>
      </c>
      <c r="I66" s="952"/>
      <c r="J66" s="952"/>
      <c r="K66" s="625"/>
      <c r="L66" s="625"/>
      <c r="M66" s="946"/>
      <c r="N66" s="946"/>
      <c r="O66" s="524">
        <f t="shared" si="25"/>
        <v>0</v>
      </c>
      <c r="P66" s="541"/>
      <c r="Q66" s="889"/>
      <c r="R66" s="893"/>
      <c r="S66" s="889"/>
      <c r="T66" s="591">
        <f t="shared" si="21"/>
        <v>0</v>
      </c>
      <c r="U66" s="591" t="e">
        <f t="shared" si="22"/>
        <v>#DIV/0!</v>
      </c>
      <c r="V66" s="891">
        <f t="shared" si="23"/>
        <v>0</v>
      </c>
      <c r="W66" s="678"/>
      <c r="X66" s="591">
        <f t="shared" si="24"/>
        <v>0</v>
      </c>
      <c r="Y66" s="871"/>
      <c r="Z66" s="871">
        <f>(W66+X66)*0.307</f>
        <v>0</v>
      </c>
      <c r="AA66" s="736">
        <f>K66-O66</f>
        <v>0</v>
      </c>
      <c r="AB66" s="350">
        <v>0</v>
      </c>
      <c r="AC66" s="350"/>
      <c r="AD66" s="350">
        <f>O66/H66/12</f>
        <v>0</v>
      </c>
      <c r="AE66" s="350">
        <v>0</v>
      </c>
      <c r="AF66" s="349"/>
    </row>
    <row r="67" spans="1:32" ht="15" hidden="1" customHeight="1" x14ac:dyDescent="0.25">
      <c r="A67" s="32">
        <v>28</v>
      </c>
      <c r="B67" s="32"/>
      <c r="C67" s="42" t="s">
        <v>171</v>
      </c>
      <c r="D67" s="705">
        <v>1957</v>
      </c>
      <c r="E67" s="705">
        <v>1</v>
      </c>
      <c r="F67" s="866">
        <v>4</v>
      </c>
      <c r="G67" s="867">
        <v>8</v>
      </c>
      <c r="H67" s="866">
        <v>125.5</v>
      </c>
      <c r="I67" s="952"/>
      <c r="J67" s="952"/>
      <c r="K67" s="625"/>
      <c r="L67" s="625"/>
      <c r="M67" s="946"/>
      <c r="N67" s="946"/>
      <c r="O67" s="524">
        <f t="shared" si="25"/>
        <v>0</v>
      </c>
      <c r="P67" s="541"/>
      <c r="Q67" s="889"/>
      <c r="R67" s="893"/>
      <c r="S67" s="889"/>
      <c r="T67" s="591">
        <f t="shared" si="21"/>
        <v>0</v>
      </c>
      <c r="U67" s="591" t="e">
        <f t="shared" si="22"/>
        <v>#DIV/0!</v>
      </c>
      <c r="V67" s="891">
        <f t="shared" si="23"/>
        <v>0</v>
      </c>
      <c r="W67" s="678"/>
      <c r="X67" s="591">
        <f t="shared" si="24"/>
        <v>0</v>
      </c>
      <c r="Y67" s="871"/>
      <c r="Z67" s="871">
        <f>(W67+X67)*0.307</f>
        <v>0</v>
      </c>
      <c r="AA67" s="736">
        <f>K67-O67</f>
        <v>0</v>
      </c>
      <c r="AB67" s="350">
        <v>0</v>
      </c>
      <c r="AC67" s="350"/>
      <c r="AD67" s="350">
        <f>O67/H67/12</f>
        <v>0</v>
      </c>
      <c r="AE67" s="350">
        <v>0</v>
      </c>
      <c r="AF67" s="349"/>
    </row>
    <row r="68" spans="1:32" x14ac:dyDescent="0.25">
      <c r="A68" s="38"/>
      <c r="B68" s="38"/>
      <c r="C68" s="7" t="s">
        <v>52</v>
      </c>
      <c r="D68" s="894"/>
      <c r="E68" s="894"/>
      <c r="F68" s="894">
        <f>SUM(F42:F67)</f>
        <v>756</v>
      </c>
      <c r="G68" s="894">
        <f>SUM(G42:G67)</f>
        <v>1527</v>
      </c>
      <c r="H68" s="894">
        <f>SUM(H42:H67)</f>
        <v>37759.53</v>
      </c>
      <c r="I68" s="953"/>
      <c r="J68" s="953"/>
      <c r="K68" s="56">
        <f>SUM(K42:K67)</f>
        <v>527778.82000000007</v>
      </c>
      <c r="L68" s="56">
        <f>SUM(L42:L67)</f>
        <v>485825.51</v>
      </c>
      <c r="M68" s="947"/>
      <c r="N68" s="947"/>
      <c r="O68" s="535">
        <f t="shared" si="25"/>
        <v>19577.519999999997</v>
      </c>
      <c r="P68" s="535">
        <f>SUM(P42:P67)</f>
        <v>19577.519999999997</v>
      </c>
      <c r="Q68" s="878">
        <f>SUM(Q42:Q67)</f>
        <v>0</v>
      </c>
      <c r="R68" s="878">
        <f>SUM(R42:R67)</f>
        <v>0</v>
      </c>
      <c r="S68" s="895">
        <f>SUM(S42:S67)</f>
        <v>0</v>
      </c>
      <c r="T68" s="895">
        <f t="shared" si="21"/>
        <v>508201.30000000005</v>
      </c>
      <c r="U68" s="895">
        <f t="shared" si="22"/>
        <v>92.050967486721035</v>
      </c>
      <c r="V68" s="896">
        <f t="shared" si="23"/>
        <v>0.1296197277879253</v>
      </c>
      <c r="W68" s="897"/>
      <c r="X68" s="895">
        <f>SUM(X42:X67)</f>
        <v>41953.30999999999</v>
      </c>
      <c r="Y68" s="877"/>
      <c r="Z68" s="877"/>
      <c r="AA68" s="762"/>
      <c r="AB68" s="898"/>
      <c r="AC68" s="898"/>
      <c r="AD68" s="898"/>
      <c r="AE68" s="898"/>
      <c r="AF68" s="349"/>
    </row>
    <row r="69" spans="1:32" x14ac:dyDescent="0.25">
      <c r="A69" s="15"/>
      <c r="B69" s="15"/>
      <c r="C69" s="507" t="s">
        <v>540</v>
      </c>
      <c r="D69" s="661"/>
      <c r="E69" s="661"/>
      <c r="F69" s="661"/>
      <c r="G69" s="661"/>
      <c r="H69" s="661"/>
      <c r="I69" s="661"/>
      <c r="J69" s="661"/>
      <c r="K69" s="899">
        <v>2262</v>
      </c>
      <c r="L69" s="864">
        <v>828.65</v>
      </c>
      <c r="M69" s="948"/>
      <c r="N69" s="948"/>
      <c r="O69" s="879"/>
      <c r="P69" s="661"/>
      <c r="Q69" s="881"/>
      <c r="R69" s="661"/>
      <c r="S69" s="661"/>
      <c r="T69" s="661"/>
      <c r="U69" s="661"/>
      <c r="V69" s="661"/>
      <c r="W69" s="732"/>
      <c r="X69" s="736"/>
      <c r="Y69" s="661"/>
      <c r="Z69" s="661"/>
      <c r="AA69" s="881"/>
      <c r="AB69" s="350"/>
      <c r="AC69" s="350"/>
      <c r="AD69" s="350"/>
      <c r="AE69" s="349"/>
      <c r="AF69" s="349"/>
    </row>
    <row r="70" spans="1:32" ht="18.75" x14ac:dyDescent="0.3">
      <c r="C70" s="507" t="s">
        <v>539</v>
      </c>
      <c r="D70" s="900"/>
      <c r="E70" s="900"/>
      <c r="F70" s="900"/>
      <c r="G70" s="900"/>
      <c r="H70" s="900"/>
      <c r="I70" s="900"/>
      <c r="J70" s="900"/>
      <c r="K70" s="901">
        <f>K68+K69</f>
        <v>530040.82000000007</v>
      </c>
      <c r="L70" s="901">
        <f>L68+L69</f>
        <v>486654.16000000003</v>
      </c>
      <c r="M70" s="901"/>
      <c r="N70" s="901"/>
      <c r="O70" s="900"/>
      <c r="P70" s="902"/>
      <c r="Q70" s="900"/>
      <c r="R70" s="900"/>
      <c r="S70" s="900"/>
      <c r="T70" s="900"/>
      <c r="U70" s="900"/>
      <c r="V70" s="903"/>
      <c r="W70" s="850"/>
      <c r="X70" s="904"/>
      <c r="Y70" s="904"/>
      <c r="Z70" s="904"/>
      <c r="AA70" s="790"/>
      <c r="AB70" s="349"/>
      <c r="AC70" s="349"/>
      <c r="AD70" s="349"/>
      <c r="AE70" s="349"/>
      <c r="AF70" s="349"/>
    </row>
    <row r="71" spans="1:32" x14ac:dyDescent="0.25">
      <c r="C71" s="565" t="s">
        <v>289</v>
      </c>
      <c r="D71" s="375"/>
      <c r="E71" s="375"/>
      <c r="F71" s="375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49"/>
      <c r="Y71" s="349"/>
      <c r="Z71" s="349"/>
      <c r="AA71" s="349"/>
      <c r="AB71" s="349"/>
      <c r="AC71" s="349"/>
      <c r="AD71" s="349"/>
      <c r="AE71" s="349"/>
      <c r="AF71" s="349"/>
    </row>
    <row r="72" spans="1:32" x14ac:dyDescent="0.25">
      <c r="C72" s="147"/>
      <c r="D72" s="375"/>
      <c r="E72" s="375"/>
      <c r="F72" s="375"/>
      <c r="G72" s="375"/>
      <c r="H72" s="375"/>
      <c r="I72" s="375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  <c r="AB72" s="375"/>
      <c r="AC72" s="375"/>
      <c r="AD72" s="375"/>
      <c r="AE72" s="375"/>
      <c r="AF72" s="375"/>
    </row>
    <row r="73" spans="1:32" ht="15.75" x14ac:dyDescent="0.25">
      <c r="D73" s="2091" t="s">
        <v>378</v>
      </c>
      <c r="E73" s="2091"/>
      <c r="F73" s="2091"/>
      <c r="G73" s="2091"/>
      <c r="H73" s="2091"/>
      <c r="I73" s="2091"/>
      <c r="J73" s="2091"/>
      <c r="K73" s="2091"/>
      <c r="L73" s="2091"/>
      <c r="M73" s="2091"/>
      <c r="N73" s="2091"/>
      <c r="O73" s="2091"/>
      <c r="P73" s="2091"/>
      <c r="Q73" s="2091"/>
      <c r="R73" s="2091"/>
      <c r="S73" s="2091"/>
      <c r="T73" s="2091"/>
      <c r="U73" s="2091"/>
      <c r="V73" s="850"/>
      <c r="W73" s="850"/>
      <c r="X73" s="850"/>
      <c r="Y73" s="850"/>
      <c r="Z73" s="850"/>
      <c r="AA73" s="851"/>
      <c r="AB73" s="375"/>
      <c r="AC73" s="375"/>
      <c r="AD73" s="375"/>
      <c r="AE73" s="375"/>
      <c r="AF73" s="375"/>
    </row>
    <row r="74" spans="1:32" ht="15.75" x14ac:dyDescent="0.25">
      <c r="D74" s="2091" t="s">
        <v>561</v>
      </c>
      <c r="E74" s="2091"/>
      <c r="F74" s="2091"/>
      <c r="G74" s="2091"/>
      <c r="H74" s="2091"/>
      <c r="I74" s="2091"/>
      <c r="J74" s="2091"/>
      <c r="K74" s="2091"/>
      <c r="L74" s="2091"/>
      <c r="M74" s="2091"/>
      <c r="N74" s="2091"/>
      <c r="O74" s="2091"/>
      <c r="P74" s="2091"/>
      <c r="Q74" s="2091"/>
      <c r="R74" s="2091"/>
      <c r="S74" s="2091"/>
      <c r="T74" s="2091"/>
      <c r="U74" s="2091"/>
      <c r="V74" s="852"/>
      <c r="W74" s="852"/>
      <c r="X74" s="852"/>
      <c r="Y74" s="852"/>
      <c r="Z74" s="852"/>
      <c r="AA74" s="851"/>
      <c r="AB74" s="375"/>
      <c r="AC74" s="375"/>
      <c r="AD74" s="375"/>
      <c r="AE74" s="375"/>
      <c r="AF74" s="375"/>
    </row>
    <row r="75" spans="1:32" x14ac:dyDescent="0.25">
      <c r="D75" s="375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851"/>
      <c r="AB75" s="375"/>
      <c r="AC75" s="375"/>
      <c r="AD75" s="375"/>
      <c r="AE75" s="375"/>
      <c r="AF75" s="375"/>
    </row>
    <row r="76" spans="1:32" ht="27" customHeight="1" x14ac:dyDescent="0.25">
      <c r="A76" s="2083" t="s">
        <v>0</v>
      </c>
      <c r="B76" s="2014"/>
      <c r="C76" s="2083" t="s">
        <v>184</v>
      </c>
      <c r="D76" s="2084" t="s">
        <v>54</v>
      </c>
      <c r="E76" s="2085" t="s">
        <v>55</v>
      </c>
      <c r="F76" s="2084" t="s">
        <v>56</v>
      </c>
      <c r="G76" s="2084" t="s">
        <v>57</v>
      </c>
      <c r="H76" s="2085" t="s">
        <v>6</v>
      </c>
      <c r="I76" s="949"/>
      <c r="J76" s="949"/>
      <c r="K76" s="2087" t="s">
        <v>290</v>
      </c>
      <c r="L76" s="2088"/>
      <c r="M76" s="943"/>
      <c r="N76" s="943"/>
      <c r="O76" s="2074" t="s">
        <v>181</v>
      </c>
      <c r="P76" s="2084" t="s">
        <v>7</v>
      </c>
      <c r="Q76" s="2085" t="s">
        <v>8</v>
      </c>
      <c r="R76" s="2089"/>
      <c r="S76" s="2089"/>
      <c r="T76" s="2093" t="s">
        <v>324</v>
      </c>
      <c r="U76" s="2094"/>
      <c r="V76" s="2078" t="s">
        <v>554</v>
      </c>
      <c r="W76" s="2074" t="s">
        <v>175</v>
      </c>
      <c r="X76" s="2074" t="s">
        <v>315</v>
      </c>
      <c r="Y76" s="2076" t="s">
        <v>182</v>
      </c>
      <c r="Z76" s="2081" t="s">
        <v>544</v>
      </c>
      <c r="AA76" s="2074" t="s">
        <v>546</v>
      </c>
      <c r="AB76" s="2072" t="s">
        <v>566</v>
      </c>
      <c r="AC76" s="1020"/>
      <c r="AD76" s="2076"/>
      <c r="AE76" s="2081"/>
      <c r="AF76" s="375"/>
    </row>
    <row r="77" spans="1:32" ht="37.5" customHeight="1" x14ac:dyDescent="0.25">
      <c r="A77" s="2083"/>
      <c r="B77" s="2015"/>
      <c r="C77" s="2083"/>
      <c r="D77" s="2084"/>
      <c r="E77" s="2086"/>
      <c r="F77" s="2084"/>
      <c r="G77" s="2084"/>
      <c r="H77" s="2086"/>
      <c r="I77" s="950"/>
      <c r="J77" s="950"/>
      <c r="K77" s="767" t="s">
        <v>15</v>
      </c>
      <c r="L77" s="768" t="s">
        <v>286</v>
      </c>
      <c r="M77" s="944"/>
      <c r="N77" s="944"/>
      <c r="O77" s="2075"/>
      <c r="P77" s="2084"/>
      <c r="Q77" s="2086"/>
      <c r="R77" s="2090"/>
      <c r="S77" s="2092"/>
      <c r="T77" s="2093"/>
      <c r="U77" s="2094"/>
      <c r="V77" s="2079"/>
      <c r="W77" s="2075"/>
      <c r="X77" s="2075"/>
      <c r="Y77" s="2077"/>
      <c r="Z77" s="2082"/>
      <c r="AA77" s="2075"/>
      <c r="AB77" s="2073"/>
      <c r="AC77" s="1021"/>
      <c r="AD77" s="2077"/>
      <c r="AE77" s="2082"/>
      <c r="AF77" s="375"/>
    </row>
    <row r="78" spans="1:32" x14ac:dyDescent="0.25">
      <c r="A78" s="32">
        <v>1</v>
      </c>
      <c r="B78" s="32"/>
      <c r="C78" s="42" t="s">
        <v>150</v>
      </c>
      <c r="D78" s="675">
        <v>1966</v>
      </c>
      <c r="E78" s="681">
        <v>3</v>
      </c>
      <c r="F78" s="676">
        <v>36</v>
      </c>
      <c r="G78" s="905">
        <v>65</v>
      </c>
      <c r="H78" s="676">
        <v>1460.92</v>
      </c>
      <c r="I78" s="951"/>
      <c r="J78" s="951"/>
      <c r="K78" s="524">
        <v>21498.6</v>
      </c>
      <c r="L78" s="524">
        <v>18941.830000000002</v>
      </c>
      <c r="M78" s="945"/>
      <c r="N78" s="945"/>
      <c r="O78" s="591">
        <f>P78+Q78+R78+S78+T78+U78+V78</f>
        <v>18611.491683100779</v>
      </c>
      <c r="P78" s="892">
        <v>73</v>
      </c>
      <c r="Q78" s="525">
        <f>588.27/3870*AA78</f>
        <v>37.241899224806204</v>
      </c>
      <c r="R78" s="591"/>
      <c r="S78" s="890"/>
      <c r="T78" s="906">
        <f>243131.64/3870*AA78</f>
        <v>15392.054728682173</v>
      </c>
      <c r="U78" s="871"/>
      <c r="V78" s="625">
        <f>T78*0.202</f>
        <v>3109.1950551937989</v>
      </c>
      <c r="W78" s="625">
        <f>K78-O78</f>
        <v>2887.1083168992191</v>
      </c>
      <c r="X78" s="871">
        <f>L78/K78*100</f>
        <v>88.107272101439179</v>
      </c>
      <c r="Y78" s="871">
        <f>O78/H78/4</f>
        <v>3.1848923423426299</v>
      </c>
      <c r="Z78" s="871">
        <v>3.62</v>
      </c>
      <c r="AA78" s="736">
        <v>245</v>
      </c>
      <c r="AB78" s="736">
        <f>K78-L78</f>
        <v>2556.7699999999968</v>
      </c>
      <c r="AC78" s="736"/>
      <c r="AD78" s="736"/>
      <c r="AE78" s="871"/>
      <c r="AF78" s="375"/>
    </row>
    <row r="79" spans="1:32" x14ac:dyDescent="0.25">
      <c r="A79" s="32">
        <v>2</v>
      </c>
      <c r="B79" s="32"/>
      <c r="C79" s="42" t="s">
        <v>151</v>
      </c>
      <c r="D79" s="675">
        <v>1966</v>
      </c>
      <c r="E79" s="681">
        <v>3</v>
      </c>
      <c r="F79" s="676">
        <v>36</v>
      </c>
      <c r="G79" s="905">
        <v>68</v>
      </c>
      <c r="H79" s="676">
        <v>1486.39</v>
      </c>
      <c r="I79" s="951"/>
      <c r="J79" s="951"/>
      <c r="K79" s="524">
        <v>21624.720000000001</v>
      </c>
      <c r="L79" s="524">
        <v>19871.95</v>
      </c>
      <c r="M79" s="945"/>
      <c r="N79" s="945"/>
      <c r="O79" s="591">
        <f t="shared" ref="O79:O85" si="26">P79+Q79+R79+S79+T79+U79+V79</f>
        <v>18576.491683100779</v>
      </c>
      <c r="P79" s="892">
        <v>38</v>
      </c>
      <c r="Q79" s="525">
        <f t="shared" ref="Q79:Q85" si="27">588.27/3870*AA79</f>
        <v>37.241899224806204</v>
      </c>
      <c r="R79" s="591"/>
      <c r="S79" s="890"/>
      <c r="T79" s="906">
        <f t="shared" ref="T79:T85" si="28">243131.64/3870*AA79</f>
        <v>15392.054728682173</v>
      </c>
      <c r="U79" s="871"/>
      <c r="V79" s="625">
        <f t="shared" ref="V79:V85" si="29">T79*0.202</f>
        <v>3109.1950551937989</v>
      </c>
      <c r="W79" s="625">
        <f t="shared" ref="W79:W86" si="30">K79-O79</f>
        <v>3048.2283168992217</v>
      </c>
      <c r="X79" s="871">
        <f t="shared" ref="X79:X86" si="31">L79/K79*100</f>
        <v>91.894600253783636</v>
      </c>
      <c r="Y79" s="871">
        <f t="shared" ref="Y79:Y86" si="32">O79/H79/4</f>
        <v>3.1244309506759294</v>
      </c>
      <c r="Z79" s="871">
        <v>3.64</v>
      </c>
      <c r="AA79" s="736">
        <v>245</v>
      </c>
      <c r="AB79" s="736">
        <f t="shared" ref="AB79:AB85" si="33">K79-L79</f>
        <v>1752.7700000000004</v>
      </c>
      <c r="AC79" s="736"/>
      <c r="AD79" s="736"/>
      <c r="AE79" s="871"/>
      <c r="AF79" s="375"/>
    </row>
    <row r="80" spans="1:32" x14ac:dyDescent="0.25">
      <c r="A80" s="32">
        <v>3</v>
      </c>
      <c r="B80" s="32"/>
      <c r="C80" s="42" t="s">
        <v>155</v>
      </c>
      <c r="D80" s="675">
        <v>1979</v>
      </c>
      <c r="E80" s="681">
        <v>5</v>
      </c>
      <c r="F80" s="676">
        <v>81</v>
      </c>
      <c r="G80" s="905">
        <v>168</v>
      </c>
      <c r="H80" s="907">
        <v>3928.89</v>
      </c>
      <c r="I80" s="954"/>
      <c r="J80" s="954"/>
      <c r="K80" s="524">
        <v>42877.9</v>
      </c>
      <c r="L80" s="524">
        <v>38542.93</v>
      </c>
      <c r="M80" s="945"/>
      <c r="N80" s="945"/>
      <c r="O80" s="591">
        <f t="shared" si="26"/>
        <v>33618.083090604661</v>
      </c>
      <c r="P80" s="892">
        <v>475.8</v>
      </c>
      <c r="Q80" s="525">
        <f t="shared" si="27"/>
        <v>66.57939534883721</v>
      </c>
      <c r="R80" s="591"/>
      <c r="S80" s="890"/>
      <c r="T80" s="906">
        <f t="shared" si="28"/>
        <v>27517.224372093027</v>
      </c>
      <c r="U80" s="871"/>
      <c r="V80" s="625">
        <f t="shared" si="29"/>
        <v>5558.4793231627918</v>
      </c>
      <c r="W80" s="625">
        <f t="shared" si="30"/>
        <v>9259.8169093953402</v>
      </c>
      <c r="X80" s="871">
        <f t="shared" si="31"/>
        <v>89.889966626164068</v>
      </c>
      <c r="Y80" s="871">
        <f t="shared" si="32"/>
        <v>2.1391590939555867</v>
      </c>
      <c r="Z80" s="871">
        <v>2.72</v>
      </c>
      <c r="AA80" s="736">
        <v>438</v>
      </c>
      <c r="AB80" s="736">
        <f t="shared" si="33"/>
        <v>4334.9700000000012</v>
      </c>
      <c r="AC80" s="736"/>
      <c r="AD80" s="736"/>
      <c r="AE80" s="871"/>
      <c r="AF80" s="375"/>
    </row>
    <row r="81" spans="1:32" x14ac:dyDescent="0.25">
      <c r="A81" s="32">
        <v>4</v>
      </c>
      <c r="B81" s="32"/>
      <c r="C81" s="42" t="s">
        <v>162</v>
      </c>
      <c r="D81" s="675">
        <v>1985</v>
      </c>
      <c r="E81" s="681">
        <v>5</v>
      </c>
      <c r="F81" s="676">
        <v>76</v>
      </c>
      <c r="G81" s="905">
        <v>158</v>
      </c>
      <c r="H81" s="676">
        <v>4043.22</v>
      </c>
      <c r="I81" s="951"/>
      <c r="J81" s="951"/>
      <c r="K81" s="524">
        <v>42390.82</v>
      </c>
      <c r="L81" s="524">
        <v>42938.73</v>
      </c>
      <c r="M81" s="945"/>
      <c r="N81" s="945"/>
      <c r="O81" s="591">
        <f t="shared" si="26"/>
        <v>40917.47976384496</v>
      </c>
      <c r="P81" s="892">
        <v>359.8</v>
      </c>
      <c r="Q81" s="525">
        <f t="shared" si="27"/>
        <v>81.476155038759686</v>
      </c>
      <c r="R81" s="591"/>
      <c r="S81" s="890"/>
      <c r="T81" s="906">
        <f t="shared" si="28"/>
        <v>33674.046263565891</v>
      </c>
      <c r="U81" s="871"/>
      <c r="V81" s="625">
        <f t="shared" si="29"/>
        <v>6802.1573452403109</v>
      </c>
      <c r="W81" s="625">
        <f t="shared" si="30"/>
        <v>1473.3402361550397</v>
      </c>
      <c r="X81" s="871">
        <f t="shared" si="31"/>
        <v>101.29252040889986</v>
      </c>
      <c r="Y81" s="871">
        <f t="shared" si="32"/>
        <v>2.5300057728645089</v>
      </c>
      <c r="Z81" s="871">
        <v>2.63</v>
      </c>
      <c r="AA81" s="736">
        <v>536</v>
      </c>
      <c r="AB81" s="736">
        <f t="shared" si="33"/>
        <v>-547.91000000000349</v>
      </c>
      <c r="AC81" s="736"/>
      <c r="AD81" s="736"/>
      <c r="AE81" s="871"/>
      <c r="AF81" s="375"/>
    </row>
    <row r="82" spans="1:32" x14ac:dyDescent="0.25">
      <c r="A82" s="32">
        <v>5</v>
      </c>
      <c r="B82" s="32"/>
      <c r="C82" s="42" t="s">
        <v>164</v>
      </c>
      <c r="D82" s="675">
        <v>1989</v>
      </c>
      <c r="E82" s="681">
        <v>5</v>
      </c>
      <c r="F82" s="676">
        <v>75</v>
      </c>
      <c r="G82" s="905">
        <v>146</v>
      </c>
      <c r="H82" s="676">
        <v>3492.24</v>
      </c>
      <c r="I82" s="951"/>
      <c r="J82" s="951"/>
      <c r="K82" s="524">
        <v>42515.12</v>
      </c>
      <c r="L82" s="524">
        <v>40801.85</v>
      </c>
      <c r="M82" s="945"/>
      <c r="N82" s="945"/>
      <c r="O82" s="591">
        <f t="shared" si="26"/>
        <v>29060.913563038765</v>
      </c>
      <c r="P82" s="892">
        <v>156</v>
      </c>
      <c r="Q82" s="525">
        <f t="shared" si="27"/>
        <v>58.066961240310079</v>
      </c>
      <c r="R82" s="591"/>
      <c r="S82" s="890"/>
      <c r="T82" s="906">
        <f t="shared" si="28"/>
        <v>23999.04043410853</v>
      </c>
      <c r="U82" s="871"/>
      <c r="V82" s="625">
        <f t="shared" si="29"/>
        <v>4847.8061676899233</v>
      </c>
      <c r="W82" s="625">
        <f t="shared" si="30"/>
        <v>13454.206436961238</v>
      </c>
      <c r="X82" s="871">
        <f t="shared" si="31"/>
        <v>95.970210127596943</v>
      </c>
      <c r="Y82" s="871">
        <f t="shared" si="32"/>
        <v>2.0803920666276348</v>
      </c>
      <c r="Z82" s="871">
        <v>3.1</v>
      </c>
      <c r="AA82" s="736">
        <v>382</v>
      </c>
      <c r="AB82" s="736">
        <f t="shared" si="33"/>
        <v>1713.2700000000041</v>
      </c>
      <c r="AC82" s="736"/>
      <c r="AD82" s="736"/>
      <c r="AE82" s="871"/>
      <c r="AF82" s="375"/>
    </row>
    <row r="83" spans="1:32" x14ac:dyDescent="0.25">
      <c r="A83" s="32">
        <v>6</v>
      </c>
      <c r="B83" s="32"/>
      <c r="C83" s="42" t="s">
        <v>165</v>
      </c>
      <c r="D83" s="675">
        <v>1989</v>
      </c>
      <c r="E83" s="681">
        <v>5</v>
      </c>
      <c r="F83" s="676">
        <v>75</v>
      </c>
      <c r="G83" s="905">
        <v>137</v>
      </c>
      <c r="H83" s="676">
        <v>3454.59</v>
      </c>
      <c r="I83" s="951"/>
      <c r="J83" s="951"/>
      <c r="K83" s="524">
        <v>42453.279999999999</v>
      </c>
      <c r="L83" s="524">
        <v>38999.35</v>
      </c>
      <c r="M83" s="945"/>
      <c r="N83" s="945"/>
      <c r="O83" s="591">
        <f t="shared" si="26"/>
        <v>29062.913563038765</v>
      </c>
      <c r="P83" s="892">
        <v>158</v>
      </c>
      <c r="Q83" s="525">
        <f t="shared" si="27"/>
        <v>58.066961240310079</v>
      </c>
      <c r="R83" s="591"/>
      <c r="S83" s="890"/>
      <c r="T83" s="906">
        <f t="shared" si="28"/>
        <v>23999.04043410853</v>
      </c>
      <c r="U83" s="871"/>
      <c r="V83" s="625">
        <f t="shared" si="29"/>
        <v>4847.8061676899233</v>
      </c>
      <c r="W83" s="625">
        <f t="shared" si="30"/>
        <v>13390.366436961234</v>
      </c>
      <c r="X83" s="871">
        <f t="shared" si="31"/>
        <v>91.864162203721349</v>
      </c>
      <c r="Y83" s="871">
        <f t="shared" si="32"/>
        <v>2.1032100454061671</v>
      </c>
      <c r="Z83" s="871">
        <v>3.07</v>
      </c>
      <c r="AA83" s="736">
        <v>382</v>
      </c>
      <c r="AB83" s="736">
        <f t="shared" si="33"/>
        <v>3453.9300000000003</v>
      </c>
      <c r="AC83" s="736"/>
      <c r="AD83" s="736"/>
      <c r="AE83" s="871"/>
      <c r="AF83" s="375"/>
    </row>
    <row r="84" spans="1:32" x14ac:dyDescent="0.25">
      <c r="A84" s="32">
        <v>7</v>
      </c>
      <c r="B84" s="32"/>
      <c r="C84" s="42" t="s">
        <v>166</v>
      </c>
      <c r="D84" s="675">
        <v>1993</v>
      </c>
      <c r="E84" s="681">
        <v>5</v>
      </c>
      <c r="F84" s="676">
        <v>100</v>
      </c>
      <c r="G84" s="905">
        <v>227</v>
      </c>
      <c r="H84" s="676">
        <v>6046.32</v>
      </c>
      <c r="I84" s="951"/>
      <c r="J84" s="951"/>
      <c r="K84" s="524">
        <v>67131.56</v>
      </c>
      <c r="L84" s="524">
        <v>69168.820000000007</v>
      </c>
      <c r="M84" s="945"/>
      <c r="N84" s="945"/>
      <c r="O84" s="591">
        <f t="shared" si="26"/>
        <v>95461.814370232576</v>
      </c>
      <c r="P84" s="892">
        <v>121</v>
      </c>
      <c r="Q84" s="525">
        <f t="shared" si="27"/>
        <v>191.52976744186046</v>
      </c>
      <c r="R84" s="591"/>
      <c r="S84" s="890"/>
      <c r="T84" s="906">
        <f t="shared" si="28"/>
        <v>79159.138604651176</v>
      </c>
      <c r="U84" s="871"/>
      <c r="V84" s="625">
        <f t="shared" si="29"/>
        <v>15990.145998139538</v>
      </c>
      <c r="W84" s="625">
        <f t="shared" si="30"/>
        <v>-28330.254370232578</v>
      </c>
      <c r="X84" s="871">
        <f t="shared" si="31"/>
        <v>103.03472763034259</v>
      </c>
      <c r="Y84" s="871">
        <f t="shared" si="32"/>
        <v>3.9471039562176902</v>
      </c>
      <c r="Z84" s="871">
        <v>2.77</v>
      </c>
      <c r="AA84" s="736">
        <v>1260</v>
      </c>
      <c r="AB84" s="736">
        <f t="shared" si="33"/>
        <v>-2037.2600000000093</v>
      </c>
      <c r="AC84" s="736"/>
      <c r="AD84" s="736"/>
      <c r="AE84" s="871"/>
      <c r="AF84" s="375"/>
    </row>
    <row r="85" spans="1:32" x14ac:dyDescent="0.25">
      <c r="A85" s="32">
        <v>8</v>
      </c>
      <c r="B85" s="32"/>
      <c r="C85" s="42" t="s">
        <v>167</v>
      </c>
      <c r="D85" s="675">
        <v>1989</v>
      </c>
      <c r="E85" s="681">
        <v>5</v>
      </c>
      <c r="F85" s="676">
        <v>76</v>
      </c>
      <c r="G85" s="905">
        <v>141</v>
      </c>
      <c r="H85" s="676">
        <v>3481.7</v>
      </c>
      <c r="I85" s="951"/>
      <c r="J85" s="951"/>
      <c r="K85" s="524">
        <v>42485.01</v>
      </c>
      <c r="L85" s="524">
        <v>36085.15</v>
      </c>
      <c r="M85" s="945"/>
      <c r="N85" s="945"/>
      <c r="O85" s="591">
        <f t="shared" si="26"/>
        <v>28904.913563038765</v>
      </c>
      <c r="P85" s="892"/>
      <c r="Q85" s="525">
        <f t="shared" si="27"/>
        <v>58.066961240310079</v>
      </c>
      <c r="R85" s="591"/>
      <c r="S85" s="890"/>
      <c r="T85" s="906">
        <f t="shared" si="28"/>
        <v>23999.04043410853</v>
      </c>
      <c r="U85" s="871"/>
      <c r="V85" s="625">
        <f t="shared" si="29"/>
        <v>4847.8061676899233</v>
      </c>
      <c r="W85" s="625">
        <f t="shared" si="30"/>
        <v>13580.096436961237</v>
      </c>
      <c r="X85" s="871">
        <f t="shared" si="31"/>
        <v>84.936192788938968</v>
      </c>
      <c r="Y85" s="871">
        <f t="shared" si="32"/>
        <v>2.0754885230662294</v>
      </c>
      <c r="Z85" s="871">
        <v>3.05</v>
      </c>
      <c r="AA85" s="736">
        <v>382</v>
      </c>
      <c r="AB85" s="736">
        <f t="shared" si="33"/>
        <v>6399.8600000000006</v>
      </c>
      <c r="AC85" s="736"/>
      <c r="AD85" s="736"/>
      <c r="AE85" s="871"/>
      <c r="AF85" s="375"/>
    </row>
    <row r="86" spans="1:32" x14ac:dyDescent="0.25">
      <c r="A86" s="38"/>
      <c r="B86" s="38"/>
      <c r="C86" s="7" t="s">
        <v>52</v>
      </c>
      <c r="D86" s="894"/>
      <c r="E86" s="894"/>
      <c r="F86" s="387">
        <f>SUM(F78:F85)</f>
        <v>555</v>
      </c>
      <c r="G86" s="387">
        <f>SUM(G78:G85)</f>
        <v>1110</v>
      </c>
      <c r="H86" s="387">
        <f>SUM(H78:H85)</f>
        <v>27394.27</v>
      </c>
      <c r="I86" s="955"/>
      <c r="J86" s="955"/>
      <c r="K86" s="535">
        <f>SUM(K78:K85)</f>
        <v>322977.01</v>
      </c>
      <c r="L86" s="535">
        <f>SUM(L78:L85)</f>
        <v>305350.61000000004</v>
      </c>
      <c r="M86" s="957"/>
      <c r="N86" s="957"/>
      <c r="O86" s="895">
        <f t="shared" ref="O86" si="34">P86+Q86+R86+S86+T86+V86</f>
        <v>294214.10128</v>
      </c>
      <c r="P86" s="535">
        <f>SUM(P78:P85)</f>
        <v>1381.6</v>
      </c>
      <c r="Q86" s="535">
        <f t="shared" ref="Q86:U86" si="35">SUM(Q78:Q85)</f>
        <v>588.27</v>
      </c>
      <c r="R86" s="535">
        <f t="shared" si="35"/>
        <v>0</v>
      </c>
      <c r="S86" s="535">
        <f t="shared" si="35"/>
        <v>0</v>
      </c>
      <c r="T86" s="535">
        <f t="shared" si="35"/>
        <v>243131.64</v>
      </c>
      <c r="U86" s="535">
        <f t="shared" si="35"/>
        <v>0</v>
      </c>
      <c r="V86" s="56">
        <f>SUM(V78:V85)</f>
        <v>49112.591280000008</v>
      </c>
      <c r="W86" s="56">
        <f t="shared" si="30"/>
        <v>28762.908720000007</v>
      </c>
      <c r="X86" s="877">
        <f t="shared" si="31"/>
        <v>94.542521772679748</v>
      </c>
      <c r="Y86" s="877">
        <f t="shared" si="32"/>
        <v>2.6849967281478935</v>
      </c>
      <c r="Z86" s="56"/>
      <c r="AA86" s="762">
        <f>SUM(AA78:AA85)</f>
        <v>3870</v>
      </c>
      <c r="AB86" s="762">
        <f>SUM(AB78:AB85)</f>
        <v>17626.399999999991</v>
      </c>
      <c r="AC86" s="762"/>
      <c r="AD86" s="762"/>
      <c r="AE86" s="762"/>
      <c r="AF86" s="375"/>
    </row>
    <row r="87" spans="1:32" x14ac:dyDescent="0.25">
      <c r="A87" s="15"/>
      <c r="B87" s="15"/>
      <c r="C87" s="564" t="s">
        <v>379</v>
      </c>
      <c r="D87" s="661"/>
      <c r="E87" s="661"/>
      <c r="F87" s="661"/>
      <c r="G87" s="661"/>
      <c r="H87" s="661"/>
      <c r="I87" s="956"/>
      <c r="J87" s="956"/>
      <c r="K87" s="520">
        <v>1660.28</v>
      </c>
      <c r="L87" s="520">
        <v>608.22</v>
      </c>
      <c r="M87" s="958"/>
      <c r="N87" s="958"/>
      <c r="O87" s="879"/>
      <c r="P87" s="880">
        <f>P86+Q86</f>
        <v>1969.87</v>
      </c>
      <c r="Q87" s="881"/>
      <c r="R87" s="661"/>
      <c r="S87" s="661"/>
      <c r="T87" s="647">
        <f>T86+V86</f>
        <v>292244.23128000001</v>
      </c>
      <c r="U87" s="661"/>
      <c r="V87" s="661"/>
      <c r="W87" s="736"/>
      <c r="X87" s="736"/>
      <c r="Y87" s="661"/>
      <c r="Z87" s="661"/>
      <c r="AA87" s="881"/>
      <c r="AB87" s="736"/>
      <c r="AC87" s="736"/>
      <c r="AD87" s="661"/>
      <c r="AE87" s="661"/>
      <c r="AF87" s="375"/>
    </row>
    <row r="88" spans="1:32" ht="15" customHeight="1" x14ac:dyDescent="0.3">
      <c r="A88" s="176"/>
      <c r="B88" s="176"/>
      <c r="C88" s="176"/>
      <c r="D88" s="176"/>
      <c r="E88" s="176"/>
      <c r="F88" s="176"/>
      <c r="G88" s="176"/>
      <c r="H88" s="176"/>
      <c r="I88" s="176"/>
      <c r="J88" s="176"/>
      <c r="K88" s="519">
        <f>K86+K87</f>
        <v>324637.29000000004</v>
      </c>
      <c r="L88" s="519">
        <f>L86+L87</f>
        <v>305958.83</v>
      </c>
      <c r="M88" s="519"/>
      <c r="N88" s="519"/>
      <c r="O88" s="176"/>
      <c r="P88" s="371"/>
      <c r="Q88" s="176"/>
      <c r="R88" s="176"/>
      <c r="S88" s="176"/>
      <c r="T88" s="371"/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</row>
    <row r="89" spans="1:32" ht="15" customHeight="1" x14ac:dyDescent="0.3">
      <c r="A89" s="176"/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</row>
    <row r="90" spans="1:32" ht="15" customHeight="1" x14ac:dyDescent="0.3">
      <c r="A90" s="176"/>
      <c r="B90" s="176"/>
      <c r="C90" s="176"/>
      <c r="D90" s="176"/>
      <c r="E90" s="176"/>
      <c r="F90" s="176"/>
      <c r="G90" s="176"/>
      <c r="H90" s="176"/>
      <c r="I90" s="176"/>
      <c r="J90" s="176"/>
      <c r="K90" s="563" t="s">
        <v>571</v>
      </c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</row>
    <row r="91" spans="1:32" ht="15.75" customHeight="1" x14ac:dyDescent="0.3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</row>
    <row r="92" spans="1:32" ht="15" customHeight="1" x14ac:dyDescent="0.3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</row>
    <row r="93" spans="1:32" ht="15" customHeight="1" x14ac:dyDescent="0.3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</row>
    <row r="94" spans="1:32" ht="15" customHeight="1" x14ac:dyDescent="0.3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</row>
    <row r="95" spans="1:32" ht="15" customHeight="1" x14ac:dyDescent="0.3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</row>
    <row r="96" spans="1:32" ht="15" customHeight="1" x14ac:dyDescent="0.3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</row>
    <row r="97" spans="1:32" ht="15" customHeight="1" x14ac:dyDescent="0.3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</row>
    <row r="98" spans="1:32" ht="15" customHeight="1" x14ac:dyDescent="0.3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</row>
    <row r="99" spans="1:32" ht="15" customHeight="1" x14ac:dyDescent="0.3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</row>
    <row r="100" spans="1:32" ht="15" customHeight="1" x14ac:dyDescent="0.3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</row>
    <row r="101" spans="1:32" ht="15" customHeight="1" x14ac:dyDescent="0.3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</row>
  </sheetData>
  <mergeCells count="78">
    <mergeCell ref="O40:O41"/>
    <mergeCell ref="P40:P41"/>
    <mergeCell ref="W40:W41"/>
    <mergeCell ref="V5:V6"/>
    <mergeCell ref="D38:U38"/>
    <mergeCell ref="H40:H41"/>
    <mergeCell ref="K40:L40"/>
    <mergeCell ref="Q40:Q41"/>
    <mergeCell ref="R40:R41"/>
    <mergeCell ref="G40:G41"/>
    <mergeCell ref="S40:S41"/>
    <mergeCell ref="T40:T41"/>
    <mergeCell ref="U40:U41"/>
    <mergeCell ref="AF5:AF6"/>
    <mergeCell ref="X5:X6"/>
    <mergeCell ref="Y5:Y6"/>
    <mergeCell ref="W5:W6"/>
    <mergeCell ref="AE5:AE6"/>
    <mergeCell ref="AA5:AA6"/>
    <mergeCell ref="AB5:AB6"/>
    <mergeCell ref="AD5:AD6"/>
    <mergeCell ref="Z5:Z6"/>
    <mergeCell ref="AC5:AC6"/>
    <mergeCell ref="D2:U2"/>
    <mergeCell ref="D3:U3"/>
    <mergeCell ref="G5:G6"/>
    <mergeCell ref="H5:H6"/>
    <mergeCell ref="K5:L5"/>
    <mergeCell ref="O5:O6"/>
    <mergeCell ref="P5:P6"/>
    <mergeCell ref="Q5:Q6"/>
    <mergeCell ref="R5:R6"/>
    <mergeCell ref="S5:S6"/>
    <mergeCell ref="T5:T6"/>
    <mergeCell ref="U5:U6"/>
    <mergeCell ref="M5:N5"/>
    <mergeCell ref="I5:J5"/>
    <mergeCell ref="A5:A6"/>
    <mergeCell ref="C5:C6"/>
    <mergeCell ref="D5:D6"/>
    <mergeCell ref="E5:E6"/>
    <mergeCell ref="F5:F6"/>
    <mergeCell ref="B5:B6"/>
    <mergeCell ref="A40:A41"/>
    <mergeCell ref="C40:C41"/>
    <mergeCell ref="D40:D41"/>
    <mergeCell ref="E40:E41"/>
    <mergeCell ref="F40:F41"/>
    <mergeCell ref="B40:B41"/>
    <mergeCell ref="D73:U73"/>
    <mergeCell ref="D74:U74"/>
    <mergeCell ref="S76:S77"/>
    <mergeCell ref="T76:T77"/>
    <mergeCell ref="U76:U77"/>
    <mergeCell ref="G76:G77"/>
    <mergeCell ref="H76:H77"/>
    <mergeCell ref="AB76:AB77"/>
    <mergeCell ref="AD76:AD77"/>
    <mergeCell ref="AE76:AE77"/>
    <mergeCell ref="Z76:Z77"/>
    <mergeCell ref="A76:A77"/>
    <mergeCell ref="C76:C77"/>
    <mergeCell ref="D76:D77"/>
    <mergeCell ref="E76:E77"/>
    <mergeCell ref="F76:F77"/>
    <mergeCell ref="B76:B77"/>
    <mergeCell ref="K76:L76"/>
    <mergeCell ref="O76:O77"/>
    <mergeCell ref="P76:P77"/>
    <mergeCell ref="Q76:Q77"/>
    <mergeCell ref="R76:R77"/>
    <mergeCell ref="AA76:AA77"/>
    <mergeCell ref="X40:X41"/>
    <mergeCell ref="W76:W77"/>
    <mergeCell ref="X76:X77"/>
    <mergeCell ref="Y76:Y77"/>
    <mergeCell ref="V76:V77"/>
    <mergeCell ref="V40:V41"/>
  </mergeCells>
  <pageMargins left="0.17" right="0.17" top="0.31" bottom="0.16" header="0.31496062992125984" footer="0.16"/>
  <pageSetup paperSize="9" orientation="landscape" verticalDpi="0" r:id="rId1"/>
  <ignoredErrors>
    <ignoredError sqref="O68 O86" formula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Q101"/>
  <sheetViews>
    <sheetView topLeftCell="B57" workbookViewId="0">
      <selection activeCell="C76" sqref="C76:L88"/>
    </sheetView>
  </sheetViews>
  <sheetFormatPr defaultRowHeight="15" x14ac:dyDescent="0.25"/>
  <cols>
    <col min="1" max="1" width="0.42578125" hidden="1" customWidth="1"/>
    <col min="2" max="2" width="0.5703125" customWidth="1"/>
    <col min="3" max="3" width="19" customWidth="1"/>
    <col min="4" max="4" width="9" customWidth="1"/>
    <col min="5" max="5" width="9.42578125" customWidth="1"/>
    <col min="6" max="6" width="9.85546875" customWidth="1"/>
    <col min="7" max="7" width="9.140625" customWidth="1"/>
    <col min="8" max="8" width="10.28515625" customWidth="1"/>
    <col min="9" max="9" width="11.5703125" customWidth="1"/>
    <col min="10" max="10" width="10.28515625" customWidth="1"/>
    <col min="11" max="11" width="12.28515625" customWidth="1"/>
    <col min="12" max="12" width="11.7109375" customWidth="1"/>
    <col min="13" max="14" width="12" customWidth="1"/>
    <col min="15" max="15" width="11.7109375" customWidth="1"/>
    <col min="16" max="16" width="9.5703125" customWidth="1"/>
    <col min="17" max="17" width="9.140625" customWidth="1"/>
    <col min="18" max="18" width="10.28515625" customWidth="1"/>
    <col min="19" max="19" width="9.42578125" customWidth="1"/>
    <col min="20" max="20" width="10.28515625" customWidth="1"/>
    <col min="21" max="21" width="9.28515625" customWidth="1"/>
    <col min="22" max="22" width="11" customWidth="1"/>
    <col min="23" max="23" width="9.5703125" customWidth="1"/>
    <col min="24" max="24" width="10.140625" customWidth="1"/>
    <col min="25" max="25" width="10.7109375" customWidth="1"/>
    <col min="26" max="26" width="10.5703125" customWidth="1"/>
    <col min="27" max="27" width="11.5703125" customWidth="1"/>
    <col min="28" max="28" width="9" customWidth="1"/>
    <col min="29" max="30" width="9.85546875" customWidth="1"/>
    <col min="31" max="31" width="10" customWidth="1"/>
    <col min="32" max="32" width="10.5703125" customWidth="1"/>
    <col min="33" max="33" width="13.7109375" customWidth="1"/>
  </cols>
  <sheetData>
    <row r="1" spans="1:69" x14ac:dyDescent="0.25">
      <c r="AA1" s="34"/>
      <c r="AF1" s="250"/>
      <c r="AG1" s="250"/>
      <c r="AH1" s="250"/>
    </row>
    <row r="2" spans="1:69" ht="18.75" x14ac:dyDescent="0.3">
      <c r="D2" s="2095" t="s">
        <v>322</v>
      </c>
      <c r="E2" s="2095"/>
      <c r="F2" s="2095"/>
      <c r="G2" s="2095"/>
      <c r="H2" s="2095"/>
      <c r="I2" s="2095"/>
      <c r="J2" s="2095"/>
      <c r="K2" s="2095"/>
      <c r="L2" s="2095"/>
      <c r="M2" s="2095"/>
      <c r="N2" s="2095"/>
      <c r="O2" s="2095"/>
      <c r="P2" s="2095"/>
      <c r="Q2" s="2095"/>
      <c r="R2" s="2095"/>
      <c r="S2" s="2095"/>
      <c r="T2" s="2095"/>
      <c r="U2" s="2095"/>
      <c r="V2" s="24"/>
      <c r="W2" s="24"/>
      <c r="X2" s="24"/>
      <c r="Y2" s="24"/>
      <c r="Z2" s="24"/>
      <c r="AA2" s="34"/>
      <c r="AF2" s="250"/>
      <c r="AG2" s="250"/>
      <c r="AH2" s="250"/>
    </row>
    <row r="3" spans="1:69" ht="15.75" x14ac:dyDescent="0.25">
      <c r="D3" s="2096" t="s">
        <v>627</v>
      </c>
      <c r="E3" s="2096"/>
      <c r="F3" s="2096"/>
      <c r="G3" s="2096"/>
      <c r="H3" s="2096"/>
      <c r="I3" s="2096"/>
      <c r="J3" s="2096"/>
      <c r="K3" s="2096"/>
      <c r="L3" s="2096"/>
      <c r="M3" s="2096"/>
      <c r="N3" s="2096"/>
      <c r="O3" s="2096"/>
      <c r="P3" s="2096"/>
      <c r="Q3" s="2096"/>
      <c r="R3" s="2096"/>
      <c r="S3" s="2096"/>
      <c r="T3" s="2096"/>
      <c r="U3" s="2096"/>
      <c r="V3" s="25"/>
      <c r="W3" s="25"/>
      <c r="X3" s="478"/>
      <c r="Y3" s="478"/>
      <c r="Z3" s="478"/>
      <c r="AA3" s="34"/>
      <c r="AF3" s="250"/>
      <c r="AG3" s="250"/>
      <c r="AH3" s="250"/>
    </row>
    <row r="4" spans="1:69" x14ac:dyDescent="0.25">
      <c r="X4" s="479"/>
      <c r="Y4" s="479"/>
      <c r="Z4" s="479"/>
      <c r="AA4" s="34"/>
      <c r="AF4" s="250"/>
      <c r="AG4" s="250"/>
      <c r="AH4" s="250"/>
    </row>
    <row r="5" spans="1:69" ht="40.5" customHeight="1" x14ac:dyDescent="0.25">
      <c r="A5" s="2083" t="s">
        <v>0</v>
      </c>
      <c r="B5" s="2014"/>
      <c r="C5" s="2083" t="s">
        <v>184</v>
      </c>
      <c r="D5" s="2083" t="s">
        <v>54</v>
      </c>
      <c r="E5" s="2014" t="s">
        <v>55</v>
      </c>
      <c r="F5" s="2083" t="s">
        <v>56</v>
      </c>
      <c r="G5" s="2083" t="s">
        <v>57</v>
      </c>
      <c r="H5" s="2014" t="s">
        <v>6</v>
      </c>
      <c r="I5" s="2097" t="s">
        <v>593</v>
      </c>
      <c r="J5" s="2060"/>
      <c r="K5" s="1989" t="s">
        <v>538</v>
      </c>
      <c r="L5" s="1990"/>
      <c r="M5" s="2017" t="s">
        <v>598</v>
      </c>
      <c r="N5" s="2017"/>
      <c r="O5" s="1987" t="s">
        <v>181</v>
      </c>
      <c r="P5" s="2009" t="s">
        <v>332</v>
      </c>
      <c r="Q5" s="1987" t="s">
        <v>377</v>
      </c>
      <c r="R5" s="2003" t="s">
        <v>11</v>
      </c>
      <c r="S5" s="2003" t="s">
        <v>570</v>
      </c>
      <c r="T5" s="2003" t="s">
        <v>568</v>
      </c>
      <c r="U5" s="1997" t="s">
        <v>562</v>
      </c>
      <c r="V5" s="2102" t="s">
        <v>12</v>
      </c>
      <c r="W5" s="2009" t="s">
        <v>14</v>
      </c>
      <c r="X5" s="2007" t="s">
        <v>174</v>
      </c>
      <c r="Y5" s="1987" t="s">
        <v>323</v>
      </c>
      <c r="Z5" s="2005" t="s">
        <v>569</v>
      </c>
      <c r="AA5" s="1987" t="s">
        <v>175</v>
      </c>
      <c r="AB5" s="2005" t="s">
        <v>610</v>
      </c>
      <c r="AC5" s="2005" t="s">
        <v>611</v>
      </c>
      <c r="AD5" s="2001" t="s">
        <v>182</v>
      </c>
      <c r="AE5" s="1999" t="s">
        <v>544</v>
      </c>
      <c r="AF5" s="1995" t="s">
        <v>566</v>
      </c>
      <c r="AG5" s="250"/>
      <c r="AH5" s="250"/>
    </row>
    <row r="6" spans="1:69" ht="49.5" customHeight="1" x14ac:dyDescent="0.25">
      <c r="A6" s="2083"/>
      <c r="B6" s="2015"/>
      <c r="C6" s="2083"/>
      <c r="D6" s="2083"/>
      <c r="E6" s="2015"/>
      <c r="F6" s="2083"/>
      <c r="G6" s="2083"/>
      <c r="H6" s="2015"/>
      <c r="I6" s="150" t="s">
        <v>15</v>
      </c>
      <c r="J6" s="1209" t="s">
        <v>16</v>
      </c>
      <c r="K6" s="150" t="s">
        <v>15</v>
      </c>
      <c r="L6" s="1209" t="s">
        <v>16</v>
      </c>
      <c r="M6" s="150" t="s">
        <v>15</v>
      </c>
      <c r="N6" s="1209" t="s">
        <v>16</v>
      </c>
      <c r="O6" s="1988"/>
      <c r="P6" s="2009"/>
      <c r="Q6" s="1988"/>
      <c r="R6" s="2004"/>
      <c r="S6" s="2002"/>
      <c r="T6" s="2004"/>
      <c r="U6" s="1998"/>
      <c r="V6" s="2102"/>
      <c r="W6" s="2009"/>
      <c r="X6" s="2098"/>
      <c r="Y6" s="1988"/>
      <c r="Z6" s="2099"/>
      <c r="AA6" s="1988"/>
      <c r="AB6" s="2006"/>
      <c r="AC6" s="2006"/>
      <c r="AD6" s="2002"/>
      <c r="AE6" s="2000"/>
      <c r="AF6" s="1996"/>
      <c r="AG6" s="250"/>
      <c r="AH6" s="250"/>
    </row>
    <row r="7" spans="1:69" x14ac:dyDescent="0.25">
      <c r="A7" s="32">
        <v>1</v>
      </c>
      <c r="B7" s="582"/>
      <c r="C7" s="42" t="s">
        <v>145</v>
      </c>
      <c r="D7" s="705">
        <v>1960</v>
      </c>
      <c r="E7" s="705">
        <v>2</v>
      </c>
      <c r="F7" s="866">
        <v>16</v>
      </c>
      <c r="G7" s="867">
        <v>35</v>
      </c>
      <c r="H7" s="866">
        <v>636.4</v>
      </c>
      <c r="I7" s="866">
        <v>589.76</v>
      </c>
      <c r="J7" s="866">
        <v>408.79</v>
      </c>
      <c r="K7" s="625">
        <v>26720.04</v>
      </c>
      <c r="L7" s="625">
        <v>25845.75</v>
      </c>
      <c r="M7" s="625">
        <f t="shared" ref="M7:M33" si="0">I7+K7</f>
        <v>27309.8</v>
      </c>
      <c r="N7" s="625">
        <f t="shared" ref="N7:N33" si="1">J7+L7</f>
        <v>26254.54</v>
      </c>
      <c r="O7" s="625">
        <f>P7+Q7+R7+S7+T7+U7+V7+W7+X7+Y7+Z7</f>
        <v>24586.173967373157</v>
      </c>
      <c r="P7" s="868">
        <v>175.42</v>
      </c>
      <c r="Q7" s="525">
        <f>57672.24/37786.48*H7</f>
        <v>971.31602456751705</v>
      </c>
      <c r="R7" s="625">
        <v>854.7</v>
      </c>
      <c r="S7" s="525">
        <f>792.54/37786.48*H7</f>
        <v>13.347960857957657</v>
      </c>
      <c r="T7" s="625">
        <f>1000/37786.48*H7</f>
        <v>16.842002748072854</v>
      </c>
      <c r="U7" s="625">
        <f>19237.68/37786.48*H7</f>
        <v>324.00105942654614</v>
      </c>
      <c r="V7" s="625">
        <f>530167.7/1579795.98*K7</f>
        <v>8967.0453210724081</v>
      </c>
      <c r="W7" s="625">
        <f>63127.07/37786.48*H7</f>
        <v>1063.1862864177874</v>
      </c>
      <c r="X7" s="625">
        <f>72233.56/37786.48*H7</f>
        <v>1216.5578160230855</v>
      </c>
      <c r="Y7" s="625">
        <f>533284.71/37140.08*H7</f>
        <v>9137.9014111978195</v>
      </c>
      <c r="Z7" s="625">
        <f>Y7*0.202</f>
        <v>1845.8560850619597</v>
      </c>
      <c r="AA7" s="525">
        <f>M7-O7</f>
        <v>2723.6260326268421</v>
      </c>
      <c r="AB7" s="525">
        <f>L7/K7*100</f>
        <v>96.727961485087604</v>
      </c>
      <c r="AC7" s="525">
        <f>J7/I7*100</f>
        <v>69.314636462289741</v>
      </c>
      <c r="AD7" s="525">
        <f>O7/H7/6</f>
        <v>6.4388681037537081</v>
      </c>
      <c r="AE7" s="525">
        <v>6.99</v>
      </c>
      <c r="AF7" s="525">
        <f>M7-N7</f>
        <v>1055.2599999999984</v>
      </c>
      <c r="AG7" s="250"/>
      <c r="AH7" s="250"/>
    </row>
    <row r="8" spans="1:69" x14ac:dyDescent="0.25">
      <c r="A8" s="32">
        <v>2</v>
      </c>
      <c r="B8" s="582"/>
      <c r="C8" s="42" t="s">
        <v>146</v>
      </c>
      <c r="D8" s="705">
        <v>1960</v>
      </c>
      <c r="E8" s="705">
        <v>2</v>
      </c>
      <c r="F8" s="866">
        <v>16</v>
      </c>
      <c r="G8" s="867">
        <v>27</v>
      </c>
      <c r="H8" s="866">
        <v>647.79999999999995</v>
      </c>
      <c r="I8" s="866">
        <v>589.61</v>
      </c>
      <c r="J8" s="866">
        <v>407.22</v>
      </c>
      <c r="K8" s="625">
        <v>27207.599999999999</v>
      </c>
      <c r="L8" s="625">
        <v>20410.5</v>
      </c>
      <c r="M8" s="625">
        <f t="shared" si="0"/>
        <v>27797.21</v>
      </c>
      <c r="N8" s="625">
        <f t="shared" si="1"/>
        <v>20817.72</v>
      </c>
      <c r="O8" s="625">
        <f t="shared" ref="O8:O33" si="2">P8+Q8+R8+S8+T8+U8+V8+W8+X8+Y8+Z8</f>
        <v>25090.672187749566</v>
      </c>
      <c r="P8" s="868">
        <v>270.5</v>
      </c>
      <c r="Q8" s="525">
        <f t="shared" ref="Q8:Q33" si="3">57672.24/37786.48*H8</f>
        <v>988.71546309685345</v>
      </c>
      <c r="R8" s="625">
        <v>839.16</v>
      </c>
      <c r="S8" s="525">
        <f t="shared" ref="S8:S33" si="4">792.54/37786.48*H8</f>
        <v>13.587066379297566</v>
      </c>
      <c r="T8" s="625">
        <f t="shared" ref="T8:T33" si="5">1000/37786.48*H8</f>
        <v>17.143697957576357</v>
      </c>
      <c r="U8" s="625">
        <f t="shared" ref="U8:U33" si="6">19237.68/37786.48*H8</f>
        <v>329.80497532450755</v>
      </c>
      <c r="V8" s="625">
        <f t="shared" ref="V8:V33" si="7">530167.7/1579795.98*K8</f>
        <v>9130.6668057985553</v>
      </c>
      <c r="W8" s="625">
        <f t="shared" ref="W8:W33" si="8">63127.07/37786.48*H8</f>
        <v>1082.2314210267798</v>
      </c>
      <c r="X8" s="625">
        <f t="shared" ref="X8:X33" si="9">72233.56/37786.48*H8</f>
        <v>1238.3503350404694</v>
      </c>
      <c r="Y8" s="625">
        <f t="shared" ref="Y8:Y29" si="10">533284.71/37140.08*H8</f>
        <v>9301.5910342142488</v>
      </c>
      <c r="Z8" s="625">
        <f t="shared" ref="Z8:Z29" si="11">Y8*0.202</f>
        <v>1878.9213889112784</v>
      </c>
      <c r="AA8" s="525">
        <f t="shared" ref="AA8:AA33" si="12">M8-O8</f>
        <v>2706.5378122504335</v>
      </c>
      <c r="AB8" s="525">
        <f t="shared" ref="AB8:AB34" si="13">L8/K8*100</f>
        <v>75.017642129405033</v>
      </c>
      <c r="AC8" s="525">
        <f t="shared" ref="AC8:AC34" si="14">J8/I8*100</f>
        <v>69.065992774885103</v>
      </c>
      <c r="AD8" s="525">
        <f t="shared" ref="AD8:AD33" si="15">O8/H8/6</f>
        <v>6.4553545815965743</v>
      </c>
      <c r="AE8" s="525">
        <v>7</v>
      </c>
      <c r="AF8" s="525">
        <f t="shared" ref="AF8:AF34" si="16">M8-N8</f>
        <v>6979.489999999998</v>
      </c>
      <c r="AG8" s="250"/>
      <c r="AH8" s="250"/>
    </row>
    <row r="9" spans="1:69" x14ac:dyDescent="0.25">
      <c r="A9" s="32">
        <v>3</v>
      </c>
      <c r="B9" s="582"/>
      <c r="C9" s="42" t="s">
        <v>147</v>
      </c>
      <c r="D9" s="705">
        <v>1960</v>
      </c>
      <c r="E9" s="705">
        <v>2</v>
      </c>
      <c r="F9" s="866">
        <v>16</v>
      </c>
      <c r="G9" s="867">
        <v>27</v>
      </c>
      <c r="H9" s="866">
        <v>641</v>
      </c>
      <c r="I9" s="866">
        <v>589.55999999999995</v>
      </c>
      <c r="J9" s="866">
        <v>543.37</v>
      </c>
      <c r="K9" s="625">
        <v>26883.78</v>
      </c>
      <c r="L9" s="625">
        <v>26378.799999999999</v>
      </c>
      <c r="M9" s="625">
        <f t="shared" si="0"/>
        <v>27473.34</v>
      </c>
      <c r="N9" s="625">
        <f t="shared" si="1"/>
        <v>26922.17</v>
      </c>
      <c r="O9" s="625">
        <f t="shared" si="2"/>
        <v>26244.705550407838</v>
      </c>
      <c r="P9" s="868">
        <v>1689.09</v>
      </c>
      <c r="Q9" s="525">
        <f t="shared" si="3"/>
        <v>978.33685064075814</v>
      </c>
      <c r="R9" s="625">
        <v>839.16</v>
      </c>
      <c r="S9" s="525">
        <f t="shared" si="4"/>
        <v>13.444442033235164</v>
      </c>
      <c r="T9" s="625">
        <f t="shared" si="5"/>
        <v>16.963739411556723</v>
      </c>
      <c r="U9" s="625">
        <f t="shared" si="6"/>
        <v>326.34299040291654</v>
      </c>
      <c r="V9" s="625">
        <f t="shared" si="7"/>
        <v>9021.9952388447</v>
      </c>
      <c r="W9" s="625">
        <f t="shared" si="8"/>
        <v>1070.8711652951001</v>
      </c>
      <c r="X9" s="625">
        <f t="shared" si="9"/>
        <v>1225.3512886090473</v>
      </c>
      <c r="Y9" s="625">
        <f t="shared" si="10"/>
        <v>9203.9516099588363</v>
      </c>
      <c r="Z9" s="625">
        <f t="shared" si="11"/>
        <v>1859.198225211685</v>
      </c>
      <c r="AA9" s="525">
        <f t="shared" si="12"/>
        <v>1228.6344495921621</v>
      </c>
      <c r="AB9" s="525">
        <f t="shared" si="13"/>
        <v>98.121618314091251</v>
      </c>
      <c r="AC9" s="525">
        <f t="shared" si="14"/>
        <v>92.16534364610898</v>
      </c>
      <c r="AD9" s="525">
        <f t="shared" si="15"/>
        <v>6.8238963989619963</v>
      </c>
      <c r="AE9" s="525">
        <v>6.99</v>
      </c>
      <c r="AF9" s="525">
        <f t="shared" si="16"/>
        <v>551.17000000000189</v>
      </c>
      <c r="AG9" s="250"/>
      <c r="AH9" s="250"/>
    </row>
    <row r="10" spans="1:69" x14ac:dyDescent="0.25">
      <c r="A10" s="32">
        <v>4</v>
      </c>
      <c r="B10" s="582"/>
      <c r="C10" s="42" t="s">
        <v>148</v>
      </c>
      <c r="D10" s="705">
        <v>1960</v>
      </c>
      <c r="E10" s="705">
        <v>2</v>
      </c>
      <c r="F10" s="866">
        <v>16</v>
      </c>
      <c r="G10" s="867">
        <v>27</v>
      </c>
      <c r="H10" s="866">
        <v>634</v>
      </c>
      <c r="I10" s="866">
        <v>589.73</v>
      </c>
      <c r="J10" s="866">
        <v>465.44</v>
      </c>
      <c r="K10" s="625">
        <v>26673.96</v>
      </c>
      <c r="L10" s="625">
        <v>22538.81</v>
      </c>
      <c r="M10" s="625">
        <f t="shared" si="0"/>
        <v>27263.69</v>
      </c>
      <c r="N10" s="625">
        <f t="shared" si="1"/>
        <v>23004.25</v>
      </c>
      <c r="O10" s="625">
        <f t="shared" si="2"/>
        <v>24781.841604323425</v>
      </c>
      <c r="P10" s="868">
        <v>457.11</v>
      </c>
      <c r="Q10" s="525">
        <f t="shared" si="3"/>
        <v>967.65298487713051</v>
      </c>
      <c r="R10" s="625">
        <v>839.16</v>
      </c>
      <c r="S10" s="525">
        <f t="shared" si="4"/>
        <v>13.297622853465047</v>
      </c>
      <c r="T10" s="625">
        <f t="shared" si="5"/>
        <v>16.778487967124747</v>
      </c>
      <c r="U10" s="625">
        <f t="shared" si="6"/>
        <v>322.77918239539639</v>
      </c>
      <c r="V10" s="625">
        <f t="shared" si="7"/>
        <v>8951.5812181595738</v>
      </c>
      <c r="W10" s="625">
        <f t="shared" si="8"/>
        <v>1059.1767843948417</v>
      </c>
      <c r="X10" s="625">
        <f t="shared" si="9"/>
        <v>1211.9699172825835</v>
      </c>
      <c r="Y10" s="625">
        <f t="shared" si="10"/>
        <v>9103.4404379312036</v>
      </c>
      <c r="Z10" s="625">
        <f t="shared" si="11"/>
        <v>1838.8949684621032</v>
      </c>
      <c r="AA10" s="525">
        <f t="shared" si="12"/>
        <v>2481.848395676574</v>
      </c>
      <c r="AB10" s="525">
        <f t="shared" si="13"/>
        <v>84.497427453591442</v>
      </c>
      <c r="AC10" s="525">
        <f t="shared" si="14"/>
        <v>78.924253471927827</v>
      </c>
      <c r="AD10" s="525">
        <f t="shared" si="15"/>
        <v>6.5146797067096278</v>
      </c>
      <c r="AE10" s="525">
        <v>6.99</v>
      </c>
      <c r="AF10" s="525">
        <f t="shared" si="16"/>
        <v>4259.4399999999987</v>
      </c>
      <c r="AG10" s="250"/>
      <c r="AH10" s="250"/>
    </row>
    <row r="11" spans="1:69" x14ac:dyDescent="0.25">
      <c r="A11" s="32">
        <v>5</v>
      </c>
      <c r="B11" s="582"/>
      <c r="C11" s="42" t="s">
        <v>149</v>
      </c>
      <c r="D11" s="705">
        <v>1960</v>
      </c>
      <c r="E11" s="705">
        <v>2</v>
      </c>
      <c r="F11" s="866">
        <v>16</v>
      </c>
      <c r="G11" s="867">
        <v>22</v>
      </c>
      <c r="H11" s="866">
        <v>632.20000000000005</v>
      </c>
      <c r="I11" s="866">
        <v>589.70000000000005</v>
      </c>
      <c r="J11" s="866">
        <v>531.03</v>
      </c>
      <c r="K11" s="625">
        <v>26471.62</v>
      </c>
      <c r="L11" s="625">
        <v>27216.26</v>
      </c>
      <c r="M11" s="625">
        <f t="shared" si="0"/>
        <v>27061.32</v>
      </c>
      <c r="N11" s="625">
        <f t="shared" si="1"/>
        <v>27747.289999999997</v>
      </c>
      <c r="O11" s="625">
        <f t="shared" si="2"/>
        <v>24484.414120518872</v>
      </c>
      <c r="P11" s="868">
        <v>268.85000000000002</v>
      </c>
      <c r="Q11" s="525">
        <f t="shared" si="3"/>
        <v>964.9057051093406</v>
      </c>
      <c r="R11" s="625">
        <v>839.16</v>
      </c>
      <c r="S11" s="525">
        <f t="shared" si="4"/>
        <v>13.259869350095588</v>
      </c>
      <c r="T11" s="625">
        <f t="shared" si="5"/>
        <v>16.73085188141367</v>
      </c>
      <c r="U11" s="625">
        <f t="shared" si="6"/>
        <v>321.86277462203407</v>
      </c>
      <c r="V11" s="625">
        <f t="shared" si="7"/>
        <v>8883.6774294576935</v>
      </c>
      <c r="W11" s="625">
        <f t="shared" si="8"/>
        <v>1056.1696578776325</v>
      </c>
      <c r="X11" s="625">
        <f t="shared" si="9"/>
        <v>1208.5289932272071</v>
      </c>
      <c r="Y11" s="625">
        <f t="shared" si="10"/>
        <v>9077.5947079812431</v>
      </c>
      <c r="Z11" s="625">
        <f t="shared" si="11"/>
        <v>1833.6741310122113</v>
      </c>
      <c r="AA11" s="525">
        <f t="shared" si="12"/>
        <v>2576.9058794811281</v>
      </c>
      <c r="AB11" s="525">
        <f t="shared" si="13"/>
        <v>102.81297480093777</v>
      </c>
      <c r="AC11" s="525">
        <f t="shared" si="14"/>
        <v>90.050873325419687</v>
      </c>
      <c r="AD11" s="525">
        <f t="shared" si="15"/>
        <v>6.4548176000524284</v>
      </c>
      <c r="AE11" s="525">
        <v>6.99</v>
      </c>
      <c r="AF11" s="525">
        <f t="shared" si="16"/>
        <v>-685.96999999999753</v>
      </c>
      <c r="AG11" s="250"/>
      <c r="AH11" s="250"/>
    </row>
    <row r="12" spans="1:69" x14ac:dyDescent="0.25">
      <c r="A12" s="32">
        <v>6</v>
      </c>
      <c r="B12" s="582"/>
      <c r="C12" s="1466" t="s">
        <v>150</v>
      </c>
      <c r="D12" s="1467">
        <v>1966</v>
      </c>
      <c r="E12" s="1467">
        <v>3</v>
      </c>
      <c r="F12" s="716">
        <v>36</v>
      </c>
      <c r="G12" s="1468">
        <v>65</v>
      </c>
      <c r="H12" s="716">
        <v>1460.92</v>
      </c>
      <c r="I12" s="716">
        <v>4801.8900000000003</v>
      </c>
      <c r="J12" s="716">
        <v>4101.66</v>
      </c>
      <c r="K12" s="1328">
        <v>67539.100000000006</v>
      </c>
      <c r="L12" s="1328">
        <v>62299.27</v>
      </c>
      <c r="M12" s="1328">
        <f t="shared" si="0"/>
        <v>72340.990000000005</v>
      </c>
      <c r="N12" s="1328">
        <f t="shared" si="1"/>
        <v>66400.929999999993</v>
      </c>
      <c r="O12" s="1328">
        <f t="shared" si="2"/>
        <v>60614.248084737505</v>
      </c>
      <c r="P12" s="1469">
        <v>3328.86</v>
      </c>
      <c r="Q12" s="652">
        <f t="shared" si="3"/>
        <v>2229.7533101998383</v>
      </c>
      <c r="R12" s="1328">
        <v>1129.24</v>
      </c>
      <c r="S12" s="652">
        <f t="shared" si="4"/>
        <v>30.641582301394568</v>
      </c>
      <c r="T12" s="1328">
        <f t="shared" si="5"/>
        <v>38.662505742794778</v>
      </c>
      <c r="U12" s="1328">
        <f t="shared" si="6"/>
        <v>743.77691347804819</v>
      </c>
      <c r="V12" s="1328">
        <f t="shared" si="7"/>
        <v>22665.616168405493</v>
      </c>
      <c r="W12" s="1328">
        <f t="shared" si="8"/>
        <v>2440.6507064008078</v>
      </c>
      <c r="X12" s="1328">
        <f t="shared" si="9"/>
        <v>2792.7304283225112</v>
      </c>
      <c r="Y12" s="1328">
        <f t="shared" si="10"/>
        <v>20976.968776943937</v>
      </c>
      <c r="Z12" s="1328">
        <f t="shared" si="11"/>
        <v>4237.3476929426752</v>
      </c>
      <c r="AA12" s="652">
        <f t="shared" si="12"/>
        <v>11726.741915262501</v>
      </c>
      <c r="AB12" s="652">
        <f t="shared" si="13"/>
        <v>92.24178290797478</v>
      </c>
      <c r="AC12" s="652">
        <f t="shared" si="14"/>
        <v>85.417616813379723</v>
      </c>
      <c r="AD12" s="652">
        <f t="shared" si="15"/>
        <v>6.9150772669205596</v>
      </c>
      <c r="AE12" s="652">
        <v>7.58</v>
      </c>
      <c r="AF12" s="652">
        <f t="shared" si="16"/>
        <v>5940.0600000000122</v>
      </c>
      <c r="AG12" s="250"/>
      <c r="AH12" s="250"/>
    </row>
    <row r="13" spans="1:69" x14ac:dyDescent="0.25">
      <c r="A13" s="32">
        <v>7</v>
      </c>
      <c r="B13" s="582"/>
      <c r="C13" s="1466" t="s">
        <v>151</v>
      </c>
      <c r="D13" s="1467">
        <v>1966</v>
      </c>
      <c r="E13" s="1467">
        <v>3</v>
      </c>
      <c r="F13" s="716">
        <v>36</v>
      </c>
      <c r="G13" s="1468">
        <v>68</v>
      </c>
      <c r="H13" s="716">
        <v>1486.39</v>
      </c>
      <c r="I13" s="716">
        <v>4957.13</v>
      </c>
      <c r="J13" s="716">
        <v>4102.01</v>
      </c>
      <c r="K13" s="1328">
        <v>67534.86</v>
      </c>
      <c r="L13" s="1328">
        <v>60941.55</v>
      </c>
      <c r="M13" s="1328">
        <f t="shared" si="0"/>
        <v>72491.990000000005</v>
      </c>
      <c r="N13" s="1328">
        <f t="shared" si="1"/>
        <v>65043.560000000005</v>
      </c>
      <c r="O13" s="1328">
        <f t="shared" si="2"/>
        <v>59499.696458193139</v>
      </c>
      <c r="P13" s="1469">
        <v>1836.46</v>
      </c>
      <c r="Q13" s="652">
        <f t="shared" si="3"/>
        <v>2268.6273189140666</v>
      </c>
      <c r="R13" s="1328">
        <v>924.63</v>
      </c>
      <c r="S13" s="652">
        <f t="shared" si="4"/>
        <v>31.175794374072414</v>
      </c>
      <c r="T13" s="1328">
        <f t="shared" si="5"/>
        <v>39.336556355606554</v>
      </c>
      <c r="U13" s="1328">
        <f t="shared" si="6"/>
        <v>756.74408347112501</v>
      </c>
      <c r="V13" s="1328">
        <f t="shared" si="7"/>
        <v>22664.193256158302</v>
      </c>
      <c r="W13" s="1328">
        <f t="shared" si="8"/>
        <v>2483.2015466193202</v>
      </c>
      <c r="X13" s="1328">
        <f t="shared" si="9"/>
        <v>2841.4195037060877</v>
      </c>
      <c r="Y13" s="1328">
        <f t="shared" si="10"/>
        <v>21342.685855735905</v>
      </c>
      <c r="Z13" s="1328">
        <f t="shared" si="11"/>
        <v>4311.2225428586526</v>
      </c>
      <c r="AA13" s="652">
        <f t="shared" si="12"/>
        <v>12992.293541806866</v>
      </c>
      <c r="AB13" s="652">
        <f t="shared" si="13"/>
        <v>90.237175289916948</v>
      </c>
      <c r="AC13" s="652">
        <f t="shared" si="14"/>
        <v>82.749695892583006</v>
      </c>
      <c r="AD13" s="652">
        <f t="shared" si="15"/>
        <v>6.6716111359505392</v>
      </c>
      <c r="AE13" s="652">
        <v>7.58</v>
      </c>
      <c r="AF13" s="652">
        <f t="shared" si="16"/>
        <v>7448.43</v>
      </c>
      <c r="AG13" s="250"/>
      <c r="AH13" s="250"/>
    </row>
    <row r="14" spans="1:69" x14ac:dyDescent="0.25">
      <c r="A14" s="32">
        <v>8</v>
      </c>
      <c r="B14" s="582"/>
      <c r="C14" s="42" t="s">
        <v>152</v>
      </c>
      <c r="D14" s="705">
        <v>1955</v>
      </c>
      <c r="E14" s="690">
        <v>2</v>
      </c>
      <c r="F14" s="706">
        <v>12</v>
      </c>
      <c r="G14" s="869">
        <v>33</v>
      </c>
      <c r="H14" s="706">
        <v>797.5</v>
      </c>
      <c r="I14" s="706">
        <v>826.1</v>
      </c>
      <c r="J14" s="706">
        <v>682.81</v>
      </c>
      <c r="K14" s="625">
        <v>33271.980000000003</v>
      </c>
      <c r="L14" s="625">
        <v>30559.78</v>
      </c>
      <c r="M14" s="625">
        <f t="shared" si="0"/>
        <v>34098.080000000002</v>
      </c>
      <c r="N14" s="625">
        <f t="shared" si="1"/>
        <v>31242.59</v>
      </c>
      <c r="O14" s="625">
        <f t="shared" si="2"/>
        <v>30888.796676430211</v>
      </c>
      <c r="P14" s="870">
        <v>259.82</v>
      </c>
      <c r="Q14" s="525">
        <f t="shared" si="3"/>
        <v>1217.1975637847186</v>
      </c>
      <c r="R14" s="871">
        <v>1181.04</v>
      </c>
      <c r="S14" s="525">
        <f t="shared" si="4"/>
        <v>16.72689940952425</v>
      </c>
      <c r="T14" s="625">
        <f t="shared" si="5"/>
        <v>21.105432419214491</v>
      </c>
      <c r="U14" s="625">
        <f t="shared" si="6"/>
        <v>406.01955514247419</v>
      </c>
      <c r="V14" s="625">
        <f t="shared" si="7"/>
        <v>11165.827318440195</v>
      </c>
      <c r="W14" s="625">
        <f t="shared" si="8"/>
        <v>1332.3241097080224</v>
      </c>
      <c r="X14" s="625">
        <f t="shared" si="9"/>
        <v>1524.520518979275</v>
      </c>
      <c r="Y14" s="625">
        <f t="shared" si="10"/>
        <v>11451.094241719456</v>
      </c>
      <c r="Z14" s="625">
        <f t="shared" si="11"/>
        <v>2313.1210368273305</v>
      </c>
      <c r="AA14" s="525">
        <f t="shared" si="12"/>
        <v>3209.2833235697908</v>
      </c>
      <c r="AB14" s="525">
        <f t="shared" si="13"/>
        <v>91.848396157968352</v>
      </c>
      <c r="AC14" s="525">
        <f t="shared" si="14"/>
        <v>82.654642295121647</v>
      </c>
      <c r="AD14" s="525">
        <f t="shared" si="15"/>
        <v>6.4553389083448716</v>
      </c>
      <c r="AE14" s="525">
        <v>6.97</v>
      </c>
      <c r="AF14" s="525">
        <f t="shared" si="16"/>
        <v>2855.4900000000016</v>
      </c>
      <c r="AG14" s="250"/>
      <c r="AH14" s="250"/>
    </row>
    <row r="15" spans="1:69" x14ac:dyDescent="0.25">
      <c r="A15" s="32">
        <v>9</v>
      </c>
      <c r="B15" s="582"/>
      <c r="C15" s="42" t="s">
        <v>153</v>
      </c>
      <c r="D15" s="705">
        <v>1955</v>
      </c>
      <c r="E15" s="690">
        <v>2</v>
      </c>
      <c r="F15" s="706">
        <v>12</v>
      </c>
      <c r="G15" s="869">
        <v>31</v>
      </c>
      <c r="H15" s="706">
        <v>804</v>
      </c>
      <c r="I15" s="706">
        <v>826.01</v>
      </c>
      <c r="J15" s="706">
        <v>735.82</v>
      </c>
      <c r="K15" s="625">
        <v>33343.14</v>
      </c>
      <c r="L15" s="625">
        <v>31323.32</v>
      </c>
      <c r="M15" s="625">
        <f t="shared" si="0"/>
        <v>34169.15</v>
      </c>
      <c r="N15" s="625">
        <f t="shared" si="1"/>
        <v>32059.14</v>
      </c>
      <c r="O15" s="625">
        <f t="shared" si="2"/>
        <v>32297.245227392923</v>
      </c>
      <c r="P15" s="870">
        <v>1495.38</v>
      </c>
      <c r="Q15" s="525">
        <f t="shared" si="3"/>
        <v>1227.1182962795156</v>
      </c>
      <c r="R15" s="871">
        <v>1181.04</v>
      </c>
      <c r="S15" s="525">
        <f t="shared" si="4"/>
        <v>16.863231505025073</v>
      </c>
      <c r="T15" s="625">
        <f t="shared" si="5"/>
        <v>21.277451617615611</v>
      </c>
      <c r="U15" s="625">
        <f t="shared" si="6"/>
        <v>409.32880543517143</v>
      </c>
      <c r="V15" s="625">
        <f t="shared" si="7"/>
        <v>11189.708081532146</v>
      </c>
      <c r="W15" s="625">
        <f t="shared" si="8"/>
        <v>1343.1831776868339</v>
      </c>
      <c r="X15" s="625">
        <f t="shared" si="9"/>
        <v>1536.9460780681343</v>
      </c>
      <c r="Y15" s="625">
        <f t="shared" si="10"/>
        <v>11544.426044316542</v>
      </c>
      <c r="Z15" s="625">
        <f t="shared" si="11"/>
        <v>2331.9740609519417</v>
      </c>
      <c r="AA15" s="525">
        <f t="shared" si="12"/>
        <v>1871.9047726070785</v>
      </c>
      <c r="AB15" s="525">
        <f t="shared" si="13"/>
        <v>93.942322168817938</v>
      </c>
      <c r="AC15" s="525">
        <f t="shared" si="14"/>
        <v>89.081245989758003</v>
      </c>
      <c r="AD15" s="525">
        <f t="shared" si="15"/>
        <v>6.6951171698575713</v>
      </c>
      <c r="AE15" s="525">
        <v>6.97</v>
      </c>
      <c r="AF15" s="525">
        <f t="shared" si="16"/>
        <v>2110.010000000002</v>
      </c>
      <c r="AG15" s="250"/>
      <c r="AH15" s="250"/>
    </row>
    <row r="16" spans="1:69" x14ac:dyDescent="0.25">
      <c r="A16" s="32">
        <v>10</v>
      </c>
      <c r="B16" s="582"/>
      <c r="C16" s="42" t="s">
        <v>154</v>
      </c>
      <c r="D16" s="705">
        <v>1955</v>
      </c>
      <c r="E16" s="690">
        <v>2</v>
      </c>
      <c r="F16" s="706">
        <v>6</v>
      </c>
      <c r="G16" s="869">
        <v>14</v>
      </c>
      <c r="H16" s="706">
        <v>328.7</v>
      </c>
      <c r="I16" s="706">
        <v>413.03</v>
      </c>
      <c r="J16" s="706">
        <v>381.39</v>
      </c>
      <c r="K16" s="625">
        <v>13844.82</v>
      </c>
      <c r="L16" s="625">
        <v>13290.26</v>
      </c>
      <c r="M16" s="625">
        <f t="shared" si="0"/>
        <v>14257.85</v>
      </c>
      <c r="N16" s="625">
        <f t="shared" si="1"/>
        <v>13671.65</v>
      </c>
      <c r="O16" s="625">
        <f t="shared" si="2"/>
        <v>13962.717121180936</v>
      </c>
      <c r="P16" s="870">
        <v>600.25</v>
      </c>
      <c r="Q16" s="525">
        <f t="shared" si="3"/>
        <v>501.68381092919998</v>
      </c>
      <c r="R16" s="871">
        <v>1181.04</v>
      </c>
      <c r="S16" s="525">
        <f t="shared" si="4"/>
        <v>6.8942091986340071</v>
      </c>
      <c r="T16" s="625">
        <f t="shared" si="5"/>
        <v>8.698878540684392</v>
      </c>
      <c r="U16" s="625">
        <f t="shared" si="6"/>
        <v>167.34624172455329</v>
      </c>
      <c r="V16" s="625">
        <f t="shared" si="7"/>
        <v>4646.2179099316345</v>
      </c>
      <c r="W16" s="625">
        <f t="shared" si="8"/>
        <v>549.13471455928152</v>
      </c>
      <c r="X16" s="625">
        <f t="shared" si="9"/>
        <v>628.35096500123848</v>
      </c>
      <c r="Y16" s="625">
        <f t="shared" si="10"/>
        <v>4719.7174636403579</v>
      </c>
      <c r="Z16" s="625">
        <f t="shared" si="11"/>
        <v>953.38292765535232</v>
      </c>
      <c r="AA16" s="525">
        <f t="shared" si="12"/>
        <v>295.13287881906399</v>
      </c>
      <c r="AB16" s="525">
        <f t="shared" si="13"/>
        <v>95.994458577287389</v>
      </c>
      <c r="AC16" s="525">
        <f t="shared" si="14"/>
        <v>92.339539500762655</v>
      </c>
      <c r="AD16" s="525">
        <f t="shared" si="15"/>
        <v>7.0797673264278158</v>
      </c>
      <c r="AE16" s="525">
        <v>7.02</v>
      </c>
      <c r="AF16" s="525">
        <f t="shared" si="16"/>
        <v>586.20000000000073</v>
      </c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</row>
    <row r="17" spans="1:69" x14ac:dyDescent="0.25">
      <c r="A17" s="32">
        <v>11</v>
      </c>
      <c r="B17" s="582"/>
      <c r="C17" s="1466" t="s">
        <v>155</v>
      </c>
      <c r="D17" s="1467">
        <v>1979</v>
      </c>
      <c r="E17" s="1467">
        <v>5</v>
      </c>
      <c r="F17" s="716">
        <v>81</v>
      </c>
      <c r="G17" s="1468">
        <v>168</v>
      </c>
      <c r="H17" s="716">
        <v>3928.89</v>
      </c>
      <c r="I17" s="716">
        <v>8823.1200000000008</v>
      </c>
      <c r="J17" s="716">
        <v>7384.86</v>
      </c>
      <c r="K17" s="1328">
        <v>174748.46</v>
      </c>
      <c r="L17" s="1328">
        <v>162421.56</v>
      </c>
      <c r="M17" s="1328">
        <f t="shared" si="0"/>
        <v>183571.58</v>
      </c>
      <c r="N17" s="1328">
        <f t="shared" si="1"/>
        <v>169806.41999999998</v>
      </c>
      <c r="O17" s="1328">
        <f t="shared" si="2"/>
        <v>153533.02953621576</v>
      </c>
      <c r="P17" s="1469">
        <v>1985.75</v>
      </c>
      <c r="Q17" s="652">
        <f t="shared" si="3"/>
        <v>5996.5333371512761</v>
      </c>
      <c r="R17" s="1328">
        <v>2836.05</v>
      </c>
      <c r="S17" s="652">
        <f t="shared" si="4"/>
        <v>82.405201029574584</v>
      </c>
      <c r="T17" s="1328">
        <f t="shared" si="5"/>
        <v>103.97607821633557</v>
      </c>
      <c r="U17" s="1328">
        <f t="shared" si="6"/>
        <v>2000.2585203808342</v>
      </c>
      <c r="V17" s="1328">
        <f t="shared" si="7"/>
        <v>58644.274507358845</v>
      </c>
      <c r="W17" s="1328">
        <f t="shared" si="8"/>
        <v>6563.7051678880907</v>
      </c>
      <c r="X17" s="1328">
        <f t="shared" si="9"/>
        <v>7510.5622844043683</v>
      </c>
      <c r="Y17" s="1328">
        <f t="shared" si="10"/>
        <v>56413.905523948779</v>
      </c>
      <c r="Z17" s="1328">
        <f t="shared" si="11"/>
        <v>11395.608915837654</v>
      </c>
      <c r="AA17" s="652">
        <f t="shared" si="12"/>
        <v>30038.550463784224</v>
      </c>
      <c r="AB17" s="652">
        <f t="shared" si="13"/>
        <v>92.945917806657647</v>
      </c>
      <c r="AC17" s="652">
        <f t="shared" si="14"/>
        <v>83.698963631912505</v>
      </c>
      <c r="AD17" s="652">
        <f t="shared" si="15"/>
        <v>6.5129943205424334</v>
      </c>
      <c r="AE17" s="652">
        <v>7.39</v>
      </c>
      <c r="AF17" s="652">
        <f t="shared" si="16"/>
        <v>13765.160000000003</v>
      </c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</row>
    <row r="18" spans="1:69" s="370" customFormat="1" x14ac:dyDescent="0.25">
      <c r="A18" s="33">
        <v>12</v>
      </c>
      <c r="B18" s="594"/>
      <c r="C18" s="407" t="s">
        <v>156</v>
      </c>
      <c r="D18" s="872">
        <v>1957</v>
      </c>
      <c r="E18" s="872">
        <v>1</v>
      </c>
      <c r="F18" s="873">
        <v>4</v>
      </c>
      <c r="G18" s="874">
        <v>8</v>
      </c>
      <c r="H18" s="873">
        <v>118.1</v>
      </c>
      <c r="I18" s="873">
        <v>0</v>
      </c>
      <c r="J18" s="873">
        <v>0</v>
      </c>
      <c r="K18" s="871">
        <v>3255.78</v>
      </c>
      <c r="L18" s="871">
        <v>2150.54</v>
      </c>
      <c r="M18" s="625">
        <f t="shared" si="0"/>
        <v>3255.78</v>
      </c>
      <c r="N18" s="625">
        <f t="shared" si="1"/>
        <v>2150.54</v>
      </c>
      <c r="O18" s="625">
        <f t="shared" si="2"/>
        <v>1761.6602646080137</v>
      </c>
      <c r="P18" s="870"/>
      <c r="Q18" s="525">
        <f t="shared" si="3"/>
        <v>180.25207809777461</v>
      </c>
      <c r="R18" s="871">
        <v>0</v>
      </c>
      <c r="S18" s="525">
        <f t="shared" si="4"/>
        <v>2.4770493044072901</v>
      </c>
      <c r="T18" s="625">
        <f t="shared" si="5"/>
        <v>3.1254565124880642</v>
      </c>
      <c r="U18" s="625">
        <f t="shared" si="6"/>
        <v>60.126532241161378</v>
      </c>
      <c r="V18" s="625">
        <f t="shared" si="7"/>
        <v>1092.6153858841949</v>
      </c>
      <c r="W18" s="625">
        <f t="shared" si="8"/>
        <v>197.30091204578991</v>
      </c>
      <c r="X18" s="625">
        <f t="shared" si="9"/>
        <v>225.76285052219734</v>
      </c>
      <c r="Y18" s="871"/>
      <c r="Z18" s="871"/>
      <c r="AA18" s="525">
        <f t="shared" si="12"/>
        <v>1494.1197353919865</v>
      </c>
      <c r="AB18" s="525">
        <f t="shared" si="13"/>
        <v>66.05298883831216</v>
      </c>
      <c r="AC18" s="525">
        <v>0</v>
      </c>
      <c r="AD18" s="525">
        <f t="shared" si="15"/>
        <v>2.4861138365904796</v>
      </c>
      <c r="AE18" s="890">
        <v>4.76</v>
      </c>
      <c r="AF18" s="525">
        <f t="shared" si="16"/>
        <v>1105.2400000000002</v>
      </c>
      <c r="AG18" s="250"/>
      <c r="AH18" s="250"/>
      <c r="AI18" s="250"/>
      <c r="AJ18" s="250"/>
      <c r="AK18" s="250"/>
      <c r="AL18" s="250"/>
      <c r="AM18" s="250"/>
      <c r="AN18" s="250"/>
      <c r="AO18" s="250"/>
      <c r="AP18" s="250"/>
      <c r="AQ18" s="250"/>
      <c r="AR18" s="250"/>
      <c r="AS18" s="250"/>
      <c r="AT18" s="250"/>
      <c r="AU18" s="250"/>
      <c r="AV18" s="250"/>
      <c r="AW18" s="250"/>
      <c r="AX18" s="250"/>
      <c r="AY18" s="250"/>
      <c r="AZ18" s="250"/>
      <c r="BA18" s="250"/>
      <c r="BB18" s="250"/>
      <c r="BC18" s="250"/>
      <c r="BD18" s="250"/>
      <c r="BE18" s="250"/>
      <c r="BF18" s="250"/>
      <c r="BG18" s="250"/>
      <c r="BH18" s="250"/>
      <c r="BI18" s="250"/>
      <c r="BJ18" s="250"/>
      <c r="BK18" s="250"/>
      <c r="BL18" s="250"/>
      <c r="BM18" s="250"/>
      <c r="BN18" s="250"/>
      <c r="BO18" s="250"/>
      <c r="BP18" s="250"/>
      <c r="BQ18" s="250"/>
    </row>
    <row r="19" spans="1:69" x14ac:dyDescent="0.25">
      <c r="A19" s="32">
        <v>13</v>
      </c>
      <c r="B19" s="582"/>
      <c r="C19" s="42" t="s">
        <v>157</v>
      </c>
      <c r="D19" s="705">
        <v>1955</v>
      </c>
      <c r="E19" s="690">
        <v>2</v>
      </c>
      <c r="F19" s="706">
        <v>15</v>
      </c>
      <c r="G19" s="869">
        <v>33</v>
      </c>
      <c r="H19" s="706">
        <v>796.8</v>
      </c>
      <c r="I19" s="706">
        <v>898.9</v>
      </c>
      <c r="J19" s="706">
        <v>727.56</v>
      </c>
      <c r="K19" s="625">
        <v>33412.14</v>
      </c>
      <c r="L19" s="625">
        <v>28725.29</v>
      </c>
      <c r="M19" s="625">
        <f t="shared" si="0"/>
        <v>34311.040000000001</v>
      </c>
      <c r="N19" s="625">
        <f t="shared" si="1"/>
        <v>29452.850000000002</v>
      </c>
      <c r="O19" s="625">
        <f t="shared" si="2"/>
        <v>31243.256330250144</v>
      </c>
      <c r="P19" s="870">
        <v>474.51</v>
      </c>
      <c r="Q19" s="525">
        <f t="shared" si="3"/>
        <v>1216.1291772083557</v>
      </c>
      <c r="R19" s="871">
        <v>1289.82</v>
      </c>
      <c r="S19" s="525">
        <f t="shared" si="4"/>
        <v>16.712217491547236</v>
      </c>
      <c r="T19" s="625">
        <f t="shared" si="5"/>
        <v>21.086907274771292</v>
      </c>
      <c r="U19" s="625">
        <f t="shared" si="6"/>
        <v>405.66317434172214</v>
      </c>
      <c r="V19" s="625">
        <f t="shared" si="7"/>
        <v>11212.863964800061</v>
      </c>
      <c r="W19" s="625">
        <f t="shared" si="8"/>
        <v>1331.1546716179967</v>
      </c>
      <c r="X19" s="625">
        <f t="shared" si="9"/>
        <v>1523.1823818466285</v>
      </c>
      <c r="Y19" s="625">
        <f t="shared" si="10"/>
        <v>11441.043124516693</v>
      </c>
      <c r="Z19" s="625">
        <f t="shared" si="11"/>
        <v>2311.090711152372</v>
      </c>
      <c r="AA19" s="525">
        <f t="shared" si="12"/>
        <v>3067.7836697498569</v>
      </c>
      <c r="AB19" s="525">
        <f t="shared" si="13"/>
        <v>85.972613547052063</v>
      </c>
      <c r="AC19" s="525">
        <f t="shared" si="14"/>
        <v>80.938925353209484</v>
      </c>
      <c r="AD19" s="525">
        <f t="shared" si="15"/>
        <v>6.5351523448481723</v>
      </c>
      <c r="AE19" s="525">
        <v>6.96</v>
      </c>
      <c r="AF19" s="525">
        <f t="shared" si="16"/>
        <v>4858.1899999999987</v>
      </c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0"/>
      <c r="BM19" s="250"/>
      <c r="BN19" s="250"/>
      <c r="BO19" s="250"/>
      <c r="BP19" s="250"/>
      <c r="BQ19" s="250"/>
    </row>
    <row r="20" spans="1:69" x14ac:dyDescent="0.25">
      <c r="A20" s="32">
        <v>14</v>
      </c>
      <c r="B20" s="582"/>
      <c r="C20" s="42" t="s">
        <v>158</v>
      </c>
      <c r="D20" s="705">
        <v>1955</v>
      </c>
      <c r="E20" s="690">
        <v>2</v>
      </c>
      <c r="F20" s="706">
        <v>12</v>
      </c>
      <c r="G20" s="869">
        <v>29</v>
      </c>
      <c r="H20" s="706">
        <v>842</v>
      </c>
      <c r="I20" s="706">
        <v>935.19</v>
      </c>
      <c r="J20" s="706">
        <v>780.77</v>
      </c>
      <c r="K20" s="625">
        <v>34869.839999999997</v>
      </c>
      <c r="L20" s="625">
        <v>30761.68</v>
      </c>
      <c r="M20" s="625">
        <f t="shared" si="0"/>
        <v>35805.03</v>
      </c>
      <c r="N20" s="625">
        <f t="shared" si="1"/>
        <v>31542.45</v>
      </c>
      <c r="O20" s="625">
        <f t="shared" si="2"/>
        <v>32760.65676630141</v>
      </c>
      <c r="P20" s="870">
        <v>419.92</v>
      </c>
      <c r="Q20" s="525">
        <f t="shared" si="3"/>
        <v>1285.1164247106369</v>
      </c>
      <c r="R20" s="871">
        <v>1336.44</v>
      </c>
      <c r="S20" s="525">
        <f t="shared" si="4"/>
        <v>17.660249909491434</v>
      </c>
      <c r="T20" s="625">
        <f t="shared" si="5"/>
        <v>22.283102315960626</v>
      </c>
      <c r="U20" s="625">
        <f t="shared" si="6"/>
        <v>428.67519176170941</v>
      </c>
      <c r="V20" s="625">
        <f t="shared" si="7"/>
        <v>11702.057168273081</v>
      </c>
      <c r="W20" s="625">
        <f t="shared" si="8"/>
        <v>1406.6669597168088</v>
      </c>
      <c r="X20" s="625">
        <f t="shared" si="9"/>
        <v>1609.587808126081</v>
      </c>
      <c r="Y20" s="625">
        <f t="shared" si="10"/>
        <v>12090.058121037971</v>
      </c>
      <c r="Z20" s="625">
        <f t="shared" si="11"/>
        <v>2442.1917404496703</v>
      </c>
      <c r="AA20" s="525">
        <f t="shared" si="12"/>
        <v>3044.3732336985886</v>
      </c>
      <c r="AB20" s="525">
        <f t="shared" si="13"/>
        <v>88.218586606649197</v>
      </c>
      <c r="AC20" s="525">
        <f t="shared" si="14"/>
        <v>83.487847389300569</v>
      </c>
      <c r="AD20" s="525">
        <f t="shared" si="15"/>
        <v>6.484690571318569</v>
      </c>
      <c r="AE20" s="525">
        <v>6.95</v>
      </c>
      <c r="AF20" s="525">
        <f t="shared" si="16"/>
        <v>4262.5799999999981</v>
      </c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0"/>
      <c r="BI20" s="250"/>
      <c r="BJ20" s="250"/>
      <c r="BK20" s="250"/>
      <c r="BL20" s="250"/>
      <c r="BM20" s="250"/>
      <c r="BN20" s="250"/>
      <c r="BO20" s="250"/>
      <c r="BP20" s="250"/>
      <c r="BQ20" s="250"/>
    </row>
    <row r="21" spans="1:69" x14ac:dyDescent="0.25">
      <c r="A21" s="32">
        <v>15</v>
      </c>
      <c r="B21" s="582"/>
      <c r="C21" s="42" t="s">
        <v>159</v>
      </c>
      <c r="D21" s="705">
        <v>1955</v>
      </c>
      <c r="E21" s="690">
        <v>2</v>
      </c>
      <c r="F21" s="706">
        <v>12</v>
      </c>
      <c r="G21" s="869">
        <v>29</v>
      </c>
      <c r="H21" s="706">
        <v>794.83</v>
      </c>
      <c r="I21" s="706">
        <v>898.75</v>
      </c>
      <c r="J21" s="706">
        <v>677.93</v>
      </c>
      <c r="K21" s="625">
        <v>33123.81</v>
      </c>
      <c r="L21" s="625">
        <v>32498.09</v>
      </c>
      <c r="M21" s="625">
        <f t="shared" si="0"/>
        <v>34022.559999999998</v>
      </c>
      <c r="N21" s="625">
        <f t="shared" si="1"/>
        <v>33176.019999999997</v>
      </c>
      <c r="O21" s="625">
        <f t="shared" si="2"/>
        <v>30906.934119653895</v>
      </c>
      <c r="P21" s="870">
        <v>280.11</v>
      </c>
      <c r="Q21" s="525">
        <f t="shared" si="3"/>
        <v>1213.1224321291636</v>
      </c>
      <c r="R21" s="871">
        <v>1289.82</v>
      </c>
      <c r="S21" s="525">
        <f t="shared" si="4"/>
        <v>16.670898379526221</v>
      </c>
      <c r="T21" s="625">
        <f t="shared" si="5"/>
        <v>21.034772225409721</v>
      </c>
      <c r="U21" s="625">
        <f t="shared" si="6"/>
        <v>404.66021694532009</v>
      </c>
      <c r="V21" s="625">
        <f t="shared" si="7"/>
        <v>11116.102576066181</v>
      </c>
      <c r="W21" s="625">
        <f t="shared" si="8"/>
        <v>1327.8635387074953</v>
      </c>
      <c r="X21" s="625">
        <f t="shared" si="9"/>
        <v>1519.4164816304667</v>
      </c>
      <c r="Y21" s="625">
        <f t="shared" si="10"/>
        <v>11412.756408960346</v>
      </c>
      <c r="Z21" s="625">
        <f t="shared" si="11"/>
        <v>2305.3767946099902</v>
      </c>
      <c r="AA21" s="525">
        <f t="shared" si="12"/>
        <v>3115.6258803461023</v>
      </c>
      <c r="AB21" s="525">
        <f t="shared" si="13"/>
        <v>98.110966099612341</v>
      </c>
      <c r="AC21" s="525">
        <f t="shared" si="14"/>
        <v>75.430319888734346</v>
      </c>
      <c r="AD21" s="525">
        <f t="shared" si="15"/>
        <v>6.4808269524413804</v>
      </c>
      <c r="AE21" s="525">
        <v>6.95</v>
      </c>
      <c r="AF21" s="525">
        <f t="shared" si="16"/>
        <v>846.54000000000087</v>
      </c>
      <c r="AG21" s="250"/>
      <c r="AH21" s="250"/>
    </row>
    <row r="22" spans="1:69" x14ac:dyDescent="0.25">
      <c r="A22" s="32">
        <v>16</v>
      </c>
      <c r="B22" s="582"/>
      <c r="C22" s="42" t="s">
        <v>160</v>
      </c>
      <c r="D22" s="705">
        <v>1955</v>
      </c>
      <c r="E22" s="690">
        <v>2</v>
      </c>
      <c r="F22" s="706">
        <v>12</v>
      </c>
      <c r="G22" s="869">
        <v>31</v>
      </c>
      <c r="H22" s="706">
        <v>836.38</v>
      </c>
      <c r="I22" s="706">
        <v>935.18</v>
      </c>
      <c r="J22" s="706">
        <v>877.85</v>
      </c>
      <c r="K22" s="625">
        <v>34419.42</v>
      </c>
      <c r="L22" s="625">
        <v>33938.07</v>
      </c>
      <c r="M22" s="625">
        <f t="shared" si="0"/>
        <v>35354.6</v>
      </c>
      <c r="N22" s="625">
        <f t="shared" si="1"/>
        <v>34815.919999999998</v>
      </c>
      <c r="O22" s="625">
        <f t="shared" si="2"/>
        <v>32480.664761618034</v>
      </c>
      <c r="P22" s="870">
        <v>419.92</v>
      </c>
      <c r="Q22" s="525">
        <f t="shared" si="3"/>
        <v>1276.5388067689817</v>
      </c>
      <c r="R22" s="871">
        <v>1336.44</v>
      </c>
      <c r="S22" s="525">
        <f t="shared" si="4"/>
        <v>17.542375082304567</v>
      </c>
      <c r="T22" s="625">
        <f t="shared" si="5"/>
        <v>22.134371870573812</v>
      </c>
      <c r="U22" s="625">
        <f t="shared" si="6"/>
        <v>425.81396304710034</v>
      </c>
      <c r="V22" s="625">
        <f t="shared" si="7"/>
        <v>11550.899589410272</v>
      </c>
      <c r="W22" s="625">
        <f t="shared" si="8"/>
        <v>1397.278042479744</v>
      </c>
      <c r="X22" s="625">
        <f t="shared" si="9"/>
        <v>1598.8444785754057</v>
      </c>
      <c r="Y22" s="625">
        <f t="shared" si="10"/>
        <v>12009.362008638644</v>
      </c>
      <c r="Z22" s="625">
        <f t="shared" si="11"/>
        <v>2425.8911257450063</v>
      </c>
      <c r="AA22" s="525">
        <f t="shared" si="12"/>
        <v>2873.9352383819642</v>
      </c>
      <c r="AB22" s="525">
        <f t="shared" si="13"/>
        <v>98.601516237054554</v>
      </c>
      <c r="AC22" s="525">
        <f t="shared" si="14"/>
        <v>93.869629376162891</v>
      </c>
      <c r="AD22" s="525">
        <f t="shared" si="15"/>
        <v>6.4724696034533808</v>
      </c>
      <c r="AE22" s="525">
        <v>6.84</v>
      </c>
      <c r="AF22" s="525">
        <f t="shared" si="16"/>
        <v>538.68000000000029</v>
      </c>
      <c r="AG22" s="250"/>
      <c r="AH22" s="250"/>
    </row>
    <row r="23" spans="1:69" x14ac:dyDescent="0.25">
      <c r="A23" s="32">
        <v>17</v>
      </c>
      <c r="B23" s="583">
        <v>42569</v>
      </c>
      <c r="C23" s="42" t="s">
        <v>161</v>
      </c>
      <c r="D23" s="705">
        <v>1955</v>
      </c>
      <c r="E23" s="690">
        <v>2</v>
      </c>
      <c r="F23" s="706">
        <v>12</v>
      </c>
      <c r="G23" s="869">
        <v>31</v>
      </c>
      <c r="H23" s="706">
        <v>747.9</v>
      </c>
      <c r="I23" s="706">
        <v>898.86</v>
      </c>
      <c r="J23" s="706">
        <v>660.08</v>
      </c>
      <c r="K23" s="625">
        <v>32982.18</v>
      </c>
      <c r="L23" s="625">
        <v>26610.77</v>
      </c>
      <c r="M23" s="625">
        <f t="shared" si="0"/>
        <v>33881.040000000001</v>
      </c>
      <c r="N23" s="625">
        <f t="shared" si="1"/>
        <v>27270.850000000002</v>
      </c>
      <c r="O23" s="625">
        <f t="shared" si="2"/>
        <v>29939.977923875747</v>
      </c>
      <c r="P23" s="870">
        <v>436.52</v>
      </c>
      <c r="Q23" s="525">
        <f t="shared" si="3"/>
        <v>1141.4947435167285</v>
      </c>
      <c r="R23" s="871">
        <v>1289.82</v>
      </c>
      <c r="S23" s="525">
        <f t="shared" si="4"/>
        <v>15.686580650010265</v>
      </c>
      <c r="T23" s="625">
        <f t="shared" si="5"/>
        <v>19.792793612953623</v>
      </c>
      <c r="U23" s="625">
        <f t="shared" si="6"/>
        <v>380.76742983204565</v>
      </c>
      <c r="V23" s="625">
        <f t="shared" si="7"/>
        <v>11068.572608714954</v>
      </c>
      <c r="W23" s="625">
        <f t="shared" si="8"/>
        <v>1249.4610679004766</v>
      </c>
      <c r="X23" s="625">
        <f t="shared" si="9"/>
        <v>1429.7039450089026</v>
      </c>
      <c r="Y23" s="625">
        <f t="shared" si="10"/>
        <v>10738.900794209381</v>
      </c>
      <c r="Z23" s="625">
        <f t="shared" si="11"/>
        <v>2169.257960430295</v>
      </c>
      <c r="AA23" s="525">
        <f t="shared" si="12"/>
        <v>3941.0620761242535</v>
      </c>
      <c r="AB23" s="525">
        <f t="shared" si="13"/>
        <v>80.682265393009203</v>
      </c>
      <c r="AC23" s="525">
        <f t="shared" si="14"/>
        <v>73.435240193133538</v>
      </c>
      <c r="AD23" s="525">
        <f t="shared" si="15"/>
        <v>6.6720100556838586</v>
      </c>
      <c r="AE23" s="525">
        <v>6.97</v>
      </c>
      <c r="AF23" s="525">
        <f t="shared" si="16"/>
        <v>6610.1899999999987</v>
      </c>
      <c r="AG23" s="250"/>
      <c r="AH23" s="250"/>
    </row>
    <row r="24" spans="1:69" x14ac:dyDescent="0.25">
      <c r="A24" s="32">
        <v>18</v>
      </c>
      <c r="B24" s="582"/>
      <c r="C24" s="1466" t="s">
        <v>162</v>
      </c>
      <c r="D24" s="1467">
        <v>1985</v>
      </c>
      <c r="E24" s="1467">
        <v>5</v>
      </c>
      <c r="F24" s="716">
        <v>76</v>
      </c>
      <c r="G24" s="1468">
        <v>158</v>
      </c>
      <c r="H24" s="716">
        <v>4043.22</v>
      </c>
      <c r="I24" s="716">
        <v>11550.53</v>
      </c>
      <c r="J24" s="716">
        <v>10330.209999999999</v>
      </c>
      <c r="K24" s="1328">
        <v>167510.38</v>
      </c>
      <c r="L24" s="1328">
        <v>169233.06</v>
      </c>
      <c r="M24" s="1328">
        <f t="shared" si="0"/>
        <v>179060.91</v>
      </c>
      <c r="N24" s="1328">
        <f t="shared" si="1"/>
        <v>179563.27</v>
      </c>
      <c r="O24" s="1328">
        <f t="shared" si="2"/>
        <v>157582.06646053327</v>
      </c>
      <c r="P24" s="1469">
        <v>2833.32</v>
      </c>
      <c r="Q24" s="652">
        <f t="shared" si="3"/>
        <v>6171.0313904020686</v>
      </c>
      <c r="R24" s="1328">
        <v>5845.63</v>
      </c>
      <c r="S24" s="652">
        <f t="shared" si="4"/>
        <v>84.803177718591385</v>
      </c>
      <c r="T24" s="1328">
        <f t="shared" si="5"/>
        <v>107.00176359375098</v>
      </c>
      <c r="U24" s="1328">
        <f t="shared" si="6"/>
        <v>2058.4656874522311</v>
      </c>
      <c r="V24" s="1328">
        <f t="shared" si="7"/>
        <v>56215.229064404877</v>
      </c>
      <c r="W24" s="1328">
        <f t="shared" si="8"/>
        <v>6754.7078205061698</v>
      </c>
      <c r="X24" s="1328">
        <f t="shared" si="9"/>
        <v>7729.118310655027</v>
      </c>
      <c r="Y24" s="1328">
        <f t="shared" si="10"/>
        <v>58055.540137937227</v>
      </c>
      <c r="Z24" s="1328">
        <f t="shared" si="11"/>
        <v>11727.21910786332</v>
      </c>
      <c r="AA24" s="652">
        <f t="shared" si="12"/>
        <v>21478.843539466732</v>
      </c>
      <c r="AB24" s="652">
        <f t="shared" si="13"/>
        <v>101.02840194141997</v>
      </c>
      <c r="AC24" s="652">
        <f t="shared" si="14"/>
        <v>89.434943677909146</v>
      </c>
      <c r="AD24" s="652">
        <f t="shared" si="15"/>
        <v>6.4957330403545228</v>
      </c>
      <c r="AE24" s="652">
        <v>6.93</v>
      </c>
      <c r="AF24" s="652">
        <f t="shared" si="16"/>
        <v>-502.35999999998603</v>
      </c>
      <c r="AG24" s="250"/>
      <c r="AH24" s="250"/>
    </row>
    <row r="25" spans="1:69" x14ac:dyDescent="0.25">
      <c r="A25" s="32">
        <v>19</v>
      </c>
      <c r="B25" s="583">
        <v>42569</v>
      </c>
      <c r="C25" s="42" t="s">
        <v>163</v>
      </c>
      <c r="D25" s="705">
        <v>1955</v>
      </c>
      <c r="E25" s="690">
        <v>2</v>
      </c>
      <c r="F25" s="706">
        <v>12</v>
      </c>
      <c r="G25" s="869">
        <v>21</v>
      </c>
      <c r="H25" s="706">
        <v>606.29999999999995</v>
      </c>
      <c r="I25" s="706">
        <v>898.82</v>
      </c>
      <c r="J25" s="706">
        <v>583.97</v>
      </c>
      <c r="K25" s="625">
        <v>28011.06</v>
      </c>
      <c r="L25" s="625">
        <v>19580.72</v>
      </c>
      <c r="M25" s="625">
        <f t="shared" si="0"/>
        <v>28909.88</v>
      </c>
      <c r="N25" s="625">
        <f t="shared" si="1"/>
        <v>20164.690000000002</v>
      </c>
      <c r="O25" s="625">
        <f t="shared" si="2"/>
        <v>25052.589931874238</v>
      </c>
      <c r="P25" s="870">
        <v>463.48</v>
      </c>
      <c r="Q25" s="525">
        <f t="shared" si="3"/>
        <v>925.37540178391828</v>
      </c>
      <c r="R25" s="871">
        <v>1289.82</v>
      </c>
      <c r="S25" s="525">
        <f t="shared" si="4"/>
        <v>12.716638384946146</v>
      </c>
      <c r="T25" s="625">
        <f t="shared" si="5"/>
        <v>16.045421537015354</v>
      </c>
      <c r="U25" s="625">
        <f t="shared" si="6"/>
        <v>308.6766849942095</v>
      </c>
      <c r="V25" s="625">
        <f t="shared" si="7"/>
        <v>9400.3019647904148</v>
      </c>
      <c r="W25" s="625">
        <f t="shared" si="8"/>
        <v>1012.9004485466759</v>
      </c>
      <c r="X25" s="625">
        <f t="shared" si="9"/>
        <v>1159.0179193192907</v>
      </c>
      <c r="Y25" s="625">
        <f t="shared" si="10"/>
        <v>8705.703371479005</v>
      </c>
      <c r="Z25" s="625">
        <f t="shared" si="11"/>
        <v>1758.5520810387591</v>
      </c>
      <c r="AA25" s="525">
        <f t="shared" si="12"/>
        <v>3857.2900681257634</v>
      </c>
      <c r="AB25" s="525">
        <f t="shared" si="13"/>
        <v>69.903530962412702</v>
      </c>
      <c r="AC25" s="525">
        <f t="shared" si="14"/>
        <v>64.970739413898229</v>
      </c>
      <c r="AD25" s="525">
        <f t="shared" si="15"/>
        <v>6.8867419681879811</v>
      </c>
      <c r="AE25" s="525">
        <v>7.18</v>
      </c>
      <c r="AF25" s="525">
        <f t="shared" si="16"/>
        <v>8745.1899999999987</v>
      </c>
      <c r="AG25" s="250"/>
      <c r="AH25" s="250"/>
    </row>
    <row r="26" spans="1:69" x14ac:dyDescent="0.25">
      <c r="A26" s="32">
        <v>20</v>
      </c>
      <c r="B26" s="582"/>
      <c r="C26" s="1466" t="s">
        <v>164</v>
      </c>
      <c r="D26" s="1467">
        <v>1989</v>
      </c>
      <c r="E26" s="1467">
        <v>5</v>
      </c>
      <c r="F26" s="716">
        <v>75</v>
      </c>
      <c r="G26" s="1468">
        <v>146</v>
      </c>
      <c r="H26" s="716">
        <v>3492.24</v>
      </c>
      <c r="I26" s="716">
        <v>8018.31</v>
      </c>
      <c r="J26" s="716">
        <v>7137.03</v>
      </c>
      <c r="K26" s="1328">
        <v>142174.69</v>
      </c>
      <c r="L26" s="1328">
        <v>140993.25</v>
      </c>
      <c r="M26" s="1328">
        <f t="shared" si="0"/>
        <v>150193</v>
      </c>
      <c r="N26" s="1328">
        <f t="shared" si="1"/>
        <v>148130.28</v>
      </c>
      <c r="O26" s="1328">
        <f t="shared" si="2"/>
        <v>139583.40156131424</v>
      </c>
      <c r="P26" s="1469">
        <v>8337.7900000000009</v>
      </c>
      <c r="Q26" s="652">
        <f t="shared" si="3"/>
        <v>5330.0890534815617</v>
      </c>
      <c r="R26" s="1328">
        <v>3475.78</v>
      </c>
      <c r="S26" s="652">
        <f t="shared" si="4"/>
        <v>73.246830337199953</v>
      </c>
      <c r="T26" s="1328">
        <f t="shared" si="5"/>
        <v>92.420357757589471</v>
      </c>
      <c r="U26" s="1328">
        <f t="shared" si="6"/>
        <v>1777.9532680260238</v>
      </c>
      <c r="V26" s="1328">
        <f t="shared" si="7"/>
        <v>47712.761236114166</v>
      </c>
      <c r="W26" s="1328">
        <f t="shared" si="8"/>
        <v>5834.2263935883939</v>
      </c>
      <c r="X26" s="1328">
        <f t="shared" si="9"/>
        <v>6675.8514573043049</v>
      </c>
      <c r="Y26" s="1328">
        <f t="shared" si="10"/>
        <v>50144.162200253733</v>
      </c>
      <c r="Z26" s="1328">
        <f t="shared" si="11"/>
        <v>10129.120764451254</v>
      </c>
      <c r="AA26" s="652">
        <f t="shared" si="12"/>
        <v>10609.59843868576</v>
      </c>
      <c r="AB26" s="652">
        <f t="shared" si="13"/>
        <v>99.169022278156532</v>
      </c>
      <c r="AC26" s="652">
        <f t="shared" si="14"/>
        <v>89.009155295816683</v>
      </c>
      <c r="AD26" s="652">
        <f t="shared" si="15"/>
        <v>6.6615983610001157</v>
      </c>
      <c r="AE26" s="652">
        <v>6.91</v>
      </c>
      <c r="AF26" s="652">
        <f t="shared" si="16"/>
        <v>2062.7200000000012</v>
      </c>
      <c r="AG26" s="250"/>
      <c r="AH26" s="250"/>
    </row>
    <row r="27" spans="1:69" x14ac:dyDescent="0.25">
      <c r="A27" s="32">
        <v>21</v>
      </c>
      <c r="B27" s="582"/>
      <c r="C27" s="1466" t="s">
        <v>165</v>
      </c>
      <c r="D27" s="1467">
        <v>1989</v>
      </c>
      <c r="E27" s="1467">
        <v>5</v>
      </c>
      <c r="F27" s="716">
        <v>75</v>
      </c>
      <c r="G27" s="1468">
        <v>137</v>
      </c>
      <c r="H27" s="716">
        <v>3454.59</v>
      </c>
      <c r="I27" s="716">
        <v>7276.35</v>
      </c>
      <c r="J27" s="716">
        <v>6790.93</v>
      </c>
      <c r="K27" s="1328">
        <v>141256.85999999999</v>
      </c>
      <c r="L27" s="1328">
        <v>135563.73000000001</v>
      </c>
      <c r="M27" s="1328">
        <f t="shared" si="0"/>
        <v>148533.21</v>
      </c>
      <c r="N27" s="1328">
        <f t="shared" si="1"/>
        <v>142354.66</v>
      </c>
      <c r="O27" s="1328">
        <f t="shared" si="2"/>
        <v>133229.34573092696</v>
      </c>
      <c r="P27" s="1469">
        <v>6154.07</v>
      </c>
      <c r="Q27" s="652">
        <f t="shared" si="3"/>
        <v>5272.6251183386221</v>
      </c>
      <c r="R27" s="1328">
        <v>476.56</v>
      </c>
      <c r="S27" s="652">
        <f t="shared" si="4"/>
        <v>72.457152891722103</v>
      </c>
      <c r="T27" s="1328">
        <f t="shared" si="5"/>
        <v>91.423969631466065</v>
      </c>
      <c r="U27" s="1328">
        <f t="shared" si="6"/>
        <v>1758.785072099862</v>
      </c>
      <c r="V27" s="1328">
        <f t="shared" si="7"/>
        <v>47404.744361624456</v>
      </c>
      <c r="W27" s="1328">
        <f t="shared" si="8"/>
        <v>5771.3273306034325</v>
      </c>
      <c r="X27" s="1328">
        <f t="shared" si="9"/>
        <v>6603.8787958126823</v>
      </c>
      <c r="Y27" s="1328">
        <f t="shared" si="10"/>
        <v>49603.555682133694</v>
      </c>
      <c r="Z27" s="1328">
        <f t="shared" si="11"/>
        <v>10019.918247791007</v>
      </c>
      <c r="AA27" s="652">
        <f t="shared" si="12"/>
        <v>15303.864269073034</v>
      </c>
      <c r="AB27" s="652">
        <f t="shared" si="13"/>
        <v>95.969661225656594</v>
      </c>
      <c r="AC27" s="652">
        <f t="shared" si="14"/>
        <v>93.328798092450199</v>
      </c>
      <c r="AD27" s="652">
        <f t="shared" si="15"/>
        <v>6.4276487094429413</v>
      </c>
      <c r="AE27" s="652">
        <v>6.81</v>
      </c>
      <c r="AF27" s="652">
        <f t="shared" si="16"/>
        <v>6178.5499999999884</v>
      </c>
      <c r="AG27" s="250"/>
      <c r="AH27" s="250"/>
    </row>
    <row r="28" spans="1:69" x14ac:dyDescent="0.25">
      <c r="A28" s="32">
        <v>22</v>
      </c>
      <c r="B28" s="582"/>
      <c r="C28" s="1466" t="s">
        <v>166</v>
      </c>
      <c r="D28" s="1467">
        <v>1993</v>
      </c>
      <c r="E28" s="1467">
        <v>5</v>
      </c>
      <c r="F28" s="716">
        <v>100</v>
      </c>
      <c r="G28" s="1468">
        <v>227</v>
      </c>
      <c r="H28" s="716">
        <v>6046.32</v>
      </c>
      <c r="I28" s="716">
        <v>27116.47</v>
      </c>
      <c r="J28" s="716">
        <v>24548.880000000001</v>
      </c>
      <c r="K28" s="1328">
        <v>247913.74</v>
      </c>
      <c r="L28" s="1328">
        <v>250215.66</v>
      </c>
      <c r="M28" s="1328">
        <f t="shared" si="0"/>
        <v>275030.20999999996</v>
      </c>
      <c r="N28" s="1328">
        <f t="shared" si="1"/>
        <v>274764.53999999998</v>
      </c>
      <c r="O28" s="1328">
        <f t="shared" si="2"/>
        <v>241835.26731291594</v>
      </c>
      <c r="P28" s="1469">
        <v>1863.51</v>
      </c>
      <c r="Q28" s="652">
        <f t="shared" si="3"/>
        <v>9228.2958919909961</v>
      </c>
      <c r="R28" s="1328">
        <v>18166.259999999998</v>
      </c>
      <c r="S28" s="652">
        <f t="shared" si="4"/>
        <v>126.81653471823782</v>
      </c>
      <c r="T28" s="1328">
        <f t="shared" si="5"/>
        <v>160.01278764256421</v>
      </c>
      <c r="U28" s="1328">
        <f t="shared" si="6"/>
        <v>3078.2748045756043</v>
      </c>
      <c r="V28" s="1328">
        <f t="shared" si="7"/>
        <v>83197.994550029165</v>
      </c>
      <c r="W28" s="1328">
        <f t="shared" si="8"/>
        <v>10101.138446407285</v>
      </c>
      <c r="X28" s="1328">
        <f t="shared" si="9"/>
        <v>11558.29329694642</v>
      </c>
      <c r="Y28" s="1328">
        <f t="shared" si="10"/>
        <v>86817.529950587064</v>
      </c>
      <c r="Z28" s="1328">
        <f t="shared" si="11"/>
        <v>17537.141050018588</v>
      </c>
      <c r="AA28" s="652">
        <f t="shared" si="12"/>
        <v>33194.942687084025</v>
      </c>
      <c r="AB28" s="652">
        <f t="shared" si="13"/>
        <v>100.92851650739487</v>
      </c>
      <c r="AC28" s="652">
        <f t="shared" si="14"/>
        <v>90.531252777371094</v>
      </c>
      <c r="AD28" s="652">
        <f t="shared" si="15"/>
        <v>6.666183378565143</v>
      </c>
      <c r="AE28" s="652">
        <v>6.82</v>
      </c>
      <c r="AF28" s="652">
        <f t="shared" si="16"/>
        <v>265.6699999999837</v>
      </c>
      <c r="AG28" s="250"/>
      <c r="AH28" s="250"/>
    </row>
    <row r="29" spans="1:69" x14ac:dyDescent="0.25">
      <c r="A29" s="32">
        <v>23</v>
      </c>
      <c r="B29" s="582"/>
      <c r="C29" s="1466" t="s">
        <v>167</v>
      </c>
      <c r="D29" s="1467">
        <v>1989</v>
      </c>
      <c r="E29" s="1467">
        <v>5</v>
      </c>
      <c r="F29" s="716">
        <v>76</v>
      </c>
      <c r="G29" s="1468">
        <v>141</v>
      </c>
      <c r="H29" s="716">
        <v>3481.7</v>
      </c>
      <c r="I29" s="716">
        <v>9115.91</v>
      </c>
      <c r="J29" s="716">
        <v>7053.99</v>
      </c>
      <c r="K29" s="1328">
        <v>142715.74</v>
      </c>
      <c r="L29" s="1328">
        <v>124210.57</v>
      </c>
      <c r="M29" s="1328">
        <f t="shared" si="0"/>
        <v>151831.65</v>
      </c>
      <c r="N29" s="1328">
        <f t="shared" si="1"/>
        <v>131264.56</v>
      </c>
      <c r="O29" s="1328">
        <f t="shared" si="2"/>
        <v>145134.52203035945</v>
      </c>
      <c r="P29" s="1469">
        <v>5288.2</v>
      </c>
      <c r="Q29" s="652">
        <f t="shared" si="3"/>
        <v>5314.0022041746133</v>
      </c>
      <c r="R29" s="1328">
        <v>12136.54</v>
      </c>
      <c r="S29" s="652">
        <f t="shared" si="4"/>
        <v>73.025762600803233</v>
      </c>
      <c r="T29" s="1328">
        <f t="shared" si="5"/>
        <v>92.141422011259039</v>
      </c>
      <c r="U29" s="1328">
        <f t="shared" si="6"/>
        <v>1772.5871913975577</v>
      </c>
      <c r="V29" s="1328">
        <f t="shared" si="7"/>
        <v>47894.333564260611</v>
      </c>
      <c r="W29" s="1328">
        <f t="shared" si="8"/>
        <v>5816.617997204291</v>
      </c>
      <c r="X29" s="1328">
        <f t="shared" si="9"/>
        <v>6655.7029353356011</v>
      </c>
      <c r="Y29" s="1328">
        <f t="shared" si="10"/>
        <v>49992.821092657839</v>
      </c>
      <c r="Z29" s="1328">
        <f t="shared" si="11"/>
        <v>10098.549860716885</v>
      </c>
      <c r="AA29" s="652">
        <f t="shared" si="12"/>
        <v>6697.12796964054</v>
      </c>
      <c r="AB29" s="652">
        <f t="shared" si="13"/>
        <v>87.033546545041219</v>
      </c>
      <c r="AC29" s="652">
        <f t="shared" si="14"/>
        <v>77.381084280121243</v>
      </c>
      <c r="AD29" s="652">
        <f t="shared" si="15"/>
        <v>6.9474931800729278</v>
      </c>
      <c r="AE29" s="652">
        <v>6.83</v>
      </c>
      <c r="AF29" s="652">
        <f t="shared" si="16"/>
        <v>20567.089999999997</v>
      </c>
      <c r="AG29" s="250"/>
      <c r="AH29" s="250"/>
    </row>
    <row r="30" spans="1:69" x14ac:dyDescent="0.25">
      <c r="A30" s="33">
        <v>24</v>
      </c>
      <c r="B30" s="594"/>
      <c r="C30" s="407" t="s">
        <v>168</v>
      </c>
      <c r="D30" s="872">
        <v>1957</v>
      </c>
      <c r="E30" s="872">
        <v>1</v>
      </c>
      <c r="F30" s="873">
        <v>4</v>
      </c>
      <c r="G30" s="874">
        <v>11</v>
      </c>
      <c r="H30" s="873">
        <v>132.6</v>
      </c>
      <c r="I30" s="873">
        <v>0</v>
      </c>
      <c r="J30" s="873">
        <v>0</v>
      </c>
      <c r="K30" s="871">
        <v>862.24</v>
      </c>
      <c r="L30" s="871">
        <v>2380.4299999999998</v>
      </c>
      <c r="M30" s="625">
        <f t="shared" si="0"/>
        <v>862.24</v>
      </c>
      <c r="N30" s="625">
        <f t="shared" si="1"/>
        <v>2380.4299999999998</v>
      </c>
      <c r="O30" s="625">
        <f t="shared" si="2"/>
        <v>1040.5496942370012</v>
      </c>
      <c r="P30" s="870"/>
      <c r="Q30" s="525">
        <f t="shared" si="3"/>
        <v>202.38294289386042</v>
      </c>
      <c r="R30" s="871"/>
      <c r="S30" s="525">
        <f t="shared" si="4"/>
        <v>2.7811747482168219</v>
      </c>
      <c r="T30" s="625">
        <f t="shared" si="5"/>
        <v>3.509191647382873</v>
      </c>
      <c r="U30" s="625">
        <f t="shared" si="6"/>
        <v>67.50870597102454</v>
      </c>
      <c r="V30" s="625">
        <f t="shared" si="7"/>
        <v>289.36128679603297</v>
      </c>
      <c r="W30" s="625">
        <f t="shared" si="8"/>
        <v>221.52498676775394</v>
      </c>
      <c r="X30" s="625">
        <f t="shared" si="9"/>
        <v>253.4814054127296</v>
      </c>
      <c r="Y30" s="871"/>
      <c r="Z30" s="871"/>
      <c r="AA30" s="525">
        <f t="shared" si="12"/>
        <v>-178.30969423700117</v>
      </c>
      <c r="AB30" s="525">
        <f t="shared" si="13"/>
        <v>276.07510669883095</v>
      </c>
      <c r="AC30" s="525">
        <v>0</v>
      </c>
      <c r="AD30" s="525">
        <f t="shared" si="15"/>
        <v>1.3078804603280558</v>
      </c>
      <c r="AE30" s="890">
        <v>4.76</v>
      </c>
      <c r="AF30" s="525">
        <f t="shared" si="16"/>
        <v>-1518.1899999999998</v>
      </c>
      <c r="AG30" s="250"/>
      <c r="AH30" s="250"/>
    </row>
    <row r="31" spans="1:69" x14ac:dyDescent="0.25">
      <c r="A31" s="33">
        <v>25</v>
      </c>
      <c r="B31" s="594"/>
      <c r="C31" s="407" t="s">
        <v>169</v>
      </c>
      <c r="D31" s="872">
        <v>1957</v>
      </c>
      <c r="E31" s="872">
        <v>1</v>
      </c>
      <c r="F31" s="873">
        <v>4</v>
      </c>
      <c r="G31" s="874">
        <v>5</v>
      </c>
      <c r="H31" s="873">
        <v>131.19999999999999</v>
      </c>
      <c r="I31" s="873">
        <v>0</v>
      </c>
      <c r="J31" s="873">
        <v>0</v>
      </c>
      <c r="K31" s="871">
        <v>5494.68</v>
      </c>
      <c r="L31" s="871">
        <v>2845.77</v>
      </c>
      <c r="M31" s="625">
        <f t="shared" si="0"/>
        <v>5494.68</v>
      </c>
      <c r="N31" s="625">
        <f t="shared" si="1"/>
        <v>2845.77</v>
      </c>
      <c r="O31" s="625">
        <f t="shared" si="2"/>
        <v>2587.2307671678932</v>
      </c>
      <c r="P31" s="870"/>
      <c r="Q31" s="525">
        <f t="shared" si="3"/>
        <v>200.24616974113488</v>
      </c>
      <c r="R31" s="871"/>
      <c r="S31" s="525">
        <f t="shared" si="4"/>
        <v>2.7518109122627981</v>
      </c>
      <c r="T31" s="625">
        <f t="shared" si="5"/>
        <v>3.4721413584964775</v>
      </c>
      <c r="U31" s="625">
        <f t="shared" si="6"/>
        <v>66.795944369520512</v>
      </c>
      <c r="V31" s="625">
        <f t="shared" si="7"/>
        <v>1843.973459051339</v>
      </c>
      <c r="W31" s="625">
        <f t="shared" si="8"/>
        <v>219.18611058770225</v>
      </c>
      <c r="X31" s="625">
        <f t="shared" si="9"/>
        <v>250.80513114743681</v>
      </c>
      <c r="Y31" s="871"/>
      <c r="Z31" s="871"/>
      <c r="AA31" s="525">
        <f t="shared" si="12"/>
        <v>2907.4492328321071</v>
      </c>
      <c r="AB31" s="525">
        <f t="shared" si="13"/>
        <v>51.791369106117187</v>
      </c>
      <c r="AC31" s="525">
        <v>0</v>
      </c>
      <c r="AD31" s="525">
        <f t="shared" si="15"/>
        <v>3.2866244501624666</v>
      </c>
      <c r="AE31" s="890">
        <v>4.76</v>
      </c>
      <c r="AF31" s="525">
        <f t="shared" si="16"/>
        <v>2648.9100000000003</v>
      </c>
      <c r="AG31" s="250"/>
      <c r="AH31" s="250"/>
    </row>
    <row r="32" spans="1:69" x14ac:dyDescent="0.25">
      <c r="A32" s="33">
        <v>26</v>
      </c>
      <c r="B32" s="594"/>
      <c r="C32" s="407" t="s">
        <v>170</v>
      </c>
      <c r="D32" s="872">
        <v>1957</v>
      </c>
      <c r="E32" s="872">
        <v>1</v>
      </c>
      <c r="F32" s="873">
        <v>4</v>
      </c>
      <c r="G32" s="874">
        <v>3</v>
      </c>
      <c r="H32" s="873">
        <v>123</v>
      </c>
      <c r="I32" s="873">
        <v>0</v>
      </c>
      <c r="J32" s="873">
        <v>0</v>
      </c>
      <c r="K32" s="871">
        <v>3512.82</v>
      </c>
      <c r="L32" s="871">
        <v>3077.01</v>
      </c>
      <c r="M32" s="625">
        <f t="shared" si="0"/>
        <v>3512.82</v>
      </c>
      <c r="N32" s="625">
        <f t="shared" si="1"/>
        <v>3077.01</v>
      </c>
      <c r="O32" s="625">
        <f t="shared" si="2"/>
        <v>1875.6798113041111</v>
      </c>
      <c r="P32" s="870"/>
      <c r="Q32" s="525">
        <f t="shared" si="3"/>
        <v>187.73078413231397</v>
      </c>
      <c r="R32" s="871"/>
      <c r="S32" s="525">
        <f t="shared" si="4"/>
        <v>2.5798227302463732</v>
      </c>
      <c r="T32" s="625">
        <f t="shared" si="5"/>
        <v>3.255132523590448</v>
      </c>
      <c r="U32" s="625">
        <f t="shared" si="6"/>
        <v>62.621197846425481</v>
      </c>
      <c r="V32" s="625">
        <f t="shared" si="7"/>
        <v>1178.876084944842</v>
      </c>
      <c r="W32" s="625">
        <f t="shared" si="8"/>
        <v>205.48697867597087</v>
      </c>
      <c r="X32" s="625">
        <f t="shared" si="9"/>
        <v>235.12981045072203</v>
      </c>
      <c r="Y32" s="871"/>
      <c r="Z32" s="871"/>
      <c r="AA32" s="525">
        <f t="shared" si="12"/>
        <v>1637.140188695889</v>
      </c>
      <c r="AB32" s="525">
        <f t="shared" si="13"/>
        <v>87.593728115872722</v>
      </c>
      <c r="AC32" s="525">
        <v>0</v>
      </c>
      <c r="AD32" s="525">
        <f t="shared" si="15"/>
        <v>2.5415715600326707</v>
      </c>
      <c r="AE32" s="890">
        <v>4.76</v>
      </c>
      <c r="AF32" s="525">
        <f t="shared" si="16"/>
        <v>435.80999999999995</v>
      </c>
      <c r="AG32" s="250"/>
      <c r="AH32" s="250"/>
    </row>
    <row r="33" spans="1:34" x14ac:dyDescent="0.25">
      <c r="A33" s="33">
        <v>27</v>
      </c>
      <c r="B33" s="594"/>
      <c r="C33" s="407" t="s">
        <v>171</v>
      </c>
      <c r="D33" s="872">
        <v>1957</v>
      </c>
      <c r="E33" s="872">
        <v>1</v>
      </c>
      <c r="F33" s="873">
        <v>4</v>
      </c>
      <c r="G33" s="874">
        <v>8</v>
      </c>
      <c r="H33" s="873">
        <v>141.5</v>
      </c>
      <c r="I33" s="873">
        <v>0</v>
      </c>
      <c r="J33" s="873">
        <v>0</v>
      </c>
      <c r="K33" s="871">
        <v>4041.24</v>
      </c>
      <c r="L33" s="871">
        <v>3701</v>
      </c>
      <c r="M33" s="625">
        <f t="shared" si="0"/>
        <v>4041.24</v>
      </c>
      <c r="N33" s="625">
        <f t="shared" si="1"/>
        <v>3701</v>
      </c>
      <c r="O33" s="625">
        <f t="shared" si="2"/>
        <v>2157.8174185361886</v>
      </c>
      <c r="P33" s="870"/>
      <c r="Q33" s="525">
        <f t="shared" si="3"/>
        <v>215.96671507904412</v>
      </c>
      <c r="R33" s="871"/>
      <c r="S33" s="525">
        <f t="shared" si="4"/>
        <v>2.9678448482102588</v>
      </c>
      <c r="T33" s="625">
        <f t="shared" si="5"/>
        <v>3.7447256267321007</v>
      </c>
      <c r="U33" s="625">
        <f t="shared" si="6"/>
        <v>72.039833294871599</v>
      </c>
      <c r="V33" s="625">
        <f t="shared" si="7"/>
        <v>1356.2098796757284</v>
      </c>
      <c r="W33" s="625">
        <f t="shared" si="8"/>
        <v>236.39355676951121</v>
      </c>
      <c r="X33" s="625">
        <f t="shared" si="9"/>
        <v>270.49486324209079</v>
      </c>
      <c r="Y33" s="871"/>
      <c r="Z33" s="871"/>
      <c r="AA33" s="525">
        <f t="shared" si="12"/>
        <v>1883.4225814638112</v>
      </c>
      <c r="AB33" s="525">
        <f t="shared" si="13"/>
        <v>91.580801932080263</v>
      </c>
      <c r="AC33" s="525">
        <v>0</v>
      </c>
      <c r="AD33" s="525">
        <f t="shared" si="15"/>
        <v>2.541598843976665</v>
      </c>
      <c r="AE33" s="890">
        <v>4.76</v>
      </c>
      <c r="AF33" s="525">
        <f t="shared" si="16"/>
        <v>340.23999999999978</v>
      </c>
      <c r="AG33" s="250"/>
      <c r="AH33" s="250"/>
    </row>
    <row r="34" spans="1:34" x14ac:dyDescent="0.25">
      <c r="A34" s="162"/>
      <c r="B34" s="162"/>
      <c r="C34" s="152" t="s">
        <v>52</v>
      </c>
      <c r="D34" s="876"/>
      <c r="E34" s="876"/>
      <c r="F34" s="692">
        <f>SUM(F7:F33)</f>
        <v>760</v>
      </c>
      <c r="G34" s="692">
        <f>SUM(G7:G33)</f>
        <v>1535</v>
      </c>
      <c r="H34" s="692">
        <f t="shared" ref="H34:R34" si="17">SUM(H7:H33)</f>
        <v>37786.479999999989</v>
      </c>
      <c r="I34" s="692">
        <f>SUM(I7:I33)</f>
        <v>92138.91</v>
      </c>
      <c r="J34" s="692">
        <f>SUM(J7:J33)</f>
        <v>79913.600000000006</v>
      </c>
      <c r="K34" s="877">
        <f t="shared" si="17"/>
        <v>1579795.98</v>
      </c>
      <c r="L34" s="877">
        <f t="shared" si="17"/>
        <v>1489711.4999999998</v>
      </c>
      <c r="M34" s="877">
        <f t="shared" si="17"/>
        <v>1671934.8900000001</v>
      </c>
      <c r="N34" s="877">
        <f t="shared" si="17"/>
        <v>1569625.1</v>
      </c>
      <c r="O34" s="56">
        <f t="shared" si="17"/>
        <v>1485155.16142</v>
      </c>
      <c r="P34" s="877">
        <f t="shared" si="17"/>
        <v>39338.840000000004</v>
      </c>
      <c r="Q34" s="878">
        <f t="shared" si="17"/>
        <v>57672.239999999983</v>
      </c>
      <c r="R34" s="877">
        <f t="shared" si="17"/>
        <v>60577.310000000005</v>
      </c>
      <c r="S34" s="877">
        <f>SUM(S7:S33)</f>
        <v>792.53999999999974</v>
      </c>
      <c r="T34" s="56">
        <f t="shared" ref="T34:Z34" si="18">SUM(T7:T33)</f>
        <v>1000</v>
      </c>
      <c r="U34" s="56">
        <f t="shared" si="18"/>
        <v>19237.679999999997</v>
      </c>
      <c r="V34" s="56">
        <f t="shared" si="18"/>
        <v>530167.70000000007</v>
      </c>
      <c r="W34" s="56">
        <f t="shared" si="18"/>
        <v>63127.069999999992</v>
      </c>
      <c r="X34" s="56">
        <f t="shared" si="18"/>
        <v>72233.56</v>
      </c>
      <c r="Y34" s="877">
        <f t="shared" si="18"/>
        <v>533284.71</v>
      </c>
      <c r="Z34" s="877">
        <f t="shared" si="18"/>
        <v>107723.51142</v>
      </c>
      <c r="AA34" s="762">
        <f>SUM(AA7:AA33)</f>
        <v>186779.72858000011</v>
      </c>
      <c r="AB34" s="1026">
        <f t="shared" si="13"/>
        <v>94.297714316249852</v>
      </c>
      <c r="AC34" s="762">
        <f t="shared" si="14"/>
        <v>86.7316533264828</v>
      </c>
      <c r="AD34" s="762">
        <f>O34/H34/6</f>
        <v>6.5506461633014439</v>
      </c>
      <c r="AE34" s="811"/>
      <c r="AF34" s="762">
        <f t="shared" si="16"/>
        <v>102309.79000000004</v>
      </c>
      <c r="AG34" s="250"/>
      <c r="AH34" s="250"/>
    </row>
    <row r="35" spans="1:34" x14ac:dyDescent="0.25">
      <c r="A35" s="15"/>
      <c r="B35" s="15"/>
      <c r="C35" s="507" t="s">
        <v>540</v>
      </c>
      <c r="D35" s="661"/>
      <c r="E35" s="661"/>
      <c r="F35" s="661"/>
      <c r="G35" s="661"/>
      <c r="H35" s="661"/>
      <c r="I35" s="661"/>
      <c r="J35" s="661"/>
      <c r="K35" s="864">
        <v>7620.72</v>
      </c>
      <c r="L35" s="864">
        <v>4426.88</v>
      </c>
      <c r="M35" s="864"/>
      <c r="N35" s="864"/>
      <c r="O35" s="879"/>
      <c r="P35" s="880">
        <f>P34+Q34</f>
        <v>97011.079999999987</v>
      </c>
      <c r="Q35" s="881"/>
      <c r="R35" s="882"/>
      <c r="S35" s="661" t="s">
        <v>180</v>
      </c>
      <c r="T35" s="661" t="s">
        <v>180</v>
      </c>
      <c r="U35" s="661" t="s">
        <v>180</v>
      </c>
      <c r="V35" s="661" t="s">
        <v>180</v>
      </c>
      <c r="W35" s="736" t="s">
        <v>180</v>
      </c>
      <c r="X35" s="736"/>
      <c r="Y35" s="883">
        <f>Y34+Z34</f>
        <v>641008.22141999996</v>
      </c>
      <c r="Z35" s="661"/>
      <c r="AA35" s="881"/>
      <c r="AB35" s="736"/>
      <c r="AC35" s="736"/>
      <c r="AD35" s="661"/>
      <c r="AE35" s="661"/>
      <c r="AF35" s="661"/>
      <c r="AG35" s="250"/>
      <c r="AH35" s="250"/>
    </row>
    <row r="36" spans="1:34" ht="15" customHeight="1" x14ac:dyDescent="0.25">
      <c r="A36" s="15"/>
      <c r="B36" s="15"/>
      <c r="C36" s="507" t="s">
        <v>539</v>
      </c>
      <c r="D36" s="661"/>
      <c r="E36" s="661"/>
      <c r="F36" s="661"/>
      <c r="G36" s="661"/>
      <c r="H36" s="881"/>
      <c r="I36" s="881"/>
      <c r="J36" s="881"/>
      <c r="K36" s="864">
        <f>K34+K35</f>
        <v>1587416.7</v>
      </c>
      <c r="L36" s="864">
        <f t="shared" ref="L36:N36" si="19">L34+L35</f>
        <v>1494138.3799999997</v>
      </c>
      <c r="M36" s="864">
        <f t="shared" si="19"/>
        <v>1671934.8900000001</v>
      </c>
      <c r="N36" s="864">
        <f t="shared" si="19"/>
        <v>1569625.1</v>
      </c>
      <c r="O36" s="864"/>
      <c r="P36" s="864"/>
      <c r="Q36" s="864"/>
      <c r="R36" s="864"/>
      <c r="S36" s="661"/>
      <c r="T36" s="661"/>
      <c r="U36" s="661"/>
      <c r="V36" s="661"/>
      <c r="W36" s="661"/>
      <c r="X36" s="661"/>
      <c r="Y36" s="661"/>
      <c r="Z36" s="661"/>
      <c r="AA36" s="661"/>
      <c r="AB36" s="661"/>
      <c r="AC36" s="661"/>
      <c r="AD36" s="661"/>
      <c r="AE36" s="661"/>
      <c r="AF36" s="661"/>
      <c r="AG36" s="250"/>
      <c r="AH36" s="250"/>
    </row>
    <row r="37" spans="1:34" ht="18.75" customHeight="1" x14ac:dyDescent="0.3">
      <c r="C37" s="353" t="s">
        <v>422</v>
      </c>
      <c r="D37" s="1204"/>
      <c r="E37" s="1204"/>
      <c r="F37" s="1204"/>
      <c r="G37" s="1204"/>
      <c r="H37" s="1204"/>
      <c r="I37" s="1204"/>
      <c r="J37" s="1204"/>
      <c r="K37" s="1204"/>
      <c r="L37" s="1204"/>
      <c r="M37" s="1204"/>
      <c r="N37" s="1204"/>
      <c r="O37" s="1204"/>
      <c r="P37" s="1204"/>
      <c r="Q37" s="1204"/>
      <c r="R37" s="1204"/>
      <c r="S37" s="1204"/>
      <c r="T37" s="1204"/>
      <c r="U37" s="1204"/>
      <c r="V37" s="850"/>
      <c r="W37" s="850"/>
      <c r="X37" s="850"/>
      <c r="Y37" s="850"/>
      <c r="Z37" s="850"/>
      <c r="AA37" s="851"/>
      <c r="AB37" s="375"/>
      <c r="AC37" s="375"/>
      <c r="AD37" s="375"/>
      <c r="AE37" s="375"/>
      <c r="AF37" s="375"/>
      <c r="AG37" s="250"/>
      <c r="AH37" s="250"/>
    </row>
    <row r="38" spans="1:34" ht="15.75" customHeight="1" x14ac:dyDescent="0.25">
      <c r="D38" s="2091" t="s">
        <v>631</v>
      </c>
      <c r="E38" s="2091"/>
      <c r="F38" s="2091"/>
      <c r="G38" s="2091"/>
      <c r="H38" s="2091"/>
      <c r="I38" s="2091"/>
      <c r="J38" s="2091"/>
      <c r="K38" s="2091"/>
      <c r="L38" s="2091"/>
      <c r="M38" s="2091"/>
      <c r="N38" s="2091"/>
      <c r="O38" s="2091"/>
      <c r="P38" s="2091"/>
      <c r="Q38" s="2091"/>
      <c r="R38" s="2091"/>
      <c r="S38" s="2091"/>
      <c r="T38" s="2091"/>
      <c r="U38" s="2091"/>
      <c r="V38" s="852"/>
      <c r="W38" s="852"/>
      <c r="X38" s="852"/>
      <c r="Y38" s="852"/>
      <c r="Z38" s="852"/>
      <c r="AA38" s="851"/>
      <c r="AB38" s="375"/>
      <c r="AC38" s="375"/>
      <c r="AD38" s="375"/>
      <c r="AE38" s="375"/>
      <c r="AF38" s="375"/>
      <c r="AG38" s="250"/>
      <c r="AH38" s="250"/>
    </row>
    <row r="39" spans="1:34" x14ac:dyDescent="0.25"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  <c r="R39" s="375"/>
      <c r="S39" s="375"/>
      <c r="T39" s="375"/>
      <c r="U39" s="375"/>
      <c r="V39" s="375"/>
      <c r="W39" s="375"/>
      <c r="X39" s="349"/>
      <c r="Y39" s="349"/>
      <c r="Z39" s="349"/>
      <c r="AA39" s="790"/>
      <c r="AB39" s="349"/>
      <c r="AC39" s="349"/>
      <c r="AD39" s="349"/>
      <c r="AE39" s="349"/>
      <c r="AF39" s="349"/>
      <c r="AG39" s="250"/>
      <c r="AH39" s="250"/>
    </row>
    <row r="40" spans="1:34" ht="26.25" customHeight="1" x14ac:dyDescent="0.25">
      <c r="A40" s="2083" t="s">
        <v>0</v>
      </c>
      <c r="B40" s="2014"/>
      <c r="C40" s="2083" t="s">
        <v>184</v>
      </c>
      <c r="D40" s="2084" t="s">
        <v>54</v>
      </c>
      <c r="E40" s="2085" t="s">
        <v>55</v>
      </c>
      <c r="F40" s="2084" t="s">
        <v>56</v>
      </c>
      <c r="G40" s="2084" t="s">
        <v>57</v>
      </c>
      <c r="H40" s="2085" t="s">
        <v>6</v>
      </c>
      <c r="I40" s="949"/>
      <c r="J40" s="949"/>
      <c r="K40" s="2087" t="s">
        <v>284</v>
      </c>
      <c r="L40" s="2088"/>
      <c r="M40" s="943"/>
      <c r="N40" s="943"/>
      <c r="O40" s="2074" t="s">
        <v>181</v>
      </c>
      <c r="P40" s="2093" t="s">
        <v>332</v>
      </c>
      <c r="Q40" s="2103" t="s">
        <v>314</v>
      </c>
      <c r="R40" s="2103" t="s">
        <v>372</v>
      </c>
      <c r="S40" s="2105" t="s">
        <v>423</v>
      </c>
      <c r="T40" s="2074" t="s">
        <v>175</v>
      </c>
      <c r="U40" s="2074" t="s">
        <v>176</v>
      </c>
      <c r="V40" s="2080" t="s">
        <v>182</v>
      </c>
      <c r="W40" s="2100" t="s">
        <v>544</v>
      </c>
      <c r="X40" s="2072" t="s">
        <v>566</v>
      </c>
      <c r="Y40" s="884"/>
      <c r="Z40" s="884"/>
      <c r="AA40" s="1202"/>
      <c r="AB40" s="1205"/>
      <c r="AC40" s="1205"/>
      <c r="AD40" s="1206"/>
      <c r="AE40" s="1207"/>
      <c r="AF40" s="349"/>
      <c r="AG40" s="250"/>
      <c r="AH40" s="250"/>
    </row>
    <row r="41" spans="1:34" ht="39.75" customHeight="1" x14ac:dyDescent="0.25">
      <c r="A41" s="2083"/>
      <c r="B41" s="2015"/>
      <c r="C41" s="2083"/>
      <c r="D41" s="2084"/>
      <c r="E41" s="2086"/>
      <c r="F41" s="2084"/>
      <c r="G41" s="2084"/>
      <c r="H41" s="2086"/>
      <c r="I41" s="950"/>
      <c r="J41" s="950"/>
      <c r="K41" s="767" t="s">
        <v>15</v>
      </c>
      <c r="L41" s="1208" t="s">
        <v>286</v>
      </c>
      <c r="M41" s="944"/>
      <c r="N41" s="944"/>
      <c r="O41" s="2075"/>
      <c r="P41" s="2093"/>
      <c r="Q41" s="2104"/>
      <c r="R41" s="2104"/>
      <c r="S41" s="2106"/>
      <c r="T41" s="2075"/>
      <c r="U41" s="2075"/>
      <c r="V41" s="2079"/>
      <c r="W41" s="2101"/>
      <c r="X41" s="2073"/>
      <c r="Y41" s="884"/>
      <c r="Z41" s="888"/>
      <c r="AA41" s="1202"/>
      <c r="AB41" s="1205"/>
      <c r="AC41" s="1205"/>
      <c r="AD41" s="1206"/>
      <c r="AE41" s="1207"/>
      <c r="AF41" s="349"/>
      <c r="AG41" s="250"/>
      <c r="AH41" s="250"/>
    </row>
    <row r="42" spans="1:34" x14ac:dyDescent="0.25">
      <c r="A42" s="32">
        <v>1</v>
      </c>
      <c r="B42" s="32"/>
      <c r="C42" s="42" t="s">
        <v>145</v>
      </c>
      <c r="D42" s="705">
        <v>1960</v>
      </c>
      <c r="E42" s="705">
        <v>2</v>
      </c>
      <c r="F42" s="866">
        <v>16</v>
      </c>
      <c r="G42" s="867">
        <v>35</v>
      </c>
      <c r="H42" s="770">
        <v>639.20000000000005</v>
      </c>
      <c r="I42" s="951"/>
      <c r="J42" s="951"/>
      <c r="K42" s="524">
        <v>15290.4</v>
      </c>
      <c r="L42" s="524">
        <v>14766.75</v>
      </c>
      <c r="M42" s="945"/>
      <c r="N42" s="945"/>
      <c r="O42" s="524">
        <f>P42+Q42+R42+S42</f>
        <v>0</v>
      </c>
      <c r="P42" s="541"/>
      <c r="Q42" s="889"/>
      <c r="R42" s="591"/>
      <c r="S42" s="890"/>
      <c r="T42" s="591">
        <f>K42-O42</f>
        <v>15290.4</v>
      </c>
      <c r="U42" s="591">
        <f>L42/K42*100</f>
        <v>96.575302150368856</v>
      </c>
      <c r="V42" s="891">
        <f>O42/H42/6</f>
        <v>0</v>
      </c>
      <c r="W42" s="678">
        <v>4</v>
      </c>
      <c r="X42" s="591">
        <f>K42-L42</f>
        <v>523.64999999999964</v>
      </c>
      <c r="Y42" s="871"/>
      <c r="Z42" s="871"/>
      <c r="AA42" s="736"/>
      <c r="AB42" s="350"/>
      <c r="AC42" s="350"/>
      <c r="AD42" s="350"/>
      <c r="AE42" s="350"/>
      <c r="AF42" s="349"/>
      <c r="AG42" s="250"/>
      <c r="AH42" s="250"/>
    </row>
    <row r="43" spans="1:34" x14ac:dyDescent="0.25">
      <c r="A43" s="32">
        <v>2</v>
      </c>
      <c r="B43" s="32"/>
      <c r="C43" s="42" t="s">
        <v>146</v>
      </c>
      <c r="D43" s="705">
        <v>1960</v>
      </c>
      <c r="E43" s="705">
        <v>2</v>
      </c>
      <c r="F43" s="866">
        <v>16</v>
      </c>
      <c r="G43" s="867">
        <v>27</v>
      </c>
      <c r="H43" s="770">
        <v>647.29999999999995</v>
      </c>
      <c r="I43" s="951"/>
      <c r="J43" s="951"/>
      <c r="K43" s="524">
        <v>15547.2</v>
      </c>
      <c r="L43" s="524">
        <v>11663.16</v>
      </c>
      <c r="M43" s="945"/>
      <c r="N43" s="945"/>
      <c r="O43" s="524">
        <f t="shared" ref="O43:O68" si="20">P43+Q43+R43+S43</f>
        <v>0</v>
      </c>
      <c r="P43" s="541"/>
      <c r="Q43" s="889"/>
      <c r="R43" s="591"/>
      <c r="S43" s="890"/>
      <c r="T43" s="591">
        <f t="shared" ref="T43:T68" si="21">K43-O43</f>
        <v>15547.2</v>
      </c>
      <c r="U43" s="591">
        <f t="shared" ref="U43:U68" si="22">L43/K43*100</f>
        <v>75.017752392713803</v>
      </c>
      <c r="V43" s="891">
        <f t="shared" ref="V43:V68" si="23">O43/H43/6</f>
        <v>0</v>
      </c>
      <c r="W43" s="678">
        <v>4</v>
      </c>
      <c r="X43" s="591">
        <f t="shared" ref="X43:X67" si="24">K43-L43</f>
        <v>3884.0400000000009</v>
      </c>
      <c r="Y43" s="871"/>
      <c r="Z43" s="871"/>
      <c r="AA43" s="736"/>
      <c r="AB43" s="350"/>
      <c r="AC43" s="350"/>
      <c r="AD43" s="350"/>
      <c r="AE43" s="350"/>
      <c r="AF43" s="349"/>
      <c r="AG43" s="250"/>
      <c r="AH43" s="250"/>
    </row>
    <row r="44" spans="1:34" x14ac:dyDescent="0.25">
      <c r="A44" s="32">
        <v>3</v>
      </c>
      <c r="B44" s="32"/>
      <c r="C44" s="42" t="s">
        <v>147</v>
      </c>
      <c r="D44" s="705">
        <v>1960</v>
      </c>
      <c r="E44" s="705">
        <v>2</v>
      </c>
      <c r="F44" s="866">
        <v>16</v>
      </c>
      <c r="G44" s="867">
        <v>27</v>
      </c>
      <c r="H44" s="770">
        <v>640.79999999999995</v>
      </c>
      <c r="I44" s="951"/>
      <c r="J44" s="951"/>
      <c r="K44" s="524">
        <v>18922.2</v>
      </c>
      <c r="L44" s="524">
        <v>18566.78</v>
      </c>
      <c r="M44" s="945"/>
      <c r="N44" s="945"/>
      <c r="O44" s="524">
        <f t="shared" si="20"/>
        <v>0</v>
      </c>
      <c r="P44" s="541"/>
      <c r="Q44" s="889"/>
      <c r="R44" s="591"/>
      <c r="S44" s="890"/>
      <c r="T44" s="591">
        <f t="shared" si="21"/>
        <v>18922.2</v>
      </c>
      <c r="U44" s="591">
        <f t="shared" si="22"/>
        <v>98.121677183414178</v>
      </c>
      <c r="V44" s="891">
        <f t="shared" si="23"/>
        <v>0</v>
      </c>
      <c r="W44" s="678">
        <v>4.92</v>
      </c>
      <c r="X44" s="591">
        <f t="shared" si="24"/>
        <v>355.42000000000189</v>
      </c>
      <c r="Y44" s="871"/>
      <c r="Z44" s="871"/>
      <c r="AA44" s="736"/>
      <c r="AB44" s="350"/>
      <c r="AC44" s="350"/>
      <c r="AD44" s="350"/>
      <c r="AE44" s="350"/>
      <c r="AF44" s="349"/>
      <c r="AG44" s="250"/>
      <c r="AH44" s="250"/>
    </row>
    <row r="45" spans="1:34" x14ac:dyDescent="0.25">
      <c r="A45" s="32">
        <v>4</v>
      </c>
      <c r="B45" s="32"/>
      <c r="C45" s="42" t="s">
        <v>148</v>
      </c>
      <c r="D45" s="705">
        <v>1960</v>
      </c>
      <c r="E45" s="705">
        <v>2</v>
      </c>
      <c r="F45" s="866">
        <v>16</v>
      </c>
      <c r="G45" s="867">
        <v>27</v>
      </c>
      <c r="H45" s="770">
        <v>634</v>
      </c>
      <c r="I45" s="951"/>
      <c r="J45" s="951"/>
      <c r="K45" s="524">
        <v>15264</v>
      </c>
      <c r="L45" s="524">
        <v>12896.79</v>
      </c>
      <c r="M45" s="945"/>
      <c r="N45" s="945"/>
      <c r="O45" s="524">
        <f t="shared" si="20"/>
        <v>14548.21</v>
      </c>
      <c r="P45" s="541">
        <v>14548.21</v>
      </c>
      <c r="Q45" s="889"/>
      <c r="R45" s="591"/>
      <c r="S45" s="890"/>
      <c r="T45" s="591">
        <f t="shared" si="21"/>
        <v>715.79000000000087</v>
      </c>
      <c r="U45" s="591">
        <f t="shared" si="22"/>
        <v>84.491548742138363</v>
      </c>
      <c r="V45" s="891">
        <f t="shared" si="23"/>
        <v>3.8244505783385905</v>
      </c>
      <c r="W45" s="678">
        <v>4</v>
      </c>
      <c r="X45" s="591">
        <f t="shared" si="24"/>
        <v>2367.2099999999991</v>
      </c>
      <c r="Y45" s="871"/>
      <c r="Z45" s="871"/>
      <c r="AA45" s="736"/>
      <c r="AB45" s="350"/>
      <c r="AC45" s="350"/>
      <c r="AD45" s="350"/>
      <c r="AE45" s="350"/>
      <c r="AF45" s="349"/>
      <c r="AG45" s="250"/>
      <c r="AH45" s="250"/>
    </row>
    <row r="46" spans="1:34" x14ac:dyDescent="0.25">
      <c r="A46" s="32">
        <v>5</v>
      </c>
      <c r="B46" s="32"/>
      <c r="C46" s="42" t="s">
        <v>149</v>
      </c>
      <c r="D46" s="705">
        <v>1960</v>
      </c>
      <c r="E46" s="705">
        <v>2</v>
      </c>
      <c r="F46" s="866">
        <v>16</v>
      </c>
      <c r="G46" s="867">
        <v>22</v>
      </c>
      <c r="H46" s="770">
        <v>634.1</v>
      </c>
      <c r="I46" s="951"/>
      <c r="J46" s="951"/>
      <c r="K46" s="524">
        <v>15148.14</v>
      </c>
      <c r="L46" s="524">
        <v>15570.87</v>
      </c>
      <c r="M46" s="945"/>
      <c r="N46" s="945"/>
      <c r="O46" s="524">
        <f t="shared" si="20"/>
        <v>98.11</v>
      </c>
      <c r="P46" s="541">
        <v>98.11</v>
      </c>
      <c r="Q46" s="889"/>
      <c r="R46" s="591"/>
      <c r="S46" s="890"/>
      <c r="T46" s="591">
        <f t="shared" si="21"/>
        <v>15050.029999999999</v>
      </c>
      <c r="U46" s="591">
        <f t="shared" si="22"/>
        <v>102.79063964288686</v>
      </c>
      <c r="V46" s="891">
        <f t="shared" si="23"/>
        <v>2.578720496241392E-2</v>
      </c>
      <c r="W46" s="678">
        <v>4</v>
      </c>
      <c r="X46" s="591">
        <f t="shared" si="24"/>
        <v>-422.73000000000138</v>
      </c>
      <c r="Y46" s="871"/>
      <c r="Z46" s="871"/>
      <c r="AA46" s="736"/>
      <c r="AB46" s="350"/>
      <c r="AC46" s="350"/>
      <c r="AD46" s="350"/>
      <c r="AE46" s="350"/>
      <c r="AF46" s="349"/>
      <c r="AG46" s="250"/>
      <c r="AH46" s="250"/>
    </row>
    <row r="47" spans="1:34" x14ac:dyDescent="0.25">
      <c r="A47" s="32">
        <v>6</v>
      </c>
      <c r="B47" s="32"/>
      <c r="C47" s="42" t="s">
        <v>150</v>
      </c>
      <c r="D47" s="705">
        <v>1966</v>
      </c>
      <c r="E47" s="690">
        <v>3</v>
      </c>
      <c r="F47" s="706">
        <v>36</v>
      </c>
      <c r="G47" s="869">
        <v>65</v>
      </c>
      <c r="H47" s="676">
        <v>1490.6</v>
      </c>
      <c r="I47" s="951"/>
      <c r="J47" s="951"/>
      <c r="K47" s="524">
        <v>35640.800000000003</v>
      </c>
      <c r="L47" s="524">
        <v>32312.52</v>
      </c>
      <c r="M47" s="945"/>
      <c r="N47" s="945"/>
      <c r="O47" s="524">
        <f t="shared" si="20"/>
        <v>0</v>
      </c>
      <c r="P47" s="892"/>
      <c r="Q47" s="889"/>
      <c r="R47" s="591"/>
      <c r="S47" s="890"/>
      <c r="T47" s="591">
        <f t="shared" si="21"/>
        <v>35640.800000000003</v>
      </c>
      <c r="U47" s="591">
        <f t="shared" si="22"/>
        <v>90.661601310857208</v>
      </c>
      <c r="V47" s="891">
        <f t="shared" si="23"/>
        <v>0</v>
      </c>
      <c r="W47" s="678">
        <v>4</v>
      </c>
      <c r="X47" s="591">
        <f t="shared" si="24"/>
        <v>3328.2800000000025</v>
      </c>
      <c r="Y47" s="871"/>
      <c r="Z47" s="871"/>
      <c r="AA47" s="736"/>
      <c r="AB47" s="350"/>
      <c r="AC47" s="350"/>
      <c r="AD47" s="350"/>
      <c r="AE47" s="350"/>
      <c r="AF47" s="349"/>
      <c r="AG47" s="250"/>
      <c r="AH47" s="250"/>
    </row>
    <row r="48" spans="1:34" x14ac:dyDescent="0.25">
      <c r="A48" s="32">
        <v>7</v>
      </c>
      <c r="B48" s="32"/>
      <c r="C48" s="42" t="s">
        <v>151</v>
      </c>
      <c r="D48" s="705">
        <v>1966</v>
      </c>
      <c r="E48" s="690">
        <v>3</v>
      </c>
      <c r="F48" s="706">
        <v>36</v>
      </c>
      <c r="G48" s="869">
        <v>68</v>
      </c>
      <c r="H48" s="676">
        <v>1481.39</v>
      </c>
      <c r="I48" s="951"/>
      <c r="J48" s="951"/>
      <c r="K48" s="524">
        <v>35638.559999999998</v>
      </c>
      <c r="L48" s="524">
        <v>31912.43</v>
      </c>
      <c r="M48" s="945"/>
      <c r="N48" s="945"/>
      <c r="O48" s="524">
        <f t="shared" si="20"/>
        <v>0</v>
      </c>
      <c r="P48" s="892"/>
      <c r="Q48" s="889"/>
      <c r="R48" s="591"/>
      <c r="S48" s="890"/>
      <c r="T48" s="591">
        <f t="shared" si="21"/>
        <v>35638.559999999998</v>
      </c>
      <c r="U48" s="591">
        <f t="shared" si="22"/>
        <v>89.544667349073592</v>
      </c>
      <c r="V48" s="891">
        <f t="shared" si="23"/>
        <v>0</v>
      </c>
      <c r="W48" s="678">
        <v>4</v>
      </c>
      <c r="X48" s="591">
        <f t="shared" si="24"/>
        <v>3726.1299999999974</v>
      </c>
      <c r="Y48" s="871"/>
      <c r="Z48" s="871"/>
      <c r="AA48" s="736"/>
      <c r="AB48" s="350"/>
      <c r="AC48" s="350"/>
      <c r="AD48" s="350"/>
      <c r="AE48" s="350"/>
      <c r="AF48" s="349"/>
      <c r="AG48" s="250"/>
      <c r="AH48" s="250"/>
    </row>
    <row r="49" spans="1:34" x14ac:dyDescent="0.25">
      <c r="A49" s="32">
        <v>8</v>
      </c>
      <c r="B49" s="32"/>
      <c r="C49" s="42" t="s">
        <v>152</v>
      </c>
      <c r="D49" s="705">
        <v>1955</v>
      </c>
      <c r="E49" s="690">
        <v>2</v>
      </c>
      <c r="F49" s="706">
        <v>12</v>
      </c>
      <c r="G49" s="869">
        <v>33</v>
      </c>
      <c r="H49" s="676">
        <v>855.6</v>
      </c>
      <c r="I49" s="951"/>
      <c r="J49" s="951"/>
      <c r="K49" s="524">
        <v>15370.92</v>
      </c>
      <c r="L49" s="524">
        <v>14072.33</v>
      </c>
      <c r="M49" s="945"/>
      <c r="N49" s="945"/>
      <c r="O49" s="524">
        <f t="shared" si="20"/>
        <v>0</v>
      </c>
      <c r="P49" s="892"/>
      <c r="Q49" s="889"/>
      <c r="R49" s="591"/>
      <c r="S49" s="890"/>
      <c r="T49" s="591">
        <f t="shared" si="21"/>
        <v>15370.92</v>
      </c>
      <c r="U49" s="591">
        <f t="shared" si="22"/>
        <v>91.551644273732478</v>
      </c>
      <c r="V49" s="891">
        <f t="shared" si="23"/>
        <v>0</v>
      </c>
      <c r="W49" s="678">
        <v>3.22</v>
      </c>
      <c r="X49" s="591">
        <f t="shared" si="24"/>
        <v>1298.5900000000001</v>
      </c>
      <c r="Y49" s="871"/>
      <c r="Z49" s="871"/>
      <c r="AA49" s="736"/>
      <c r="AB49" s="350"/>
      <c r="AC49" s="350"/>
      <c r="AD49" s="350"/>
      <c r="AE49" s="350"/>
      <c r="AF49" s="349"/>
      <c r="AG49" s="250"/>
      <c r="AH49" s="250"/>
    </row>
    <row r="50" spans="1:34" x14ac:dyDescent="0.25">
      <c r="A50" s="32">
        <v>9</v>
      </c>
      <c r="B50" s="32"/>
      <c r="C50" s="42" t="s">
        <v>153</v>
      </c>
      <c r="D50" s="705">
        <v>1955</v>
      </c>
      <c r="E50" s="690">
        <v>2</v>
      </c>
      <c r="F50" s="706">
        <v>12</v>
      </c>
      <c r="G50" s="869">
        <v>31</v>
      </c>
      <c r="H50" s="676">
        <v>804</v>
      </c>
      <c r="I50" s="951"/>
      <c r="J50" s="951"/>
      <c r="K50" s="524">
        <v>15403.86</v>
      </c>
      <c r="L50" s="524">
        <v>14470.71</v>
      </c>
      <c r="M50" s="945"/>
      <c r="N50" s="945"/>
      <c r="O50" s="524">
        <f t="shared" si="20"/>
        <v>0</v>
      </c>
      <c r="P50" s="892"/>
      <c r="Q50" s="889"/>
      <c r="R50" s="591"/>
      <c r="S50" s="890"/>
      <c r="T50" s="591">
        <f t="shared" si="21"/>
        <v>15403.86</v>
      </c>
      <c r="U50" s="591">
        <f t="shared" si="22"/>
        <v>93.942102823577983</v>
      </c>
      <c r="V50" s="891">
        <f t="shared" si="23"/>
        <v>0</v>
      </c>
      <c r="W50" s="678">
        <v>3.22</v>
      </c>
      <c r="X50" s="591">
        <f t="shared" si="24"/>
        <v>933.15000000000146</v>
      </c>
      <c r="Y50" s="871"/>
      <c r="Z50" s="871"/>
      <c r="AA50" s="736"/>
      <c r="AB50" s="350"/>
      <c r="AC50" s="350"/>
      <c r="AD50" s="350"/>
      <c r="AE50" s="350"/>
      <c r="AF50" s="349"/>
      <c r="AG50" s="250"/>
      <c r="AH50" s="250"/>
    </row>
    <row r="51" spans="1:34" x14ac:dyDescent="0.25">
      <c r="A51" s="32">
        <v>10</v>
      </c>
      <c r="B51" s="32"/>
      <c r="C51" s="42" t="s">
        <v>154</v>
      </c>
      <c r="D51" s="705">
        <v>1955</v>
      </c>
      <c r="E51" s="690">
        <v>2</v>
      </c>
      <c r="F51" s="706">
        <v>6</v>
      </c>
      <c r="G51" s="869">
        <v>14</v>
      </c>
      <c r="H51" s="676">
        <v>385.7</v>
      </c>
      <c r="I51" s="951"/>
      <c r="J51" s="951"/>
      <c r="K51" s="524">
        <v>6271.62</v>
      </c>
      <c r="L51" s="524">
        <v>6015.18</v>
      </c>
      <c r="M51" s="945"/>
      <c r="N51" s="945"/>
      <c r="O51" s="524">
        <f t="shared" si="20"/>
        <v>0</v>
      </c>
      <c r="P51" s="892"/>
      <c r="Q51" s="889"/>
      <c r="R51" s="591"/>
      <c r="S51" s="890"/>
      <c r="T51" s="591">
        <f t="shared" si="21"/>
        <v>6271.62</v>
      </c>
      <c r="U51" s="591">
        <f t="shared" si="22"/>
        <v>95.911104307977851</v>
      </c>
      <c r="V51" s="891">
        <f t="shared" si="23"/>
        <v>0</v>
      </c>
      <c r="W51" s="678">
        <v>3.18</v>
      </c>
      <c r="X51" s="591">
        <f t="shared" si="24"/>
        <v>256.4399999999996</v>
      </c>
      <c r="Y51" s="871"/>
      <c r="Z51" s="871"/>
      <c r="AA51" s="736"/>
      <c r="AB51" s="350"/>
      <c r="AC51" s="350"/>
      <c r="AD51" s="350"/>
      <c r="AE51" s="350"/>
      <c r="AF51" s="349"/>
      <c r="AG51" s="250"/>
      <c r="AH51" s="250"/>
    </row>
    <row r="52" spans="1:34" x14ac:dyDescent="0.25">
      <c r="A52" s="32">
        <v>11</v>
      </c>
      <c r="B52" s="32"/>
      <c r="C52" s="42" t="s">
        <v>155</v>
      </c>
      <c r="D52" s="705">
        <v>1979</v>
      </c>
      <c r="E52" s="690">
        <v>5</v>
      </c>
      <c r="F52" s="706">
        <v>81</v>
      </c>
      <c r="G52" s="869">
        <v>168</v>
      </c>
      <c r="H52" s="676">
        <v>3924.61</v>
      </c>
      <c r="I52" s="951"/>
      <c r="J52" s="951"/>
      <c r="K52" s="524">
        <v>94586.16</v>
      </c>
      <c r="L52" s="524">
        <v>87903.95</v>
      </c>
      <c r="M52" s="945"/>
      <c r="N52" s="945"/>
      <c r="O52" s="524">
        <f t="shared" si="20"/>
        <v>513.66</v>
      </c>
      <c r="P52" s="892">
        <v>513.66</v>
      </c>
      <c r="Q52" s="890"/>
      <c r="R52" s="591"/>
      <c r="S52" s="890"/>
      <c r="T52" s="591">
        <f t="shared" si="21"/>
        <v>94072.5</v>
      </c>
      <c r="U52" s="591">
        <f t="shared" si="22"/>
        <v>92.935319501288546</v>
      </c>
      <c r="V52" s="891">
        <f t="shared" si="23"/>
        <v>2.1813632437363201E-2</v>
      </c>
      <c r="W52" s="678">
        <v>4</v>
      </c>
      <c r="X52" s="591">
        <f t="shared" si="24"/>
        <v>6682.2100000000064</v>
      </c>
      <c r="Y52" s="871"/>
      <c r="Z52" s="871"/>
      <c r="AA52" s="736"/>
      <c r="AB52" s="350"/>
      <c r="AC52" s="350"/>
      <c r="AD52" s="350"/>
      <c r="AE52" s="350"/>
      <c r="AF52" s="349"/>
      <c r="AG52" s="250"/>
      <c r="AH52" s="250"/>
    </row>
    <row r="53" spans="1:34" x14ac:dyDescent="0.25">
      <c r="A53" s="32">
        <v>12</v>
      </c>
      <c r="B53" s="32"/>
      <c r="C53" s="42" t="s">
        <v>157</v>
      </c>
      <c r="D53" s="705">
        <v>1955</v>
      </c>
      <c r="E53" s="690">
        <v>2</v>
      </c>
      <c r="F53" s="706">
        <v>15</v>
      </c>
      <c r="G53" s="869">
        <v>33</v>
      </c>
      <c r="H53" s="676">
        <v>796.8</v>
      </c>
      <c r="I53" s="951"/>
      <c r="J53" s="951"/>
      <c r="K53" s="524">
        <v>20786.580000000002</v>
      </c>
      <c r="L53" s="524">
        <v>17870.79</v>
      </c>
      <c r="M53" s="945"/>
      <c r="N53" s="945"/>
      <c r="O53" s="524">
        <f t="shared" si="20"/>
        <v>0</v>
      </c>
      <c r="P53" s="892"/>
      <c r="Q53" s="890"/>
      <c r="R53" s="591"/>
      <c r="S53" s="890"/>
      <c r="T53" s="591">
        <f t="shared" si="21"/>
        <v>20786.580000000002</v>
      </c>
      <c r="U53" s="591">
        <f t="shared" si="22"/>
        <v>85.972728558521894</v>
      </c>
      <c r="V53" s="891">
        <f t="shared" si="23"/>
        <v>0</v>
      </c>
      <c r="W53" s="678">
        <v>4.33</v>
      </c>
      <c r="X53" s="591">
        <f t="shared" si="24"/>
        <v>2915.7900000000009</v>
      </c>
      <c r="Y53" s="871"/>
      <c r="Z53" s="871"/>
      <c r="AA53" s="736"/>
      <c r="AB53" s="350"/>
      <c r="AC53" s="350"/>
      <c r="AD53" s="350"/>
      <c r="AE53" s="350"/>
      <c r="AF53" s="349"/>
      <c r="AG53" s="250"/>
      <c r="AH53" s="250"/>
    </row>
    <row r="54" spans="1:34" x14ac:dyDescent="0.25">
      <c r="A54" s="32">
        <v>13</v>
      </c>
      <c r="B54" s="32"/>
      <c r="C54" s="42" t="s">
        <v>158</v>
      </c>
      <c r="D54" s="705">
        <v>1955</v>
      </c>
      <c r="E54" s="690">
        <v>2</v>
      </c>
      <c r="F54" s="706">
        <v>12</v>
      </c>
      <c r="G54" s="869">
        <v>29</v>
      </c>
      <c r="H54" s="676">
        <v>842</v>
      </c>
      <c r="I54" s="951"/>
      <c r="J54" s="951"/>
      <c r="K54" s="524">
        <v>21825.119999999999</v>
      </c>
      <c r="L54" s="524">
        <v>19354.189999999999</v>
      </c>
      <c r="M54" s="945"/>
      <c r="N54" s="945"/>
      <c r="O54" s="524">
        <f t="shared" si="20"/>
        <v>12</v>
      </c>
      <c r="P54" s="892">
        <v>12</v>
      </c>
      <c r="Q54" s="890"/>
      <c r="R54" s="591"/>
      <c r="S54" s="890"/>
      <c r="T54" s="591">
        <f t="shared" si="21"/>
        <v>21813.119999999999</v>
      </c>
      <c r="U54" s="591">
        <f t="shared" si="22"/>
        <v>88.678504402266739</v>
      </c>
      <c r="V54" s="891">
        <f t="shared" si="23"/>
        <v>2.3752969121140144E-3</v>
      </c>
      <c r="W54" s="678">
        <v>4.3499999999999996</v>
      </c>
      <c r="X54" s="591">
        <f t="shared" si="24"/>
        <v>2470.9300000000003</v>
      </c>
      <c r="Y54" s="871"/>
      <c r="Z54" s="871"/>
      <c r="AA54" s="736"/>
      <c r="AB54" s="350"/>
      <c r="AC54" s="350"/>
      <c r="AD54" s="350"/>
      <c r="AE54" s="350"/>
      <c r="AF54" s="349"/>
      <c r="AG54" s="250"/>
      <c r="AH54" s="250"/>
    </row>
    <row r="55" spans="1:34" x14ac:dyDescent="0.25">
      <c r="A55" s="32">
        <v>14</v>
      </c>
      <c r="B55" s="32"/>
      <c r="C55" s="42" t="s">
        <v>159</v>
      </c>
      <c r="D55" s="705">
        <v>1955</v>
      </c>
      <c r="E55" s="690">
        <v>2</v>
      </c>
      <c r="F55" s="706">
        <v>12</v>
      </c>
      <c r="G55" s="869">
        <v>29</v>
      </c>
      <c r="H55" s="676">
        <v>803.43</v>
      </c>
      <c r="I55" s="951"/>
      <c r="J55" s="951"/>
      <c r="K55" s="524">
        <v>19063.919999999998</v>
      </c>
      <c r="L55" s="524">
        <v>18683.02</v>
      </c>
      <c r="M55" s="945"/>
      <c r="N55" s="945"/>
      <c r="O55" s="524">
        <f t="shared" si="20"/>
        <v>29.1</v>
      </c>
      <c r="P55" s="892">
        <v>29.1</v>
      </c>
      <c r="Q55" s="890"/>
      <c r="R55" s="591"/>
      <c r="S55" s="890"/>
      <c r="T55" s="591">
        <f t="shared" si="21"/>
        <v>19034.82</v>
      </c>
      <c r="U55" s="591">
        <f t="shared" si="22"/>
        <v>98.001984901321464</v>
      </c>
      <c r="V55" s="891">
        <f t="shared" si="23"/>
        <v>6.0366180003236132E-3</v>
      </c>
      <c r="W55" s="678">
        <v>4</v>
      </c>
      <c r="X55" s="591">
        <f t="shared" si="24"/>
        <v>380.89999999999782</v>
      </c>
      <c r="Y55" s="871"/>
      <c r="Z55" s="871"/>
      <c r="AA55" s="736"/>
      <c r="AB55" s="350"/>
      <c r="AC55" s="350"/>
      <c r="AD55" s="350"/>
      <c r="AE55" s="350"/>
      <c r="AF55" s="349"/>
      <c r="AG55" s="250"/>
      <c r="AH55" s="250"/>
    </row>
    <row r="56" spans="1:34" x14ac:dyDescent="0.25">
      <c r="A56" s="32">
        <v>15</v>
      </c>
      <c r="B56" s="32"/>
      <c r="C56" s="42" t="s">
        <v>160</v>
      </c>
      <c r="D56" s="705">
        <v>1955</v>
      </c>
      <c r="E56" s="690">
        <v>2</v>
      </c>
      <c r="F56" s="706">
        <v>12</v>
      </c>
      <c r="G56" s="869">
        <v>31</v>
      </c>
      <c r="H56" s="676">
        <v>836.38</v>
      </c>
      <c r="I56" s="951"/>
      <c r="J56" s="951"/>
      <c r="K56" s="524">
        <v>22443.119999999999</v>
      </c>
      <c r="L56" s="524">
        <v>22129.22</v>
      </c>
      <c r="M56" s="945"/>
      <c r="N56" s="945"/>
      <c r="O56" s="524">
        <f t="shared" si="20"/>
        <v>4650.1000000000004</v>
      </c>
      <c r="P56" s="892">
        <v>4650.1000000000004</v>
      </c>
      <c r="Q56" s="890"/>
      <c r="R56" s="591"/>
      <c r="S56" s="890"/>
      <c r="T56" s="591">
        <f t="shared" si="21"/>
        <v>17793.019999999997</v>
      </c>
      <c r="U56" s="591">
        <f t="shared" si="22"/>
        <v>98.601353109549834</v>
      </c>
      <c r="V56" s="891">
        <f t="shared" si="23"/>
        <v>0.92663223255776883</v>
      </c>
      <c r="W56" s="678">
        <v>4.46</v>
      </c>
      <c r="X56" s="591">
        <f t="shared" si="24"/>
        <v>313.89999999999782</v>
      </c>
      <c r="Y56" s="871"/>
      <c r="Z56" s="871"/>
      <c r="AA56" s="736"/>
      <c r="AB56" s="350"/>
      <c r="AC56" s="350"/>
      <c r="AD56" s="350"/>
      <c r="AE56" s="350"/>
      <c r="AF56" s="349"/>
      <c r="AG56" s="250"/>
      <c r="AH56" s="250"/>
    </row>
    <row r="57" spans="1:34" x14ac:dyDescent="0.25">
      <c r="A57" s="32">
        <v>16</v>
      </c>
      <c r="B57" s="583">
        <v>42569</v>
      </c>
      <c r="C57" s="42" t="s">
        <v>161</v>
      </c>
      <c r="D57" s="705">
        <v>1955</v>
      </c>
      <c r="E57" s="690">
        <v>2</v>
      </c>
      <c r="F57" s="706">
        <v>12</v>
      </c>
      <c r="G57" s="869">
        <v>31</v>
      </c>
      <c r="H57" s="676">
        <v>752.9</v>
      </c>
      <c r="I57" s="951"/>
      <c r="J57" s="951"/>
      <c r="K57" s="524">
        <v>17133.599999999999</v>
      </c>
      <c r="L57" s="524">
        <v>13823.77</v>
      </c>
      <c r="M57" s="945"/>
      <c r="N57" s="945"/>
      <c r="O57" s="524">
        <f t="shared" si="20"/>
        <v>0</v>
      </c>
      <c r="P57" s="892"/>
      <c r="Q57" s="890"/>
      <c r="R57" s="591"/>
      <c r="S57" s="890"/>
      <c r="T57" s="591">
        <f t="shared" si="21"/>
        <v>17133.599999999999</v>
      </c>
      <c r="U57" s="591">
        <f t="shared" si="22"/>
        <v>80.682226735770655</v>
      </c>
      <c r="V57" s="891">
        <f t="shared" si="23"/>
        <v>0</v>
      </c>
      <c r="W57" s="678">
        <v>0</v>
      </c>
      <c r="X57" s="591">
        <f t="shared" si="24"/>
        <v>3309.8299999999981</v>
      </c>
      <c r="Y57" s="871"/>
      <c r="Z57" s="871"/>
      <c r="AA57" s="736"/>
      <c r="AB57" s="350"/>
      <c r="AC57" s="350"/>
      <c r="AD57" s="350"/>
      <c r="AE57" s="350"/>
      <c r="AF57" s="349"/>
      <c r="AG57" s="250"/>
      <c r="AH57" s="250"/>
    </row>
    <row r="58" spans="1:34" x14ac:dyDescent="0.25">
      <c r="A58" s="32">
        <v>17</v>
      </c>
      <c r="B58" s="32"/>
      <c r="C58" s="42" t="s">
        <v>162</v>
      </c>
      <c r="D58" s="705">
        <v>1985</v>
      </c>
      <c r="E58" s="690">
        <v>5</v>
      </c>
      <c r="F58" s="706">
        <v>76</v>
      </c>
      <c r="G58" s="869">
        <v>158</v>
      </c>
      <c r="H58" s="676">
        <v>4051.07</v>
      </c>
      <c r="I58" s="951"/>
      <c r="J58" s="951"/>
      <c r="K58" s="524">
        <v>60429.36</v>
      </c>
      <c r="L58" s="524">
        <v>60646.18</v>
      </c>
      <c r="M58" s="945"/>
      <c r="N58" s="945"/>
      <c r="O58" s="524">
        <f t="shared" si="20"/>
        <v>374</v>
      </c>
      <c r="P58" s="892">
        <v>374</v>
      </c>
      <c r="Q58" s="890"/>
      <c r="R58" s="591"/>
      <c r="S58" s="890"/>
      <c r="T58" s="591">
        <f t="shared" si="21"/>
        <v>60055.360000000001</v>
      </c>
      <c r="U58" s="591">
        <f t="shared" si="22"/>
        <v>100.35879910030488</v>
      </c>
      <c r="V58" s="891">
        <f t="shared" si="23"/>
        <v>1.5386881326003582E-2</v>
      </c>
      <c r="W58" s="678">
        <v>2.5</v>
      </c>
      <c r="X58" s="591">
        <f t="shared" si="24"/>
        <v>-216.81999999999971</v>
      </c>
      <c r="Y58" s="871"/>
      <c r="Z58" s="871"/>
      <c r="AA58" s="736"/>
      <c r="AB58" s="350"/>
      <c r="AC58" s="350"/>
      <c r="AD58" s="350"/>
      <c r="AE58" s="350"/>
      <c r="AF58" s="349"/>
      <c r="AG58" s="250"/>
      <c r="AH58" s="250"/>
    </row>
    <row r="59" spans="1:34" x14ac:dyDescent="0.25">
      <c r="A59" s="32">
        <v>18</v>
      </c>
      <c r="B59" s="583">
        <v>42569</v>
      </c>
      <c r="C59" s="42" t="s">
        <v>163</v>
      </c>
      <c r="D59" s="705">
        <v>1955</v>
      </c>
      <c r="E59" s="690">
        <v>2</v>
      </c>
      <c r="F59" s="706">
        <v>12</v>
      </c>
      <c r="G59" s="869">
        <v>21</v>
      </c>
      <c r="H59" s="676">
        <v>538</v>
      </c>
      <c r="I59" s="951"/>
      <c r="J59" s="951"/>
      <c r="K59" s="524">
        <v>14551.2</v>
      </c>
      <c r="L59" s="524">
        <v>10171.790000000001</v>
      </c>
      <c r="M59" s="945"/>
      <c r="N59" s="945"/>
      <c r="O59" s="524">
        <f t="shared" si="20"/>
        <v>0</v>
      </c>
      <c r="P59" s="892"/>
      <c r="Q59" s="890"/>
      <c r="R59" s="591"/>
      <c r="S59" s="890"/>
      <c r="T59" s="591">
        <f t="shared" si="21"/>
        <v>14551.2</v>
      </c>
      <c r="U59" s="591">
        <f t="shared" si="22"/>
        <v>69.903444389466159</v>
      </c>
      <c r="V59" s="891">
        <f t="shared" si="23"/>
        <v>0</v>
      </c>
      <c r="W59" s="678">
        <v>0</v>
      </c>
      <c r="X59" s="591">
        <f t="shared" si="24"/>
        <v>4379.41</v>
      </c>
      <c r="Y59" s="871"/>
      <c r="Z59" s="871"/>
      <c r="AA59" s="736"/>
      <c r="AB59" s="350"/>
      <c r="AC59" s="350"/>
      <c r="AD59" s="350"/>
      <c r="AE59" s="350"/>
      <c r="AF59" s="349"/>
      <c r="AG59" s="250"/>
      <c r="AH59" s="250"/>
    </row>
    <row r="60" spans="1:34" x14ac:dyDescent="0.25">
      <c r="A60" s="32">
        <v>19</v>
      </c>
      <c r="B60" s="32"/>
      <c r="C60" s="42" t="s">
        <v>164</v>
      </c>
      <c r="D60" s="705">
        <v>1989</v>
      </c>
      <c r="E60" s="690">
        <v>5</v>
      </c>
      <c r="F60" s="706">
        <v>75</v>
      </c>
      <c r="G60" s="869">
        <v>146</v>
      </c>
      <c r="H60" s="676">
        <v>3468.54</v>
      </c>
      <c r="I60" s="951"/>
      <c r="J60" s="951"/>
      <c r="K60" s="524">
        <v>75305.179999999993</v>
      </c>
      <c r="L60" s="524">
        <v>74471.820000000007</v>
      </c>
      <c r="M60" s="945"/>
      <c r="N60" s="945"/>
      <c r="O60" s="524">
        <f t="shared" si="20"/>
        <v>0</v>
      </c>
      <c r="P60" s="892"/>
      <c r="Q60" s="890"/>
      <c r="R60" s="591"/>
      <c r="S60" s="890"/>
      <c r="T60" s="591">
        <f t="shared" si="21"/>
        <v>75305.179999999993</v>
      </c>
      <c r="U60" s="591">
        <f t="shared" si="22"/>
        <v>98.893356340161475</v>
      </c>
      <c r="V60" s="891">
        <f t="shared" si="23"/>
        <v>0</v>
      </c>
      <c r="W60" s="678">
        <v>3.66</v>
      </c>
      <c r="X60" s="591">
        <f t="shared" si="24"/>
        <v>833.35999999998603</v>
      </c>
      <c r="Y60" s="871"/>
      <c r="Z60" s="871"/>
      <c r="AA60" s="736"/>
      <c r="AB60" s="350"/>
      <c r="AC60" s="350"/>
      <c r="AD60" s="350"/>
      <c r="AE60" s="350"/>
      <c r="AF60" s="349"/>
      <c r="AG60" s="250"/>
      <c r="AH60" s="250"/>
    </row>
    <row r="61" spans="1:34" x14ac:dyDescent="0.25">
      <c r="A61" s="32">
        <v>20</v>
      </c>
      <c r="B61" s="32"/>
      <c r="C61" s="42" t="s">
        <v>165</v>
      </c>
      <c r="D61" s="705">
        <v>1989</v>
      </c>
      <c r="E61" s="690">
        <v>5</v>
      </c>
      <c r="F61" s="706">
        <v>75</v>
      </c>
      <c r="G61" s="869">
        <v>137</v>
      </c>
      <c r="H61" s="676">
        <v>3459.49</v>
      </c>
      <c r="I61" s="951"/>
      <c r="J61" s="951"/>
      <c r="K61" s="524">
        <v>81934.44</v>
      </c>
      <c r="L61" s="524">
        <v>79170.83</v>
      </c>
      <c r="M61" s="945"/>
      <c r="N61" s="945"/>
      <c r="O61" s="524">
        <f t="shared" si="20"/>
        <v>240</v>
      </c>
      <c r="P61" s="892">
        <v>240</v>
      </c>
      <c r="Q61" s="890"/>
      <c r="R61" s="591"/>
      <c r="S61" s="890"/>
      <c r="T61" s="591">
        <f t="shared" si="21"/>
        <v>81694.44</v>
      </c>
      <c r="U61" s="591">
        <f t="shared" si="22"/>
        <v>96.627047185530273</v>
      </c>
      <c r="V61" s="891">
        <f t="shared" si="23"/>
        <v>1.1562397925705813E-2</v>
      </c>
      <c r="W61" s="678">
        <v>3.95</v>
      </c>
      <c r="X61" s="591">
        <f t="shared" si="24"/>
        <v>2763.6100000000006</v>
      </c>
      <c r="Y61" s="871"/>
      <c r="Z61" s="871"/>
      <c r="AA61" s="736"/>
      <c r="AB61" s="350"/>
      <c r="AC61" s="350"/>
      <c r="AD61" s="350"/>
      <c r="AE61" s="350"/>
      <c r="AF61" s="349"/>
      <c r="AG61" s="250"/>
      <c r="AH61" s="250"/>
    </row>
    <row r="62" spans="1:34" x14ac:dyDescent="0.25">
      <c r="A62" s="32">
        <v>21</v>
      </c>
      <c r="B62" s="32"/>
      <c r="C62" s="42" t="s">
        <v>166</v>
      </c>
      <c r="D62" s="705">
        <v>1993</v>
      </c>
      <c r="E62" s="690">
        <v>5</v>
      </c>
      <c r="F62" s="706">
        <v>100</v>
      </c>
      <c r="G62" s="869">
        <v>227</v>
      </c>
      <c r="H62" s="676">
        <v>6033.82</v>
      </c>
      <c r="I62" s="951"/>
      <c r="J62" s="951"/>
      <c r="K62" s="524">
        <v>91968.58</v>
      </c>
      <c r="L62" s="524">
        <v>92542.07</v>
      </c>
      <c r="M62" s="945"/>
      <c r="N62" s="945"/>
      <c r="O62" s="524">
        <f t="shared" si="20"/>
        <v>0</v>
      </c>
      <c r="P62" s="892"/>
      <c r="Q62" s="890"/>
      <c r="R62" s="591"/>
      <c r="S62" s="890"/>
      <c r="T62" s="591">
        <f t="shared" si="21"/>
        <v>91968.58</v>
      </c>
      <c r="U62" s="591">
        <f t="shared" si="22"/>
        <v>100.62357165892961</v>
      </c>
      <c r="V62" s="891">
        <f t="shared" si="23"/>
        <v>0</v>
      </c>
      <c r="W62" s="678">
        <v>2.5299999999999998</v>
      </c>
      <c r="X62" s="591">
        <f t="shared" si="24"/>
        <v>-573.49000000000524</v>
      </c>
      <c r="Y62" s="871"/>
      <c r="Z62" s="871"/>
      <c r="AA62" s="736"/>
      <c r="AB62" s="350"/>
      <c r="AC62" s="350"/>
      <c r="AD62" s="350"/>
      <c r="AE62" s="350"/>
      <c r="AF62" s="349"/>
    </row>
    <row r="63" spans="1:34" x14ac:dyDescent="0.25">
      <c r="A63" s="32">
        <v>22</v>
      </c>
      <c r="B63" s="32"/>
      <c r="C63" s="42" t="s">
        <v>167</v>
      </c>
      <c r="D63" s="705">
        <v>1989</v>
      </c>
      <c r="E63" s="690">
        <v>5</v>
      </c>
      <c r="F63" s="706">
        <v>76</v>
      </c>
      <c r="G63" s="869">
        <v>141</v>
      </c>
      <c r="H63" s="676">
        <v>3519.3</v>
      </c>
      <c r="I63" s="951"/>
      <c r="J63" s="951"/>
      <c r="K63" s="524">
        <v>83581.679999999993</v>
      </c>
      <c r="L63" s="524">
        <v>71264</v>
      </c>
      <c r="M63" s="945"/>
      <c r="N63" s="945"/>
      <c r="O63" s="524">
        <f t="shared" si="20"/>
        <v>0</v>
      </c>
      <c r="P63" s="892"/>
      <c r="Q63" s="890"/>
      <c r="R63" s="591"/>
      <c r="S63" s="890"/>
      <c r="T63" s="591">
        <f t="shared" si="21"/>
        <v>83581.679999999993</v>
      </c>
      <c r="U63" s="591">
        <f t="shared" si="22"/>
        <v>85.262703501532883</v>
      </c>
      <c r="V63" s="891">
        <f t="shared" si="23"/>
        <v>0</v>
      </c>
      <c r="W63" s="678">
        <v>4</v>
      </c>
      <c r="X63" s="591">
        <f t="shared" si="24"/>
        <v>12317.679999999993</v>
      </c>
      <c r="Y63" s="871"/>
      <c r="Z63" s="871"/>
      <c r="AA63" s="736"/>
      <c r="AB63" s="350"/>
      <c r="AC63" s="350"/>
      <c r="AD63" s="350"/>
      <c r="AE63" s="350"/>
      <c r="AF63" s="349"/>
    </row>
    <row r="64" spans="1:34" ht="15" hidden="1" customHeight="1" x14ac:dyDescent="0.25">
      <c r="A64" s="32">
        <v>25</v>
      </c>
      <c r="B64" s="32"/>
      <c r="C64" s="42" t="s">
        <v>168</v>
      </c>
      <c r="D64" s="705">
        <v>1957</v>
      </c>
      <c r="E64" s="705">
        <v>1</v>
      </c>
      <c r="F64" s="866">
        <v>4</v>
      </c>
      <c r="G64" s="867">
        <v>11</v>
      </c>
      <c r="H64" s="866">
        <v>132.6</v>
      </c>
      <c r="I64" s="952"/>
      <c r="J64" s="952"/>
      <c r="K64" s="625"/>
      <c r="L64" s="625"/>
      <c r="M64" s="946"/>
      <c r="N64" s="946"/>
      <c r="O64" s="524">
        <f t="shared" si="20"/>
        <v>0</v>
      </c>
      <c r="P64" s="541"/>
      <c r="Q64" s="889"/>
      <c r="R64" s="893"/>
      <c r="S64" s="889"/>
      <c r="T64" s="591">
        <f t="shared" si="21"/>
        <v>0</v>
      </c>
      <c r="U64" s="591" t="e">
        <f t="shared" si="22"/>
        <v>#DIV/0!</v>
      </c>
      <c r="V64" s="891">
        <f t="shared" si="23"/>
        <v>0</v>
      </c>
      <c r="W64" s="678"/>
      <c r="X64" s="591">
        <f t="shared" si="24"/>
        <v>0</v>
      </c>
      <c r="Y64" s="871"/>
      <c r="Z64" s="871">
        <f>(W64+X64)*0.307</f>
        <v>0</v>
      </c>
      <c r="AA64" s="736">
        <f>K64-O64</f>
        <v>0</v>
      </c>
      <c r="AB64" s="350">
        <v>0</v>
      </c>
      <c r="AC64" s="350"/>
      <c r="AD64" s="350">
        <f>O64/H64/12</f>
        <v>0</v>
      </c>
      <c r="AE64" s="350">
        <v>0</v>
      </c>
      <c r="AF64" s="349"/>
    </row>
    <row r="65" spans="1:32" ht="15" hidden="1" customHeight="1" x14ac:dyDescent="0.25">
      <c r="A65" s="32">
        <v>26</v>
      </c>
      <c r="B65" s="32"/>
      <c r="C65" s="42" t="s">
        <v>169</v>
      </c>
      <c r="D65" s="705">
        <v>1957</v>
      </c>
      <c r="E65" s="705">
        <v>1</v>
      </c>
      <c r="F65" s="866">
        <v>4</v>
      </c>
      <c r="G65" s="867">
        <v>5</v>
      </c>
      <c r="H65" s="866">
        <v>131.19999999999999</v>
      </c>
      <c r="I65" s="952"/>
      <c r="J65" s="952"/>
      <c r="K65" s="625"/>
      <c r="L65" s="625"/>
      <c r="M65" s="946"/>
      <c r="N65" s="946"/>
      <c r="O65" s="524">
        <f t="shared" si="20"/>
        <v>0</v>
      </c>
      <c r="P65" s="541"/>
      <c r="Q65" s="889"/>
      <c r="R65" s="893"/>
      <c r="S65" s="889"/>
      <c r="T65" s="591">
        <f t="shared" si="21"/>
        <v>0</v>
      </c>
      <c r="U65" s="591" t="e">
        <f t="shared" si="22"/>
        <v>#DIV/0!</v>
      </c>
      <c r="V65" s="891">
        <f t="shared" si="23"/>
        <v>0</v>
      </c>
      <c r="W65" s="678"/>
      <c r="X65" s="591">
        <f t="shared" si="24"/>
        <v>0</v>
      </c>
      <c r="Y65" s="871"/>
      <c r="Z65" s="871">
        <f>(W65+X65)*0.307</f>
        <v>0</v>
      </c>
      <c r="AA65" s="736">
        <f>K65-O65</f>
        <v>0</v>
      </c>
      <c r="AB65" s="350">
        <v>0</v>
      </c>
      <c r="AC65" s="350"/>
      <c r="AD65" s="350">
        <f>O65/H65/12</f>
        <v>0</v>
      </c>
      <c r="AE65" s="350">
        <v>0</v>
      </c>
      <c r="AF65" s="349"/>
    </row>
    <row r="66" spans="1:32" ht="15" hidden="1" customHeight="1" x14ac:dyDescent="0.25">
      <c r="A66" s="32">
        <v>27</v>
      </c>
      <c r="B66" s="32"/>
      <c r="C66" s="42" t="s">
        <v>170</v>
      </c>
      <c r="D66" s="705">
        <v>1957</v>
      </c>
      <c r="E66" s="705">
        <v>1</v>
      </c>
      <c r="F66" s="866">
        <v>4</v>
      </c>
      <c r="G66" s="867">
        <v>3</v>
      </c>
      <c r="H66" s="866">
        <v>131.19999999999999</v>
      </c>
      <c r="I66" s="952"/>
      <c r="J66" s="952"/>
      <c r="K66" s="625"/>
      <c r="L66" s="625"/>
      <c r="M66" s="946"/>
      <c r="N66" s="946"/>
      <c r="O66" s="524">
        <f t="shared" si="20"/>
        <v>0</v>
      </c>
      <c r="P66" s="541"/>
      <c r="Q66" s="889"/>
      <c r="R66" s="893"/>
      <c r="S66" s="889"/>
      <c r="T66" s="591">
        <f t="shared" si="21"/>
        <v>0</v>
      </c>
      <c r="U66" s="591" t="e">
        <f t="shared" si="22"/>
        <v>#DIV/0!</v>
      </c>
      <c r="V66" s="891">
        <f t="shared" si="23"/>
        <v>0</v>
      </c>
      <c r="W66" s="678"/>
      <c r="X66" s="591">
        <f t="shared" si="24"/>
        <v>0</v>
      </c>
      <c r="Y66" s="871"/>
      <c r="Z66" s="871">
        <f>(W66+X66)*0.307</f>
        <v>0</v>
      </c>
      <c r="AA66" s="736">
        <f>K66-O66</f>
        <v>0</v>
      </c>
      <c r="AB66" s="350">
        <v>0</v>
      </c>
      <c r="AC66" s="350"/>
      <c r="AD66" s="350">
        <f>O66/H66/12</f>
        <v>0</v>
      </c>
      <c r="AE66" s="350">
        <v>0</v>
      </c>
      <c r="AF66" s="349"/>
    </row>
    <row r="67" spans="1:32" ht="15" hidden="1" customHeight="1" x14ac:dyDescent="0.25">
      <c r="A67" s="32">
        <v>28</v>
      </c>
      <c r="B67" s="32"/>
      <c r="C67" s="42" t="s">
        <v>171</v>
      </c>
      <c r="D67" s="705">
        <v>1957</v>
      </c>
      <c r="E67" s="705">
        <v>1</v>
      </c>
      <c r="F67" s="866">
        <v>4</v>
      </c>
      <c r="G67" s="867">
        <v>8</v>
      </c>
      <c r="H67" s="866">
        <v>125.5</v>
      </c>
      <c r="I67" s="952"/>
      <c r="J67" s="952"/>
      <c r="K67" s="625"/>
      <c r="L67" s="625"/>
      <c r="M67" s="946"/>
      <c r="N67" s="946"/>
      <c r="O67" s="524">
        <f t="shared" si="20"/>
        <v>0</v>
      </c>
      <c r="P67" s="541"/>
      <c r="Q67" s="889"/>
      <c r="R67" s="893"/>
      <c r="S67" s="889"/>
      <c r="T67" s="591">
        <f t="shared" si="21"/>
        <v>0</v>
      </c>
      <c r="U67" s="591" t="e">
        <f t="shared" si="22"/>
        <v>#DIV/0!</v>
      </c>
      <c r="V67" s="891">
        <f t="shared" si="23"/>
        <v>0</v>
      </c>
      <c r="W67" s="678"/>
      <c r="X67" s="591">
        <f t="shared" si="24"/>
        <v>0</v>
      </c>
      <c r="Y67" s="871"/>
      <c r="Z67" s="871">
        <f>(W67+X67)*0.307</f>
        <v>0</v>
      </c>
      <c r="AA67" s="736">
        <f>K67-O67</f>
        <v>0</v>
      </c>
      <c r="AB67" s="350">
        <v>0</v>
      </c>
      <c r="AC67" s="350"/>
      <c r="AD67" s="350">
        <f>O67/H67/12</f>
        <v>0</v>
      </c>
      <c r="AE67" s="350">
        <v>0</v>
      </c>
      <c r="AF67" s="349"/>
    </row>
    <row r="68" spans="1:32" x14ac:dyDescent="0.25">
      <c r="A68" s="38"/>
      <c r="B68" s="38"/>
      <c r="C68" s="7" t="s">
        <v>52</v>
      </c>
      <c r="D68" s="894"/>
      <c r="E68" s="894"/>
      <c r="F68" s="894">
        <f>SUM(F42:F67)</f>
        <v>756</v>
      </c>
      <c r="G68" s="894">
        <f>SUM(G42:G67)</f>
        <v>1527</v>
      </c>
      <c r="H68" s="894">
        <f>SUM(H42:H67)</f>
        <v>37759.53</v>
      </c>
      <c r="I68" s="953"/>
      <c r="J68" s="953"/>
      <c r="K68" s="56">
        <f>SUM(K42:K67)</f>
        <v>792106.6399999999</v>
      </c>
      <c r="L68" s="56">
        <f>SUM(L42:L67)</f>
        <v>740279.14999999991</v>
      </c>
      <c r="M68" s="947"/>
      <c r="N68" s="947"/>
      <c r="O68" s="535">
        <f t="shared" si="20"/>
        <v>20465.18</v>
      </c>
      <c r="P68" s="535">
        <f>SUM(P42:P67)</f>
        <v>20465.18</v>
      </c>
      <c r="Q68" s="878">
        <f>SUM(Q42:Q67)</f>
        <v>0</v>
      </c>
      <c r="R68" s="878">
        <f>SUM(R42:R67)</f>
        <v>0</v>
      </c>
      <c r="S68" s="895">
        <f>SUM(S42:S67)</f>
        <v>0</v>
      </c>
      <c r="T68" s="895">
        <f t="shared" si="21"/>
        <v>771641.45999999985</v>
      </c>
      <c r="U68" s="895">
        <f t="shared" si="22"/>
        <v>93.457005991011513</v>
      </c>
      <c r="V68" s="1215">
        <f t="shared" si="23"/>
        <v>9.0331191445797487E-2</v>
      </c>
      <c r="W68" s="897"/>
      <c r="X68" s="895">
        <f>SUM(X42:X67)</f>
        <v>51827.489999999976</v>
      </c>
      <c r="Y68" s="877"/>
      <c r="Z68" s="877"/>
      <c r="AA68" s="762"/>
      <c r="AB68" s="898"/>
      <c r="AC68" s="898"/>
      <c r="AD68" s="898"/>
      <c r="AE68" s="898"/>
      <c r="AF68" s="349"/>
    </row>
    <row r="69" spans="1:32" x14ac:dyDescent="0.25">
      <c r="A69" s="15"/>
      <c r="B69" s="15"/>
      <c r="C69" s="507" t="s">
        <v>540</v>
      </c>
      <c r="D69" s="661"/>
      <c r="E69" s="661"/>
      <c r="F69" s="661"/>
      <c r="G69" s="661"/>
      <c r="H69" s="661"/>
      <c r="I69" s="661"/>
      <c r="J69" s="661"/>
      <c r="K69" s="899">
        <v>3393</v>
      </c>
      <c r="L69" s="864">
        <v>1970.99</v>
      </c>
      <c r="M69" s="948"/>
      <c r="N69" s="948"/>
      <c r="O69" s="879"/>
      <c r="P69" s="661"/>
      <c r="Q69" s="881"/>
      <c r="R69" s="661"/>
      <c r="S69" s="661"/>
      <c r="T69" s="661"/>
      <c r="U69" s="661"/>
      <c r="V69" s="661"/>
      <c r="W69" s="732"/>
      <c r="X69" s="736"/>
      <c r="Y69" s="661"/>
      <c r="Z69" s="661"/>
      <c r="AA69" s="881"/>
      <c r="AB69" s="350"/>
      <c r="AC69" s="350"/>
      <c r="AD69" s="350"/>
      <c r="AE69" s="349"/>
      <c r="AF69" s="349"/>
    </row>
    <row r="70" spans="1:32" ht="18.75" x14ac:dyDescent="0.3">
      <c r="C70" s="507" t="s">
        <v>539</v>
      </c>
      <c r="D70" s="1204"/>
      <c r="E70" s="1204"/>
      <c r="F70" s="1204"/>
      <c r="G70" s="1204"/>
      <c r="H70" s="1204"/>
      <c r="I70" s="1204"/>
      <c r="J70" s="1204"/>
      <c r="K70" s="901">
        <f>K68+K69</f>
        <v>795499.6399999999</v>
      </c>
      <c r="L70" s="901">
        <f>L68+L69</f>
        <v>742250.1399999999</v>
      </c>
      <c r="M70" s="901"/>
      <c r="N70" s="901"/>
      <c r="O70" s="1204"/>
      <c r="P70" s="902"/>
      <c r="Q70" s="1204"/>
      <c r="R70" s="1204"/>
      <c r="S70" s="1204"/>
      <c r="T70" s="1204"/>
      <c r="U70" s="1204"/>
      <c r="V70" s="903"/>
      <c r="W70" s="850"/>
      <c r="X70" s="904"/>
      <c r="Y70" s="904"/>
      <c r="Z70" s="904"/>
      <c r="AA70" s="790"/>
      <c r="AB70" s="349"/>
      <c r="AC70" s="349"/>
      <c r="AD70" s="349"/>
      <c r="AE70" s="349"/>
      <c r="AF70" s="349"/>
    </row>
    <row r="71" spans="1:32" x14ac:dyDescent="0.25">
      <c r="C71" s="565" t="s">
        <v>289</v>
      </c>
      <c r="D71" s="375"/>
      <c r="E71" s="375"/>
      <c r="F71" s="375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49"/>
      <c r="Y71" s="349"/>
      <c r="Z71" s="349"/>
      <c r="AA71" s="349"/>
      <c r="AB71" s="349"/>
      <c r="AC71" s="349"/>
      <c r="AD71" s="349"/>
      <c r="AE71" s="349"/>
      <c r="AF71" s="349"/>
    </row>
    <row r="72" spans="1:32" x14ac:dyDescent="0.25">
      <c r="C72" s="147"/>
      <c r="D72" s="375"/>
      <c r="E72" s="375"/>
      <c r="F72" s="375"/>
      <c r="G72" s="375"/>
      <c r="H72" s="375"/>
      <c r="I72" s="375"/>
      <c r="J72" s="375"/>
      <c r="K72" s="37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  <c r="AB72" s="375"/>
      <c r="AC72" s="375"/>
      <c r="AD72" s="375"/>
      <c r="AE72" s="375"/>
      <c r="AF72" s="375"/>
    </row>
    <row r="73" spans="1:32" ht="15.75" x14ac:dyDescent="0.25">
      <c r="D73" s="2091" t="s">
        <v>378</v>
      </c>
      <c r="E73" s="2091"/>
      <c r="F73" s="2091"/>
      <c r="G73" s="2091"/>
      <c r="H73" s="2091"/>
      <c r="I73" s="2091"/>
      <c r="J73" s="2091"/>
      <c r="K73" s="2091"/>
      <c r="L73" s="2091"/>
      <c r="M73" s="2091"/>
      <c r="N73" s="2091"/>
      <c r="O73" s="2091"/>
      <c r="P73" s="2091"/>
      <c r="Q73" s="2091"/>
      <c r="R73" s="2091"/>
      <c r="S73" s="2091"/>
      <c r="T73" s="2091"/>
      <c r="U73" s="2091"/>
      <c r="V73" s="850"/>
      <c r="W73" s="850"/>
      <c r="X73" s="850"/>
      <c r="Y73" s="850"/>
      <c r="Z73" s="850"/>
      <c r="AA73" s="851"/>
      <c r="AB73" s="375"/>
      <c r="AC73" s="375"/>
      <c r="AD73" s="375"/>
      <c r="AE73" s="375"/>
      <c r="AF73" s="375"/>
    </row>
    <row r="74" spans="1:32" ht="15.75" x14ac:dyDescent="0.25">
      <c r="D74" s="2096" t="s">
        <v>627</v>
      </c>
      <c r="E74" s="2096"/>
      <c r="F74" s="2096"/>
      <c r="G74" s="2096"/>
      <c r="H74" s="2096"/>
      <c r="I74" s="2096"/>
      <c r="J74" s="2096"/>
      <c r="K74" s="2096"/>
      <c r="L74" s="2096"/>
      <c r="M74" s="2096"/>
      <c r="N74" s="2096"/>
      <c r="O74" s="2096"/>
      <c r="P74" s="2096"/>
      <c r="Q74" s="2096"/>
      <c r="R74" s="2096"/>
      <c r="S74" s="2096"/>
      <c r="T74" s="2096"/>
      <c r="U74" s="2096"/>
      <c r="V74" s="852"/>
      <c r="W74" s="852"/>
      <c r="X74" s="852"/>
      <c r="Y74" s="852"/>
      <c r="Z74" s="852"/>
      <c r="AA74" s="851"/>
      <c r="AB74" s="375"/>
      <c r="AC74" s="375"/>
      <c r="AD74" s="375"/>
      <c r="AE74" s="375"/>
      <c r="AF74" s="375"/>
    </row>
    <row r="75" spans="1:32" x14ac:dyDescent="0.25">
      <c r="D75" s="375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851"/>
      <c r="AB75" s="375"/>
      <c r="AC75" s="375"/>
      <c r="AD75" s="375"/>
      <c r="AE75" s="375"/>
      <c r="AF75" s="375"/>
    </row>
    <row r="76" spans="1:32" ht="27" customHeight="1" x14ac:dyDescent="0.25">
      <c r="A76" s="2083" t="s">
        <v>0</v>
      </c>
      <c r="B76" s="2014"/>
      <c r="C76" s="2083" t="s">
        <v>184</v>
      </c>
      <c r="D76" s="2084" t="s">
        <v>54</v>
      </c>
      <c r="E76" s="2085" t="s">
        <v>55</v>
      </c>
      <c r="F76" s="2084" t="s">
        <v>56</v>
      </c>
      <c r="G76" s="2084" t="s">
        <v>57</v>
      </c>
      <c r="H76" s="2085" t="s">
        <v>6</v>
      </c>
      <c r="I76" s="949"/>
      <c r="J76" s="949"/>
      <c r="K76" s="2087" t="s">
        <v>290</v>
      </c>
      <c r="L76" s="2088"/>
      <c r="M76" s="943"/>
      <c r="N76" s="943"/>
      <c r="O76" s="2074" t="s">
        <v>181</v>
      </c>
      <c r="P76" s="2084" t="s">
        <v>7</v>
      </c>
      <c r="Q76" s="2085" t="s">
        <v>8</v>
      </c>
      <c r="R76" s="2089"/>
      <c r="S76" s="2089"/>
      <c r="T76" s="2093" t="s">
        <v>313</v>
      </c>
      <c r="U76" s="2078" t="s">
        <v>554</v>
      </c>
      <c r="V76" s="2078"/>
      <c r="W76" s="2074" t="s">
        <v>175</v>
      </c>
      <c r="X76" s="2074" t="s">
        <v>315</v>
      </c>
      <c r="Y76" s="2076" t="s">
        <v>182</v>
      </c>
      <c r="Z76" s="2081" t="s">
        <v>544</v>
      </c>
      <c r="AA76" s="2074" t="s">
        <v>546</v>
      </c>
      <c r="AB76" s="2072" t="s">
        <v>566</v>
      </c>
      <c r="AC76" s="1200"/>
      <c r="AD76" s="2076"/>
      <c r="AE76" s="2081"/>
      <c r="AF76" s="375"/>
    </row>
    <row r="77" spans="1:32" ht="37.5" customHeight="1" x14ac:dyDescent="0.25">
      <c r="A77" s="2083"/>
      <c r="B77" s="2015"/>
      <c r="C77" s="2083"/>
      <c r="D77" s="2084"/>
      <c r="E77" s="2086"/>
      <c r="F77" s="2084"/>
      <c r="G77" s="2084"/>
      <c r="H77" s="2086"/>
      <c r="I77" s="950"/>
      <c r="J77" s="950"/>
      <c r="K77" s="767" t="s">
        <v>15</v>
      </c>
      <c r="L77" s="1208" t="s">
        <v>286</v>
      </c>
      <c r="M77" s="944"/>
      <c r="N77" s="944"/>
      <c r="O77" s="2075"/>
      <c r="P77" s="2084"/>
      <c r="Q77" s="2086"/>
      <c r="R77" s="2090"/>
      <c r="S77" s="2092"/>
      <c r="T77" s="2093"/>
      <c r="U77" s="2079"/>
      <c r="V77" s="2079"/>
      <c r="W77" s="2075"/>
      <c r="X77" s="2075"/>
      <c r="Y77" s="2077"/>
      <c r="Z77" s="2082"/>
      <c r="AA77" s="2075"/>
      <c r="AB77" s="2073"/>
      <c r="AC77" s="1201"/>
      <c r="AD77" s="2077"/>
      <c r="AE77" s="2082"/>
      <c r="AF77" s="375"/>
    </row>
    <row r="78" spans="1:32" x14ac:dyDescent="0.25">
      <c r="A78" s="32">
        <v>1</v>
      </c>
      <c r="B78" s="32"/>
      <c r="C78" s="42" t="s">
        <v>150</v>
      </c>
      <c r="D78" s="675">
        <v>1966</v>
      </c>
      <c r="E78" s="681">
        <v>3</v>
      </c>
      <c r="F78" s="676">
        <v>36</v>
      </c>
      <c r="G78" s="905">
        <v>65</v>
      </c>
      <c r="H78" s="676">
        <v>1460.92</v>
      </c>
      <c r="I78" s="951"/>
      <c r="J78" s="951"/>
      <c r="K78" s="524">
        <v>32255.14</v>
      </c>
      <c r="L78" s="524">
        <v>29755.64</v>
      </c>
      <c r="M78" s="945"/>
      <c r="N78" s="945"/>
      <c r="O78" s="591">
        <f>P78+Q78+R78+S78+T78+U78+V78</f>
        <v>28423.818549793283</v>
      </c>
      <c r="P78" s="892">
        <v>73</v>
      </c>
      <c r="Q78" s="525">
        <f>2065.84/3870*AA78</f>
        <v>130.78315245478038</v>
      </c>
      <c r="R78" s="591"/>
      <c r="S78" s="890"/>
      <c r="T78" s="906">
        <f>370849.73/3870*AA78</f>
        <v>23477.56688630491</v>
      </c>
      <c r="U78" s="871">
        <f>T78*0.202</f>
        <v>4742.4685110335922</v>
      </c>
      <c r="V78" s="625"/>
      <c r="W78" s="625">
        <f>K78-O78</f>
        <v>3831.3214502067167</v>
      </c>
      <c r="X78" s="871">
        <f>L78/K78*100</f>
        <v>92.250847461830887</v>
      </c>
      <c r="Y78" s="871">
        <f>O78/H78/6</f>
        <v>3.2426848093203007</v>
      </c>
      <c r="Z78" s="871">
        <v>3.62</v>
      </c>
      <c r="AA78" s="736">
        <v>245</v>
      </c>
      <c r="AB78" s="736">
        <f>K78-L78</f>
        <v>2499.5</v>
      </c>
      <c r="AC78" s="736"/>
      <c r="AD78" s="736"/>
      <c r="AE78" s="871"/>
      <c r="AF78" s="375"/>
    </row>
    <row r="79" spans="1:32" x14ac:dyDescent="0.25">
      <c r="A79" s="32">
        <v>2</v>
      </c>
      <c r="B79" s="32"/>
      <c r="C79" s="42" t="s">
        <v>151</v>
      </c>
      <c r="D79" s="675">
        <v>1966</v>
      </c>
      <c r="E79" s="681">
        <v>3</v>
      </c>
      <c r="F79" s="676">
        <v>36</v>
      </c>
      <c r="G79" s="905">
        <v>68</v>
      </c>
      <c r="H79" s="676">
        <v>1486.39</v>
      </c>
      <c r="I79" s="951"/>
      <c r="J79" s="951"/>
      <c r="K79" s="524">
        <v>32431.08</v>
      </c>
      <c r="L79" s="524">
        <v>29264.83</v>
      </c>
      <c r="M79" s="945"/>
      <c r="N79" s="945"/>
      <c r="O79" s="591">
        <f t="shared" ref="O79:O85" si="25">P79+Q79+R79+S79+T79+U79+V79</f>
        <v>28388.818549793283</v>
      </c>
      <c r="P79" s="892">
        <v>38</v>
      </c>
      <c r="Q79" s="525">
        <f t="shared" ref="Q79:Q85" si="26">2065.84/3870*AA79</f>
        <v>130.78315245478038</v>
      </c>
      <c r="R79" s="591"/>
      <c r="S79" s="890"/>
      <c r="T79" s="906">
        <f t="shared" ref="T79:T85" si="27">370849.73/3870*AA79</f>
        <v>23477.56688630491</v>
      </c>
      <c r="U79" s="871">
        <f t="shared" ref="U79:U85" si="28">T79*0.202</f>
        <v>4742.4685110335922</v>
      </c>
      <c r="V79" s="625"/>
      <c r="W79" s="625">
        <f t="shared" ref="W79:W86" si="29">K79-O79</f>
        <v>4042.261450206719</v>
      </c>
      <c r="X79" s="871">
        <f t="shared" ref="X79:X86" si="30">L79/K79*100</f>
        <v>90.236988715762777</v>
      </c>
      <c r="Y79" s="871">
        <f t="shared" ref="Y79:Y86" si="31">O79/H79/6</f>
        <v>3.1831953648092899</v>
      </c>
      <c r="Z79" s="871">
        <v>3.64</v>
      </c>
      <c r="AA79" s="736">
        <v>245</v>
      </c>
      <c r="AB79" s="736">
        <f t="shared" ref="AB79:AB85" si="32">K79-L79</f>
        <v>3166.25</v>
      </c>
      <c r="AC79" s="736"/>
      <c r="AD79" s="736"/>
      <c r="AE79" s="871"/>
      <c r="AF79" s="375"/>
    </row>
    <row r="80" spans="1:32" x14ac:dyDescent="0.25">
      <c r="A80" s="32">
        <v>3</v>
      </c>
      <c r="B80" s="32"/>
      <c r="C80" s="42" t="s">
        <v>155</v>
      </c>
      <c r="D80" s="675">
        <v>1979</v>
      </c>
      <c r="E80" s="681">
        <v>5</v>
      </c>
      <c r="F80" s="676">
        <v>81</v>
      </c>
      <c r="G80" s="905">
        <v>168</v>
      </c>
      <c r="H80" s="907">
        <v>3928.89</v>
      </c>
      <c r="I80" s="954"/>
      <c r="J80" s="954"/>
      <c r="K80" s="524">
        <v>64318.48</v>
      </c>
      <c r="L80" s="524">
        <v>59781.29</v>
      </c>
      <c r="M80" s="945"/>
      <c r="N80" s="945"/>
      <c r="O80" s="591">
        <f t="shared" si="25"/>
        <v>51160.120509426364</v>
      </c>
      <c r="P80" s="892">
        <v>475.8</v>
      </c>
      <c r="Q80" s="525">
        <f t="shared" si="26"/>
        <v>233.80824806201551</v>
      </c>
      <c r="R80" s="591"/>
      <c r="S80" s="890"/>
      <c r="T80" s="906">
        <f t="shared" si="27"/>
        <v>41972.139984496127</v>
      </c>
      <c r="U80" s="871">
        <f t="shared" si="28"/>
        <v>8478.3722768682183</v>
      </c>
      <c r="V80" s="625"/>
      <c r="W80" s="625">
        <f t="shared" si="29"/>
        <v>13158.359490573639</v>
      </c>
      <c r="X80" s="871">
        <f t="shared" si="30"/>
        <v>92.94574436460563</v>
      </c>
      <c r="Y80" s="871">
        <f t="shared" si="31"/>
        <v>2.1702533671268633</v>
      </c>
      <c r="Z80" s="871">
        <v>2.72</v>
      </c>
      <c r="AA80" s="736">
        <v>438</v>
      </c>
      <c r="AB80" s="736">
        <f t="shared" si="32"/>
        <v>4537.1900000000023</v>
      </c>
      <c r="AC80" s="736"/>
      <c r="AD80" s="736"/>
      <c r="AE80" s="871"/>
      <c r="AF80" s="375"/>
    </row>
    <row r="81" spans="1:32" x14ac:dyDescent="0.25">
      <c r="A81" s="32">
        <v>4</v>
      </c>
      <c r="B81" s="32"/>
      <c r="C81" s="42" t="s">
        <v>162</v>
      </c>
      <c r="D81" s="675">
        <v>1985</v>
      </c>
      <c r="E81" s="681">
        <v>5</v>
      </c>
      <c r="F81" s="676">
        <v>76</v>
      </c>
      <c r="G81" s="905">
        <v>158</v>
      </c>
      <c r="H81" s="676">
        <v>4043.22</v>
      </c>
      <c r="I81" s="951"/>
      <c r="J81" s="951"/>
      <c r="K81" s="524">
        <v>63572.02</v>
      </c>
      <c r="L81" s="524">
        <v>64225.78</v>
      </c>
      <c r="M81" s="945"/>
      <c r="N81" s="945"/>
      <c r="O81" s="591">
        <f t="shared" si="25"/>
        <v>62469.447929343667</v>
      </c>
      <c r="P81" s="892">
        <v>444.8</v>
      </c>
      <c r="Q81" s="525">
        <f t="shared" si="26"/>
        <v>286.12150904392763</v>
      </c>
      <c r="R81" s="591"/>
      <c r="S81" s="890"/>
      <c r="T81" s="906">
        <f t="shared" si="27"/>
        <v>51363.166739018088</v>
      </c>
      <c r="U81" s="871">
        <f t="shared" si="28"/>
        <v>10375.359681281654</v>
      </c>
      <c r="V81" s="625"/>
      <c r="W81" s="625">
        <f t="shared" si="29"/>
        <v>1102.5720706563297</v>
      </c>
      <c r="X81" s="871">
        <f t="shared" si="30"/>
        <v>101.02837694948185</v>
      </c>
      <c r="Y81" s="871">
        <f t="shared" si="31"/>
        <v>2.5750700320266056</v>
      </c>
      <c r="Z81" s="871">
        <v>2.63</v>
      </c>
      <c r="AA81" s="736">
        <v>536</v>
      </c>
      <c r="AB81" s="736">
        <f t="shared" si="32"/>
        <v>-653.76000000000204</v>
      </c>
      <c r="AC81" s="736"/>
      <c r="AD81" s="736"/>
      <c r="AE81" s="871"/>
      <c r="AF81" s="375"/>
    </row>
    <row r="82" spans="1:32" x14ac:dyDescent="0.25">
      <c r="A82" s="32">
        <v>6</v>
      </c>
      <c r="B82" s="32"/>
      <c r="C82" s="42" t="s">
        <v>164</v>
      </c>
      <c r="D82" s="675">
        <v>1989</v>
      </c>
      <c r="E82" s="681">
        <v>5</v>
      </c>
      <c r="F82" s="676">
        <v>75</v>
      </c>
      <c r="G82" s="905">
        <v>146</v>
      </c>
      <c r="H82" s="676">
        <v>3492.24</v>
      </c>
      <c r="I82" s="951"/>
      <c r="J82" s="951"/>
      <c r="K82" s="524">
        <v>63783.22</v>
      </c>
      <c r="L82" s="524">
        <v>63256</v>
      </c>
      <c r="M82" s="945"/>
      <c r="N82" s="945"/>
      <c r="O82" s="591">
        <f t="shared" si="25"/>
        <v>44360.133412330746</v>
      </c>
      <c r="P82" s="892">
        <v>156</v>
      </c>
      <c r="Q82" s="525">
        <f t="shared" si="26"/>
        <v>203.91495607235143</v>
      </c>
      <c r="R82" s="591"/>
      <c r="S82" s="890"/>
      <c r="T82" s="906">
        <f t="shared" si="27"/>
        <v>36605.838981912144</v>
      </c>
      <c r="U82" s="871">
        <f t="shared" si="28"/>
        <v>7394.3794743462531</v>
      </c>
      <c r="V82" s="625"/>
      <c r="W82" s="625">
        <f t="shared" si="29"/>
        <v>19423.086587669255</v>
      </c>
      <c r="X82" s="871">
        <f t="shared" si="30"/>
        <v>99.173418965050686</v>
      </c>
      <c r="Y82" s="871">
        <f t="shared" si="31"/>
        <v>2.1170811767581239</v>
      </c>
      <c r="Z82" s="871">
        <v>3.1</v>
      </c>
      <c r="AA82" s="736">
        <v>382</v>
      </c>
      <c r="AB82" s="736">
        <f t="shared" si="32"/>
        <v>527.22000000000116</v>
      </c>
      <c r="AC82" s="736"/>
      <c r="AD82" s="736"/>
      <c r="AE82" s="871"/>
      <c r="AF82" s="375"/>
    </row>
    <row r="83" spans="1:32" x14ac:dyDescent="0.25">
      <c r="A83" s="32">
        <v>7</v>
      </c>
      <c r="B83" s="32"/>
      <c r="C83" s="42" t="s">
        <v>165</v>
      </c>
      <c r="D83" s="675">
        <v>1989</v>
      </c>
      <c r="E83" s="681">
        <v>5</v>
      </c>
      <c r="F83" s="676">
        <v>75</v>
      </c>
      <c r="G83" s="905">
        <v>137</v>
      </c>
      <c r="H83" s="676">
        <v>3454.59</v>
      </c>
      <c r="I83" s="951"/>
      <c r="J83" s="951"/>
      <c r="K83" s="524">
        <v>63679.92</v>
      </c>
      <c r="L83" s="524">
        <v>61514.25</v>
      </c>
      <c r="M83" s="945"/>
      <c r="N83" s="945"/>
      <c r="O83" s="591">
        <f t="shared" si="25"/>
        <v>44379.133412330746</v>
      </c>
      <c r="P83" s="892">
        <v>175</v>
      </c>
      <c r="Q83" s="525">
        <f t="shared" si="26"/>
        <v>203.91495607235143</v>
      </c>
      <c r="R83" s="591"/>
      <c r="S83" s="890"/>
      <c r="T83" s="906">
        <f t="shared" si="27"/>
        <v>36605.838981912144</v>
      </c>
      <c r="U83" s="871">
        <f t="shared" si="28"/>
        <v>7394.3794743462531</v>
      </c>
      <c r="V83" s="625"/>
      <c r="W83" s="625">
        <f t="shared" si="29"/>
        <v>19300.786587669252</v>
      </c>
      <c r="X83" s="871">
        <f t="shared" si="30"/>
        <v>96.599132034085471</v>
      </c>
      <c r="Y83" s="871">
        <f t="shared" si="31"/>
        <v>2.1410709332767297</v>
      </c>
      <c r="Z83" s="871">
        <v>3.07</v>
      </c>
      <c r="AA83" s="736">
        <v>382</v>
      </c>
      <c r="AB83" s="736">
        <f t="shared" si="32"/>
        <v>2165.6699999999983</v>
      </c>
      <c r="AC83" s="736"/>
      <c r="AD83" s="736"/>
      <c r="AE83" s="871"/>
      <c r="AF83" s="375"/>
    </row>
    <row r="84" spans="1:32" x14ac:dyDescent="0.25">
      <c r="A84" s="32">
        <v>8</v>
      </c>
      <c r="B84" s="32"/>
      <c r="C84" s="42" t="s">
        <v>166</v>
      </c>
      <c r="D84" s="675">
        <v>1993</v>
      </c>
      <c r="E84" s="681">
        <v>5</v>
      </c>
      <c r="F84" s="676">
        <v>100</v>
      </c>
      <c r="G84" s="905">
        <v>227</v>
      </c>
      <c r="H84" s="676">
        <v>6046.32</v>
      </c>
      <c r="I84" s="951"/>
      <c r="J84" s="951"/>
      <c r="K84" s="524">
        <v>100691.8</v>
      </c>
      <c r="L84" s="524">
        <v>102090.91</v>
      </c>
      <c r="M84" s="945"/>
      <c r="N84" s="945"/>
      <c r="O84" s="591">
        <f t="shared" si="25"/>
        <v>145961.20968465117</v>
      </c>
      <c r="P84" s="892">
        <v>157</v>
      </c>
      <c r="Q84" s="525">
        <f t="shared" si="26"/>
        <v>672.59906976744185</v>
      </c>
      <c r="R84" s="591"/>
      <c r="S84" s="890"/>
      <c r="T84" s="906">
        <f t="shared" si="27"/>
        <v>120741.77255813954</v>
      </c>
      <c r="U84" s="871">
        <f t="shared" si="28"/>
        <v>24389.838056744189</v>
      </c>
      <c r="V84" s="625"/>
      <c r="W84" s="625">
        <f t="shared" si="29"/>
        <v>-45269.409684651167</v>
      </c>
      <c r="X84" s="871">
        <f t="shared" si="30"/>
        <v>101.38949745659527</v>
      </c>
      <c r="Y84" s="871">
        <f t="shared" si="31"/>
        <v>4.0234172655061586</v>
      </c>
      <c r="Z84" s="871">
        <v>2.77</v>
      </c>
      <c r="AA84" s="736">
        <v>1260</v>
      </c>
      <c r="AB84" s="736">
        <f t="shared" si="32"/>
        <v>-1399.1100000000006</v>
      </c>
      <c r="AC84" s="736"/>
      <c r="AD84" s="736"/>
      <c r="AE84" s="871"/>
      <c r="AF84" s="375"/>
    </row>
    <row r="85" spans="1:32" x14ac:dyDescent="0.25">
      <c r="A85" s="32">
        <v>9</v>
      </c>
      <c r="B85" s="32"/>
      <c r="C85" s="42" t="s">
        <v>167</v>
      </c>
      <c r="D85" s="675">
        <v>1989</v>
      </c>
      <c r="E85" s="681">
        <v>5</v>
      </c>
      <c r="F85" s="676">
        <v>76</v>
      </c>
      <c r="G85" s="905">
        <v>141</v>
      </c>
      <c r="H85" s="676">
        <v>3481.7</v>
      </c>
      <c r="I85" s="951"/>
      <c r="J85" s="951"/>
      <c r="K85" s="524">
        <v>63732.09</v>
      </c>
      <c r="L85" s="524">
        <v>55199.05</v>
      </c>
      <c r="M85" s="945"/>
      <c r="N85" s="945"/>
      <c r="O85" s="591">
        <f t="shared" si="25"/>
        <v>44204.133412330746</v>
      </c>
      <c r="P85" s="892"/>
      <c r="Q85" s="525">
        <f t="shared" si="26"/>
        <v>203.91495607235143</v>
      </c>
      <c r="R85" s="591"/>
      <c r="S85" s="890"/>
      <c r="T85" s="906">
        <f t="shared" si="27"/>
        <v>36605.838981912144</v>
      </c>
      <c r="U85" s="871">
        <f t="shared" si="28"/>
        <v>7394.3794743462531</v>
      </c>
      <c r="V85" s="625"/>
      <c r="W85" s="625">
        <f t="shared" si="29"/>
        <v>19527.95658766925</v>
      </c>
      <c r="X85" s="871">
        <f t="shared" si="30"/>
        <v>86.61107771610817</v>
      </c>
      <c r="Y85" s="871">
        <f t="shared" si="31"/>
        <v>2.1160225087519864</v>
      </c>
      <c r="Z85" s="871">
        <v>3.05</v>
      </c>
      <c r="AA85" s="736">
        <v>382</v>
      </c>
      <c r="AB85" s="736">
        <f t="shared" si="32"/>
        <v>8533.0399999999936</v>
      </c>
      <c r="AC85" s="736"/>
      <c r="AD85" s="736"/>
      <c r="AE85" s="871"/>
      <c r="AF85" s="375"/>
    </row>
    <row r="86" spans="1:32" x14ac:dyDescent="0.25">
      <c r="A86" s="38"/>
      <c r="B86" s="38"/>
      <c r="C86" s="7" t="s">
        <v>52</v>
      </c>
      <c r="D86" s="894"/>
      <c r="E86" s="894"/>
      <c r="F86" s="387">
        <f>SUM(F78:F85)</f>
        <v>555</v>
      </c>
      <c r="G86" s="387">
        <f>SUM(G78:G85)</f>
        <v>1110</v>
      </c>
      <c r="H86" s="387">
        <f>SUM(H78:H85)</f>
        <v>27394.27</v>
      </c>
      <c r="I86" s="955"/>
      <c r="J86" s="955"/>
      <c r="K86" s="535">
        <f>SUM(K78:K85)</f>
        <v>484463.75</v>
      </c>
      <c r="L86" s="535">
        <f>SUM(L78:L85)</f>
        <v>465087.75000000006</v>
      </c>
      <c r="M86" s="957"/>
      <c r="N86" s="957"/>
      <c r="O86" s="895">
        <f>SUM(O78:O85)</f>
        <v>449346.81546000001</v>
      </c>
      <c r="P86" s="535">
        <f>SUM(P78:P85)</f>
        <v>1519.6</v>
      </c>
      <c r="Q86" s="535">
        <f t="shared" ref="Q86:U86" si="33">SUM(Q78:Q85)</f>
        <v>2065.8399999999997</v>
      </c>
      <c r="R86" s="535">
        <f t="shared" si="33"/>
        <v>0</v>
      </c>
      <c r="S86" s="535">
        <f t="shared" si="33"/>
        <v>0</v>
      </c>
      <c r="T86" s="535">
        <f t="shared" si="33"/>
        <v>370849.73</v>
      </c>
      <c r="U86" s="535">
        <f t="shared" si="33"/>
        <v>74911.64546</v>
      </c>
      <c r="V86" s="56">
        <f>SUM(V78:V85)</f>
        <v>0</v>
      </c>
      <c r="W86" s="56">
        <f t="shared" si="29"/>
        <v>35116.934539999987</v>
      </c>
      <c r="X86" s="877">
        <f t="shared" si="30"/>
        <v>96.000526355171061</v>
      </c>
      <c r="Y86" s="877">
        <f t="shared" si="31"/>
        <v>2.7338248440276014</v>
      </c>
      <c r="Z86" s="56"/>
      <c r="AA86" s="762">
        <f>SUM(AA78:AA85)</f>
        <v>3870</v>
      </c>
      <c r="AB86" s="762">
        <f>SUM(AB78:AB85)</f>
        <v>19375.999999999993</v>
      </c>
      <c r="AC86" s="762"/>
      <c r="AD86" s="762"/>
      <c r="AE86" s="762"/>
      <c r="AF86" s="375"/>
    </row>
    <row r="87" spans="1:32" x14ac:dyDescent="0.25">
      <c r="A87" s="15"/>
      <c r="B87" s="15"/>
      <c r="C87" s="564" t="s">
        <v>379</v>
      </c>
      <c r="D87" s="661"/>
      <c r="E87" s="661"/>
      <c r="F87" s="661"/>
      <c r="G87" s="661"/>
      <c r="H87" s="661"/>
      <c r="I87" s="956"/>
      <c r="J87" s="956"/>
      <c r="K87" s="520">
        <v>2490.42</v>
      </c>
      <c r="L87" s="520">
        <v>1446.66</v>
      </c>
      <c r="M87" s="958"/>
      <c r="N87" s="958"/>
      <c r="O87" s="879"/>
      <c r="P87" s="880">
        <f>P86+Q86</f>
        <v>3585.4399999999996</v>
      </c>
      <c r="Q87" s="881"/>
      <c r="R87" s="661"/>
      <c r="S87" s="661"/>
      <c r="T87" s="647">
        <f>T86+U86</f>
        <v>445761.37546000001</v>
      </c>
      <c r="U87" s="661"/>
      <c r="V87" s="661"/>
      <c r="W87" s="736"/>
      <c r="X87" s="736"/>
      <c r="Y87" s="661"/>
      <c r="Z87" s="661"/>
      <c r="AA87" s="881"/>
      <c r="AB87" s="736"/>
      <c r="AC87" s="736"/>
      <c r="AD87" s="661"/>
      <c r="AE87" s="661"/>
      <c r="AF87" s="375"/>
    </row>
    <row r="88" spans="1:32" ht="15" customHeight="1" x14ac:dyDescent="0.3">
      <c r="A88" s="176"/>
      <c r="B88" s="176"/>
      <c r="C88" s="507" t="s">
        <v>539</v>
      </c>
      <c r="D88" s="176"/>
      <c r="E88" s="176"/>
      <c r="F88" s="176"/>
      <c r="G88" s="176"/>
      <c r="H88" s="176"/>
      <c r="I88" s="176"/>
      <c r="J88" s="176"/>
      <c r="K88" s="519">
        <f>K86+K87</f>
        <v>486954.17</v>
      </c>
      <c r="L88" s="519">
        <f>L86+L87</f>
        <v>466534.41000000003</v>
      </c>
      <c r="M88" s="519"/>
      <c r="N88" s="519"/>
      <c r="O88" s="176"/>
      <c r="P88" s="371"/>
      <c r="Q88" s="176"/>
      <c r="R88" s="176"/>
      <c r="S88" s="176"/>
      <c r="T88" s="371"/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</row>
    <row r="89" spans="1:32" ht="15" customHeight="1" x14ac:dyDescent="0.3">
      <c r="A89" s="176"/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</row>
    <row r="90" spans="1:32" ht="15" customHeight="1" x14ac:dyDescent="0.3">
      <c r="A90" s="176"/>
      <c r="B90" s="176"/>
      <c r="C90" s="176"/>
      <c r="D90" s="176"/>
      <c r="E90" s="176"/>
      <c r="F90" s="176"/>
      <c r="G90" s="176"/>
      <c r="H90" s="176"/>
      <c r="I90" s="176"/>
      <c r="J90" s="176"/>
      <c r="K90" s="563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</row>
    <row r="91" spans="1:32" ht="15.75" customHeight="1" x14ac:dyDescent="0.3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</row>
    <row r="92" spans="1:32" ht="15" customHeight="1" x14ac:dyDescent="0.3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</row>
    <row r="93" spans="1:32" ht="15" customHeight="1" x14ac:dyDescent="0.3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</row>
    <row r="94" spans="1:32" ht="15" customHeight="1" x14ac:dyDescent="0.3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</row>
    <row r="95" spans="1:32" ht="15" customHeight="1" x14ac:dyDescent="0.3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</row>
    <row r="96" spans="1:32" ht="15" customHeight="1" x14ac:dyDescent="0.3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</row>
    <row r="97" spans="1:32" ht="15" customHeight="1" x14ac:dyDescent="0.3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</row>
    <row r="98" spans="1:32" ht="15" customHeight="1" x14ac:dyDescent="0.3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</row>
    <row r="99" spans="1:32" ht="15" customHeight="1" x14ac:dyDescent="0.3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</row>
    <row r="100" spans="1:32" ht="15" customHeight="1" x14ac:dyDescent="0.3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</row>
    <row r="101" spans="1:32" ht="15" customHeight="1" x14ac:dyDescent="0.3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</row>
  </sheetData>
  <mergeCells count="78">
    <mergeCell ref="D2:U2"/>
    <mergeCell ref="D3:U3"/>
    <mergeCell ref="A5:A6"/>
    <mergeCell ref="B5:B6"/>
    <mergeCell ref="C5:C6"/>
    <mergeCell ref="D5:D6"/>
    <mergeCell ref="E5:E6"/>
    <mergeCell ref="F5:F6"/>
    <mergeCell ref="G5:G6"/>
    <mergeCell ref="H5:H6"/>
    <mergeCell ref="W5:W6"/>
    <mergeCell ref="I5:J5"/>
    <mergeCell ref="K5:L5"/>
    <mergeCell ref="M5:N5"/>
    <mergeCell ref="O5:O6"/>
    <mergeCell ref="P5:P6"/>
    <mergeCell ref="Q5:Q6"/>
    <mergeCell ref="R5:R6"/>
    <mergeCell ref="S5:S6"/>
    <mergeCell ref="T5:T6"/>
    <mergeCell ref="U5:U6"/>
    <mergeCell ref="V5:V6"/>
    <mergeCell ref="AD5:AD6"/>
    <mergeCell ref="AE5:AE6"/>
    <mergeCell ref="AF5:AF6"/>
    <mergeCell ref="D38:U38"/>
    <mergeCell ref="A40:A41"/>
    <mergeCell ref="B40:B41"/>
    <mergeCell ref="C40:C41"/>
    <mergeCell ref="D40:D41"/>
    <mergeCell ref="E40:E41"/>
    <mergeCell ref="F40:F41"/>
    <mergeCell ref="X5:X6"/>
    <mergeCell ref="Y5:Y6"/>
    <mergeCell ref="Z5:Z6"/>
    <mergeCell ref="AA5:AA6"/>
    <mergeCell ref="AB5:AB6"/>
    <mergeCell ref="AC5:AC6"/>
    <mergeCell ref="W40:W41"/>
    <mergeCell ref="G40:G41"/>
    <mergeCell ref="H40:H41"/>
    <mergeCell ref="K40:L40"/>
    <mergeCell ref="O40:O41"/>
    <mergeCell ref="P40:P41"/>
    <mergeCell ref="Q40:Q41"/>
    <mergeCell ref="R76:R77"/>
    <mergeCell ref="X40:X41"/>
    <mergeCell ref="D73:U73"/>
    <mergeCell ref="D74:U74"/>
    <mergeCell ref="A76:A77"/>
    <mergeCell ref="B76:B77"/>
    <mergeCell ref="C76:C77"/>
    <mergeCell ref="D76:D77"/>
    <mergeCell ref="E76:E77"/>
    <mergeCell ref="F76:F77"/>
    <mergeCell ref="G76:G77"/>
    <mergeCell ref="R40:R41"/>
    <mergeCell ref="S40:S41"/>
    <mergeCell ref="T40:T41"/>
    <mergeCell ref="U40:U41"/>
    <mergeCell ref="V40:V41"/>
    <mergeCell ref="H76:H77"/>
    <mergeCell ref="K76:L76"/>
    <mergeCell ref="O76:O77"/>
    <mergeCell ref="P76:P77"/>
    <mergeCell ref="Q76:Q77"/>
    <mergeCell ref="AE76:AE77"/>
    <mergeCell ref="S76:S77"/>
    <mergeCell ref="T76:T77"/>
    <mergeCell ref="U76:U77"/>
    <mergeCell ref="V76:V77"/>
    <mergeCell ref="W76:W77"/>
    <mergeCell ref="X76:X77"/>
    <mergeCell ref="Y76:Y77"/>
    <mergeCell ref="Z76:Z77"/>
    <mergeCell ref="AA76:AA77"/>
    <mergeCell ref="AB76:AB77"/>
    <mergeCell ref="AD76:AD77"/>
  </mergeCells>
  <pageMargins left="0.17" right="0.17" top="0.31" bottom="0.16" header="0.31496062992125984" footer="0.16"/>
  <pageSetup paperSize="9" orientation="landscape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C97"/>
  <sheetViews>
    <sheetView topLeftCell="W5" workbookViewId="0">
      <selection activeCell="AK7" sqref="AK7:AK34"/>
    </sheetView>
  </sheetViews>
  <sheetFormatPr defaultRowHeight="15" x14ac:dyDescent="0.25"/>
  <cols>
    <col min="1" max="1" width="0.42578125" hidden="1" customWidth="1"/>
    <col min="2" max="2" width="13.5703125" hidden="1" customWidth="1"/>
    <col min="3" max="3" width="20.28515625" customWidth="1"/>
    <col min="4" max="4" width="9" customWidth="1"/>
    <col min="5" max="5" width="9.42578125" customWidth="1"/>
    <col min="6" max="6" width="9.85546875" customWidth="1"/>
    <col min="7" max="7" width="9.140625" customWidth="1"/>
    <col min="8" max="8" width="10.42578125" customWidth="1"/>
    <col min="9" max="24" width="12.42578125" customWidth="1"/>
    <col min="25" max="25" width="11.7109375" customWidth="1"/>
    <col min="26" max="26" width="9.5703125" customWidth="1"/>
    <col min="27" max="27" width="10.42578125" customWidth="1"/>
    <col min="28" max="28" width="10.28515625" customWidth="1"/>
    <col min="29" max="29" width="12.42578125" customWidth="1"/>
    <col min="30" max="31" width="11.140625" customWidth="1"/>
    <col min="32" max="32" width="10.28515625" customWidth="1"/>
    <col min="33" max="33" width="9.28515625" customWidth="1"/>
    <col min="34" max="34" width="11" customWidth="1"/>
    <col min="35" max="35" width="10.140625" customWidth="1"/>
    <col min="36" max="36" width="12.42578125" customWidth="1"/>
    <col min="37" max="37" width="10.7109375" customWidth="1"/>
    <col min="38" max="38" width="12.140625" customWidth="1"/>
    <col min="39" max="39" width="11.5703125" customWidth="1"/>
    <col min="40" max="40" width="9" customWidth="1"/>
    <col min="41" max="42" width="9.85546875" customWidth="1"/>
    <col min="43" max="43" width="10" customWidth="1"/>
    <col min="44" max="44" width="10.5703125" customWidth="1"/>
    <col min="45" max="45" width="12" customWidth="1"/>
    <col min="46" max="47" width="9.140625" customWidth="1"/>
    <col min="48" max="48" width="11.140625" customWidth="1"/>
    <col min="49" max="50" width="10.7109375" customWidth="1"/>
    <col min="51" max="52" width="9.140625" customWidth="1"/>
    <col min="53" max="53" width="12.28515625" customWidth="1"/>
    <col min="54" max="54" width="12.85546875" customWidth="1"/>
    <col min="55" max="56" width="9.140625" customWidth="1"/>
    <col min="57" max="57" width="12.140625" customWidth="1"/>
    <col min="58" max="58" width="11" customWidth="1"/>
    <col min="59" max="59" width="11.85546875" customWidth="1"/>
    <col min="60" max="60" width="11.28515625" customWidth="1"/>
  </cols>
  <sheetData>
    <row r="1" spans="1:81" x14ac:dyDescent="0.25">
      <c r="AM1" s="34"/>
      <c r="AR1" s="250"/>
      <c r="AS1" s="250"/>
      <c r="AT1" s="250"/>
    </row>
    <row r="2" spans="1:81" ht="18.75" x14ac:dyDescent="0.3">
      <c r="D2" s="2095" t="s">
        <v>322</v>
      </c>
      <c r="E2" s="2095"/>
      <c r="F2" s="2095"/>
      <c r="G2" s="2095"/>
      <c r="H2" s="2095"/>
      <c r="I2" s="2095"/>
      <c r="J2" s="2095"/>
      <c r="K2" s="2095"/>
      <c r="L2" s="2095"/>
      <c r="M2" s="2095"/>
      <c r="N2" s="2095"/>
      <c r="O2" s="2095"/>
      <c r="P2" s="2095"/>
      <c r="Q2" s="2095"/>
      <c r="R2" s="2095"/>
      <c r="S2" s="2095"/>
      <c r="T2" s="2095"/>
      <c r="U2" s="2095"/>
      <c r="V2" s="2095"/>
      <c r="W2" s="2095"/>
      <c r="X2" s="2095"/>
      <c r="Y2" s="2095"/>
      <c r="Z2" s="2095"/>
      <c r="AA2" s="2095"/>
      <c r="AB2" s="2095"/>
      <c r="AC2" s="2095"/>
      <c r="AD2" s="2095"/>
      <c r="AE2" s="2095"/>
      <c r="AF2" s="2095"/>
      <c r="AG2" s="2095"/>
      <c r="AH2" s="24"/>
      <c r="AI2" s="24"/>
      <c r="AJ2" s="24"/>
      <c r="AK2" s="24"/>
      <c r="AL2" s="24"/>
      <c r="AM2" s="34"/>
      <c r="AR2" s="250"/>
      <c r="AS2" s="250"/>
      <c r="AT2" s="250"/>
    </row>
    <row r="3" spans="1:81" ht="15.75" x14ac:dyDescent="0.25">
      <c r="D3" s="2096" t="s">
        <v>655</v>
      </c>
      <c r="E3" s="2096"/>
      <c r="F3" s="2096"/>
      <c r="G3" s="2096"/>
      <c r="H3" s="2096"/>
      <c r="I3" s="2096"/>
      <c r="J3" s="2096"/>
      <c r="K3" s="2096"/>
      <c r="L3" s="2096"/>
      <c r="M3" s="2096"/>
      <c r="N3" s="2096"/>
      <c r="O3" s="2096"/>
      <c r="P3" s="2096"/>
      <c r="Q3" s="2096"/>
      <c r="R3" s="2096"/>
      <c r="S3" s="2096"/>
      <c r="T3" s="2096"/>
      <c r="U3" s="2096"/>
      <c r="V3" s="2096"/>
      <c r="W3" s="2096"/>
      <c r="X3" s="2096"/>
      <c r="Y3" s="2096"/>
      <c r="Z3" s="2096"/>
      <c r="AA3" s="2096"/>
      <c r="AB3" s="2096"/>
      <c r="AC3" s="2096"/>
      <c r="AD3" s="2096"/>
      <c r="AE3" s="2096"/>
      <c r="AF3" s="2096"/>
      <c r="AG3" s="2096"/>
      <c r="AH3" s="25"/>
      <c r="AI3" s="25"/>
      <c r="AJ3" s="478"/>
      <c r="AK3" s="478"/>
      <c r="AL3" s="478"/>
      <c r="AM3" s="34"/>
      <c r="AR3" s="250"/>
      <c r="AS3" s="250"/>
      <c r="AT3" s="250"/>
    </row>
    <row r="4" spans="1:81" x14ac:dyDescent="0.25">
      <c r="AJ4" s="479"/>
      <c r="AK4" s="479"/>
      <c r="AL4" s="479"/>
      <c r="AM4" s="34"/>
      <c r="AR4" s="250"/>
      <c r="AS4" s="250"/>
      <c r="AT4" s="250"/>
    </row>
    <row r="5" spans="1:81" ht="40.5" customHeight="1" x14ac:dyDescent="0.25">
      <c r="A5" s="2083" t="s">
        <v>0</v>
      </c>
      <c r="B5" s="2014"/>
      <c r="C5" s="2083" t="s">
        <v>184</v>
      </c>
      <c r="D5" s="2083" t="s">
        <v>54</v>
      </c>
      <c r="E5" s="2014" t="s">
        <v>55</v>
      </c>
      <c r="F5" s="2083" t="s">
        <v>56</v>
      </c>
      <c r="G5" s="2083" t="s">
        <v>57</v>
      </c>
      <c r="H5" s="2014" t="s">
        <v>6</v>
      </c>
      <c r="I5" s="2109" t="s">
        <v>661</v>
      </c>
      <c r="J5" s="2109"/>
      <c r="K5" s="1991" t="s">
        <v>656</v>
      </c>
      <c r="L5" s="1992"/>
      <c r="M5" s="1991" t="s">
        <v>657</v>
      </c>
      <c r="N5" s="1992"/>
      <c r="O5" s="1989" t="s">
        <v>658</v>
      </c>
      <c r="P5" s="1990"/>
      <c r="Q5" s="2017" t="s">
        <v>310</v>
      </c>
      <c r="R5" s="2017"/>
      <c r="S5" s="1991" t="s">
        <v>593</v>
      </c>
      <c r="T5" s="1992"/>
      <c r="U5" s="1991" t="s">
        <v>284</v>
      </c>
      <c r="V5" s="1992"/>
      <c r="W5" s="2017" t="s">
        <v>726</v>
      </c>
      <c r="X5" s="2017"/>
      <c r="Y5" s="2022" t="s">
        <v>747</v>
      </c>
      <c r="Z5" s="2009" t="s">
        <v>332</v>
      </c>
      <c r="AA5" s="1987" t="s">
        <v>377</v>
      </c>
      <c r="AB5" s="2003" t="s">
        <v>337</v>
      </c>
      <c r="AC5" s="2003" t="s">
        <v>695</v>
      </c>
      <c r="AD5" s="2003" t="s">
        <v>568</v>
      </c>
      <c r="AE5" s="2003" t="s">
        <v>570</v>
      </c>
      <c r="AF5" s="2003" t="s">
        <v>10</v>
      </c>
      <c r="AG5" s="2107" t="s">
        <v>503</v>
      </c>
      <c r="AH5" s="2009" t="s">
        <v>316</v>
      </c>
      <c r="AI5" s="2009" t="s">
        <v>369</v>
      </c>
      <c r="AJ5" s="2003" t="s">
        <v>321</v>
      </c>
      <c r="AK5" s="2005" t="s">
        <v>554</v>
      </c>
      <c r="AL5" s="2022" t="s">
        <v>688</v>
      </c>
      <c r="AM5" s="1987" t="s">
        <v>689</v>
      </c>
      <c r="AN5" s="2003" t="s">
        <v>606</v>
      </c>
      <c r="AO5" s="2003" t="s">
        <v>375</v>
      </c>
      <c r="AP5" s="2003" t="s">
        <v>372</v>
      </c>
      <c r="AQ5" s="1987" t="s">
        <v>314</v>
      </c>
      <c r="AR5" s="1987" t="s">
        <v>616</v>
      </c>
      <c r="AS5" s="2024" t="s">
        <v>691</v>
      </c>
      <c r="AT5" s="2009" t="s">
        <v>727</v>
      </c>
      <c r="AU5" s="2009" t="s">
        <v>690</v>
      </c>
      <c r="AV5" s="1987" t="s">
        <v>313</v>
      </c>
      <c r="AW5" s="1987" t="s">
        <v>554</v>
      </c>
      <c r="AX5" s="2022" t="s">
        <v>692</v>
      </c>
      <c r="AY5" s="1987" t="s">
        <v>693</v>
      </c>
      <c r="AZ5" s="1987" t="s">
        <v>656</v>
      </c>
      <c r="BA5" s="1987" t="s">
        <v>694</v>
      </c>
      <c r="BB5" s="1987" t="s">
        <v>735</v>
      </c>
      <c r="BC5" s="2005" t="s">
        <v>724</v>
      </c>
      <c r="BD5" s="2001" t="s">
        <v>182</v>
      </c>
      <c r="BE5" s="2001" t="s">
        <v>736</v>
      </c>
      <c r="BF5" s="2001" t="s">
        <v>725</v>
      </c>
      <c r="BG5" s="1999" t="s">
        <v>715</v>
      </c>
      <c r="BH5" s="1999" t="s">
        <v>716</v>
      </c>
    </row>
    <row r="6" spans="1:81" ht="49.5" customHeight="1" x14ac:dyDescent="0.25">
      <c r="A6" s="2083"/>
      <c r="B6" s="2015"/>
      <c r="C6" s="2083"/>
      <c r="D6" s="2083"/>
      <c r="E6" s="2015"/>
      <c r="F6" s="2083"/>
      <c r="G6" s="2083"/>
      <c r="H6" s="2015"/>
      <c r="I6" s="150" t="s">
        <v>15</v>
      </c>
      <c r="J6" s="1313" t="s">
        <v>16</v>
      </c>
      <c r="K6" s="150" t="s">
        <v>15</v>
      </c>
      <c r="L6" s="1313" t="s">
        <v>16</v>
      </c>
      <c r="M6" s="150" t="s">
        <v>15</v>
      </c>
      <c r="N6" s="1313" t="s">
        <v>16</v>
      </c>
      <c r="O6" s="150" t="s">
        <v>15</v>
      </c>
      <c r="P6" s="1313" t="s">
        <v>16</v>
      </c>
      <c r="Q6" s="150" t="s">
        <v>15</v>
      </c>
      <c r="R6" s="1313" t="s">
        <v>16</v>
      </c>
      <c r="S6" s="150" t="s">
        <v>15</v>
      </c>
      <c r="T6" s="1359" t="s">
        <v>16</v>
      </c>
      <c r="U6" s="150" t="s">
        <v>15</v>
      </c>
      <c r="V6" s="1470" t="s">
        <v>16</v>
      </c>
      <c r="W6" s="1473" t="s">
        <v>15</v>
      </c>
      <c r="X6" s="1474" t="s">
        <v>16</v>
      </c>
      <c r="Y6" s="2023"/>
      <c r="Z6" s="2009"/>
      <c r="AA6" s="1988"/>
      <c r="AB6" s="2004"/>
      <c r="AC6" s="2004"/>
      <c r="AD6" s="2004"/>
      <c r="AE6" s="2002"/>
      <c r="AF6" s="2004"/>
      <c r="AG6" s="2107"/>
      <c r="AH6" s="2009"/>
      <c r="AI6" s="2108"/>
      <c r="AJ6" s="2004"/>
      <c r="AK6" s="2002"/>
      <c r="AL6" s="2023"/>
      <c r="AM6" s="1988"/>
      <c r="AN6" s="2004"/>
      <c r="AO6" s="2004"/>
      <c r="AP6" s="2004"/>
      <c r="AQ6" s="1988"/>
      <c r="AR6" s="1988"/>
      <c r="AS6" s="2025"/>
      <c r="AT6" s="2009"/>
      <c r="AU6" s="2009"/>
      <c r="AV6" s="1988"/>
      <c r="AW6" s="1988"/>
      <c r="AX6" s="2023"/>
      <c r="AY6" s="1988"/>
      <c r="AZ6" s="1988"/>
      <c r="BA6" s="1988"/>
      <c r="BB6" s="1988"/>
      <c r="BC6" s="2006"/>
      <c r="BD6" s="2002"/>
      <c r="BE6" s="2002"/>
      <c r="BF6" s="2002"/>
      <c r="BG6" s="2000"/>
      <c r="BH6" s="2000"/>
    </row>
    <row r="7" spans="1:81" x14ac:dyDescent="0.25">
      <c r="A7" s="32">
        <v>1</v>
      </c>
      <c r="B7" s="582"/>
      <c r="C7" s="42" t="s">
        <v>145</v>
      </c>
      <c r="D7" s="705">
        <v>1960</v>
      </c>
      <c r="E7" s="705">
        <v>2</v>
      </c>
      <c r="F7" s="866">
        <v>16</v>
      </c>
      <c r="G7" s="867">
        <v>35</v>
      </c>
      <c r="H7" s="706">
        <v>636.4</v>
      </c>
      <c r="I7" s="706">
        <v>0</v>
      </c>
      <c r="J7" s="706">
        <v>0</v>
      </c>
      <c r="K7" s="706">
        <v>611.58000000000004</v>
      </c>
      <c r="L7" s="706">
        <v>730.61</v>
      </c>
      <c r="M7" s="706">
        <v>0</v>
      </c>
      <c r="N7" s="706">
        <v>0</v>
      </c>
      <c r="O7" s="871">
        <v>6804.24</v>
      </c>
      <c r="P7" s="871">
        <v>7800.77</v>
      </c>
      <c r="Q7" s="871">
        <v>44705.4</v>
      </c>
      <c r="R7" s="871">
        <v>39908.559999999998</v>
      </c>
      <c r="S7" s="871">
        <v>665.6</v>
      </c>
      <c r="T7" s="871">
        <v>511.7</v>
      </c>
      <c r="U7" s="871">
        <v>23077.279999999999</v>
      </c>
      <c r="V7" s="871">
        <v>21686.17</v>
      </c>
      <c r="W7" s="871">
        <f>I7+K7+M7+O7+Q7+S7+U7</f>
        <v>75864.100000000006</v>
      </c>
      <c r="X7" s="871">
        <f>J7+L7+N7+P7+R7+T7+V7</f>
        <v>70637.81</v>
      </c>
      <c r="Y7" s="1328">
        <f>AL7+AS7+AX7+AY7+AZ7+BA7</f>
        <v>48998.893163734509</v>
      </c>
      <c r="Z7" s="870">
        <v>175.42</v>
      </c>
      <c r="AA7" s="890">
        <f>94047.49/37653.88*H7</f>
        <v>1589.5260365200081</v>
      </c>
      <c r="AB7" s="871">
        <v>938.7</v>
      </c>
      <c r="AC7" s="890">
        <f>19237.68/37653.88*H7</f>
        <v>325.14204517568976</v>
      </c>
      <c r="AD7" s="890">
        <f>1000/37653.88*H7</f>
        <v>16.901312693406364</v>
      </c>
      <c r="AE7" s="890">
        <f>924.65/37653.88*H7</f>
        <v>15.627798781958194</v>
      </c>
      <c r="AF7" s="871"/>
      <c r="AG7" s="871">
        <f>79410.78/37653.88*H7</f>
        <v>1342.1464240073003</v>
      </c>
      <c r="AH7" s="871">
        <f>842071.01/37653.88*H7</f>
        <v>14232.105450062518</v>
      </c>
      <c r="AI7" s="871">
        <f>91794.16/37653.88*H7</f>
        <v>1551.4418015885749</v>
      </c>
      <c r="AJ7" s="871">
        <f>865699.33/37140.08*H7</f>
        <v>14833.868252626271</v>
      </c>
      <c r="AK7" s="871">
        <f>AJ7*0.202</f>
        <v>2996.441387030507</v>
      </c>
      <c r="AL7" s="1328">
        <f>AK7+AJ7+AI7+AH7+AG7+AF7+AE7+AD7+AC7+AB7+AA7+Z7</f>
        <v>38017.320508486235</v>
      </c>
      <c r="AM7" s="890"/>
      <c r="AN7" s="890"/>
      <c r="AO7" s="890"/>
      <c r="AP7" s="890"/>
      <c r="AQ7" s="890"/>
      <c r="AR7" s="890"/>
      <c r="AS7" s="1490">
        <f>AR7+AQ7+AP7+AO7+AN7+AM7</f>
        <v>0</v>
      </c>
      <c r="AT7" s="1480"/>
      <c r="AU7" s="1481"/>
      <c r="AV7" s="1481"/>
      <c r="AW7" s="1481"/>
      <c r="AX7" s="1491">
        <f>AW7+AV7+AU7+AT7</f>
        <v>0</v>
      </c>
      <c r="AY7" s="1482"/>
      <c r="AZ7" s="1481">
        <f>47763.29/37653.88*H7</f>
        <v>807.26229955584927</v>
      </c>
      <c r="BA7" s="1481">
        <f>601983.44/37653.88*H7</f>
        <v>10174.310355692427</v>
      </c>
      <c r="BB7" s="1481">
        <f>W7-Y7</f>
        <v>26865.206836265497</v>
      </c>
      <c r="BC7" s="1481">
        <f>X7/W7*100</f>
        <v>93.110983983201535</v>
      </c>
      <c r="BD7" s="1481">
        <f>Y7/H7/9</f>
        <v>8.5548734485184905</v>
      </c>
      <c r="BE7" s="1481">
        <f>W7-X7</f>
        <v>5226.2900000000081</v>
      </c>
      <c r="BF7" s="1481">
        <f>U7-V7</f>
        <v>1391.1100000000006</v>
      </c>
      <c r="BG7" s="1481">
        <v>9.41</v>
      </c>
      <c r="BH7" s="1481">
        <v>4</v>
      </c>
    </row>
    <row r="8" spans="1:81" x14ac:dyDescent="0.25">
      <c r="A8" s="32">
        <v>2</v>
      </c>
      <c r="B8" s="582"/>
      <c r="C8" s="42" t="s">
        <v>146</v>
      </c>
      <c r="D8" s="705">
        <v>1960</v>
      </c>
      <c r="E8" s="705">
        <v>2</v>
      </c>
      <c r="F8" s="866">
        <v>16</v>
      </c>
      <c r="G8" s="867">
        <v>27</v>
      </c>
      <c r="H8" s="706">
        <v>647.79999999999995</v>
      </c>
      <c r="I8" s="706">
        <v>0</v>
      </c>
      <c r="J8" s="706">
        <v>0</v>
      </c>
      <c r="K8" s="706">
        <v>621.84</v>
      </c>
      <c r="L8" s="706">
        <v>557.44000000000005</v>
      </c>
      <c r="M8" s="706">
        <v>0</v>
      </c>
      <c r="N8" s="706">
        <v>0</v>
      </c>
      <c r="O8" s="871">
        <v>6918.6</v>
      </c>
      <c r="P8" s="871">
        <v>6202.28</v>
      </c>
      <c r="Q8" s="871">
        <v>45499.32</v>
      </c>
      <c r="R8" s="871">
        <v>33189.9</v>
      </c>
      <c r="S8" s="871">
        <v>665.46</v>
      </c>
      <c r="T8" s="871">
        <v>490.4</v>
      </c>
      <c r="U8" s="871">
        <v>23314.400000000001</v>
      </c>
      <c r="V8" s="871">
        <v>17673.86</v>
      </c>
      <c r="W8" s="871">
        <f t="shared" ref="W8:W33" si="0">I8+K8+M8+O8+Q8+S8+U8</f>
        <v>77019.62</v>
      </c>
      <c r="X8" s="871">
        <f t="shared" ref="X8:X33" si="1">J8+L8+N8+P8+R8+T8+V8</f>
        <v>58113.880000000005</v>
      </c>
      <c r="Y8" s="1328">
        <f t="shared" ref="Y8:Y33" si="2">AL8+AS8+AX8+AY8+AZ8+BA8</f>
        <v>49936.205655982427</v>
      </c>
      <c r="Z8" s="870">
        <v>270.5</v>
      </c>
      <c r="AA8" s="890">
        <f t="shared" ref="AA8:AA33" si="3">94047.49/37653.88*H8</f>
        <v>1617.9996330258662</v>
      </c>
      <c r="AB8" s="871">
        <v>923.16</v>
      </c>
      <c r="AC8" s="890">
        <f t="shared" ref="AC8:AC33" si="4">19237.68/37653.88*H8</f>
        <v>330.96639985042714</v>
      </c>
      <c r="AD8" s="890">
        <f t="shared" ref="AD8:AD33" si="5">1000/37653.88*H8</f>
        <v>17.204070337505723</v>
      </c>
      <c r="AE8" s="890">
        <f t="shared" ref="AE8:AE33" si="6">924.65/37653.88*H8</f>
        <v>15.907743637574667</v>
      </c>
      <c r="AF8" s="871"/>
      <c r="AG8" s="871">
        <f t="shared" ref="AG8:AG33" si="7">79410.78/37653.88*H8</f>
        <v>1366.1886446761928</v>
      </c>
      <c r="AH8" s="871">
        <f t="shared" ref="AH8:AH33" si="8">842071.01/37653.88*H8</f>
        <v>14487.048885214484</v>
      </c>
      <c r="AI8" s="871">
        <f t="shared" ref="AI8:AI33" si="9">91794.16/37653.88*H8</f>
        <v>1579.2331852122545</v>
      </c>
      <c r="AJ8" s="871">
        <f t="shared" ref="AJ8:AJ29" si="10">865699.33/37140.08*H8</f>
        <v>15099.591222582178</v>
      </c>
      <c r="AK8" s="871">
        <f t="shared" ref="AK8:AK29" si="11">AJ8*0.202</f>
        <v>3050.1174269615999</v>
      </c>
      <c r="AL8" s="1328">
        <f t="shared" ref="AL8:AL33" si="12">AK8+AJ8+AI8+AH8+AG8+AF8+AE8+AD8+AC8+AB8+AA8+Z8</f>
        <v>38757.917211498083</v>
      </c>
      <c r="AM8" s="890"/>
      <c r="AN8" s="890"/>
      <c r="AO8" s="890"/>
      <c r="AP8" s="890"/>
      <c r="AQ8" s="890"/>
      <c r="AR8" s="890"/>
      <c r="AS8" s="1490">
        <f t="shared" ref="AS8:AS33" si="13">AR8+AQ8+AP8+AO8+AN8+AM8</f>
        <v>0</v>
      </c>
      <c r="AT8" s="1480"/>
      <c r="AU8" s="1481"/>
      <c r="AV8" s="1481"/>
      <c r="AW8" s="1481"/>
      <c r="AX8" s="1491">
        <f t="shared" ref="AX8:AX33" si="14">AW8+AV8+AU8+AT8</f>
        <v>0</v>
      </c>
      <c r="AY8" s="1482"/>
      <c r="AZ8" s="1481">
        <f t="shared" ref="AZ8:AZ33" si="15">47763.29/37653.88*H8</f>
        <v>821.72300071068378</v>
      </c>
      <c r="BA8" s="1481">
        <f t="shared" ref="BA8:BA33" si="16">601983.44/37653.88*H8</f>
        <v>10356.565443773656</v>
      </c>
      <c r="BB8" s="1481">
        <f t="shared" ref="BB8:BB33" si="17">W8-Y8</f>
        <v>27083.414344017569</v>
      </c>
      <c r="BC8" s="1481">
        <f t="shared" ref="BC8:BC34" si="18">X8/W8*100</f>
        <v>75.453345524166451</v>
      </c>
      <c r="BD8" s="1481">
        <f t="shared" ref="BD8:BD34" si="19">Y8/H8/9</f>
        <v>8.5650930767353479</v>
      </c>
      <c r="BE8" s="1481">
        <f t="shared" ref="BE8:BE34" si="20">W8-X8</f>
        <v>18905.739999999991</v>
      </c>
      <c r="BF8" s="1481">
        <f t="shared" ref="BF8:BF33" si="21">U8-V8</f>
        <v>5640.5400000000009</v>
      </c>
      <c r="BG8" s="1481">
        <v>9.42</v>
      </c>
      <c r="BH8" s="1481">
        <v>4</v>
      </c>
    </row>
    <row r="9" spans="1:81" x14ac:dyDescent="0.25">
      <c r="A9" s="32">
        <v>3</v>
      </c>
      <c r="B9" s="582"/>
      <c r="C9" s="42" t="s">
        <v>147</v>
      </c>
      <c r="D9" s="705">
        <v>1960</v>
      </c>
      <c r="E9" s="705">
        <v>2</v>
      </c>
      <c r="F9" s="866">
        <v>16</v>
      </c>
      <c r="G9" s="867">
        <v>27</v>
      </c>
      <c r="H9" s="706">
        <v>641</v>
      </c>
      <c r="I9" s="706">
        <v>0</v>
      </c>
      <c r="J9" s="706">
        <v>0</v>
      </c>
      <c r="K9" s="706">
        <v>615.17999999999995</v>
      </c>
      <c r="L9" s="706">
        <v>718.13</v>
      </c>
      <c r="M9" s="706">
        <v>0</v>
      </c>
      <c r="N9" s="706">
        <v>0</v>
      </c>
      <c r="O9" s="871">
        <v>6846</v>
      </c>
      <c r="P9" s="871">
        <v>7992.09</v>
      </c>
      <c r="Q9" s="871">
        <v>44979.15</v>
      </c>
      <c r="R9" s="871">
        <v>42759.48</v>
      </c>
      <c r="S9" s="871">
        <v>665.28</v>
      </c>
      <c r="T9" s="871">
        <v>631.9</v>
      </c>
      <c r="U9" s="871">
        <v>28383.3</v>
      </c>
      <c r="V9" s="871">
        <v>28036.94</v>
      </c>
      <c r="W9" s="871">
        <f t="shared" si="0"/>
        <v>81488.91</v>
      </c>
      <c r="X9" s="871">
        <f t="shared" si="1"/>
        <v>80138.540000000008</v>
      </c>
      <c r="Y9" s="1328">
        <f t="shared" si="2"/>
        <v>50843.141888676641</v>
      </c>
      <c r="Z9" s="870">
        <v>1689.09</v>
      </c>
      <c r="AA9" s="890">
        <f t="shared" si="3"/>
        <v>1601.0153824785123</v>
      </c>
      <c r="AB9" s="871">
        <v>923.16</v>
      </c>
      <c r="AC9" s="890">
        <f t="shared" si="4"/>
        <v>327.49222337777678</v>
      </c>
      <c r="AD9" s="890">
        <f t="shared" si="5"/>
        <v>17.023478058569264</v>
      </c>
      <c r="AE9" s="890">
        <f t="shared" si="6"/>
        <v>15.74075898685607</v>
      </c>
      <c r="AF9" s="871"/>
      <c r="AG9" s="871">
        <f t="shared" si="7"/>
        <v>1351.847670943871</v>
      </c>
      <c r="AH9" s="871">
        <f t="shared" si="8"/>
        <v>14334.97736249226</v>
      </c>
      <c r="AI9" s="871">
        <f t="shared" si="9"/>
        <v>1562.6558686647966</v>
      </c>
      <c r="AJ9" s="871">
        <f t="shared" si="10"/>
        <v>14941.089801906724</v>
      </c>
      <c r="AK9" s="871">
        <f t="shared" si="11"/>
        <v>3018.1001399851584</v>
      </c>
      <c r="AL9" s="1328">
        <f t="shared" si="12"/>
        <v>39782.192686894516</v>
      </c>
      <c r="AM9" s="890"/>
      <c r="AN9" s="890"/>
      <c r="AO9" s="890"/>
      <c r="AP9" s="890"/>
      <c r="AQ9" s="890"/>
      <c r="AR9" s="890"/>
      <c r="AS9" s="1490">
        <f t="shared" si="13"/>
        <v>0</v>
      </c>
      <c r="AT9" s="1480"/>
      <c r="AU9" s="1481"/>
      <c r="AV9" s="1481"/>
      <c r="AW9" s="1481"/>
      <c r="AX9" s="1491">
        <f t="shared" si="14"/>
        <v>0</v>
      </c>
      <c r="AY9" s="1482"/>
      <c r="AZ9" s="1481">
        <f t="shared" si="15"/>
        <v>813.09731932008071</v>
      </c>
      <c r="BA9" s="1481">
        <f t="shared" si="16"/>
        <v>10247.851882462046</v>
      </c>
      <c r="BB9" s="1481">
        <f t="shared" si="17"/>
        <v>30645.768111323363</v>
      </c>
      <c r="BC9" s="1481">
        <f t="shared" si="18"/>
        <v>98.342878803999227</v>
      </c>
      <c r="BD9" s="1481">
        <f t="shared" si="19"/>
        <v>8.8131637872554407</v>
      </c>
      <c r="BE9" s="1481">
        <f t="shared" si="20"/>
        <v>1350.3699999999953</v>
      </c>
      <c r="BF9" s="1481">
        <f t="shared" si="21"/>
        <v>346.36000000000058</v>
      </c>
      <c r="BG9" s="1481">
        <v>9.41</v>
      </c>
      <c r="BH9" s="1481">
        <v>4.92</v>
      </c>
    </row>
    <row r="10" spans="1:81" x14ac:dyDescent="0.25">
      <c r="A10" s="32">
        <v>4</v>
      </c>
      <c r="B10" s="582"/>
      <c r="C10" s="42" t="s">
        <v>148</v>
      </c>
      <c r="D10" s="705">
        <v>1960</v>
      </c>
      <c r="E10" s="705">
        <v>2</v>
      </c>
      <c r="F10" s="866">
        <v>16</v>
      </c>
      <c r="G10" s="867">
        <v>27</v>
      </c>
      <c r="H10" s="706">
        <v>634</v>
      </c>
      <c r="I10" s="706">
        <v>0</v>
      </c>
      <c r="J10" s="706">
        <v>0</v>
      </c>
      <c r="K10" s="706">
        <v>610.55999999999995</v>
      </c>
      <c r="L10" s="706">
        <v>652.29999999999995</v>
      </c>
      <c r="M10" s="706">
        <v>0</v>
      </c>
      <c r="N10" s="706">
        <v>0</v>
      </c>
      <c r="O10" s="871">
        <v>6792.66</v>
      </c>
      <c r="P10" s="871">
        <v>7232.47</v>
      </c>
      <c r="Q10" s="871">
        <v>44628.18</v>
      </c>
      <c r="R10" s="871">
        <v>37427.58</v>
      </c>
      <c r="S10" s="871">
        <v>665.6</v>
      </c>
      <c r="T10" s="871">
        <v>557.29</v>
      </c>
      <c r="U10" s="871">
        <v>22896</v>
      </c>
      <c r="V10" s="871">
        <v>20098.34</v>
      </c>
      <c r="W10" s="871">
        <f t="shared" si="0"/>
        <v>75593</v>
      </c>
      <c r="X10" s="871">
        <f t="shared" si="1"/>
        <v>65967.98000000001</v>
      </c>
      <c r="Y10" s="1328">
        <f t="shared" si="2"/>
        <v>63632.669481156016</v>
      </c>
      <c r="Z10" s="870">
        <v>457.11</v>
      </c>
      <c r="AA10" s="890">
        <f t="shared" si="3"/>
        <v>1583.531595150354</v>
      </c>
      <c r="AB10" s="871">
        <v>923.16</v>
      </c>
      <c r="AC10" s="890">
        <f t="shared" si="4"/>
        <v>323.91586524416613</v>
      </c>
      <c r="AD10" s="890">
        <f t="shared" si="5"/>
        <v>16.837574242017027</v>
      </c>
      <c r="AE10" s="890">
        <f t="shared" si="6"/>
        <v>15.568863022881043</v>
      </c>
      <c r="AF10" s="871"/>
      <c r="AG10" s="871">
        <f t="shared" si="7"/>
        <v>1337.0849038664808</v>
      </c>
      <c r="AH10" s="871">
        <f t="shared" si="8"/>
        <v>14178.433147925261</v>
      </c>
      <c r="AI10" s="871">
        <f t="shared" si="9"/>
        <v>1545.5909839835897</v>
      </c>
      <c r="AJ10" s="871">
        <f t="shared" si="10"/>
        <v>14777.926574740817</v>
      </c>
      <c r="AK10" s="871">
        <f t="shared" si="11"/>
        <v>2985.1411680976453</v>
      </c>
      <c r="AL10" s="1328">
        <f t="shared" si="12"/>
        <v>38144.300676273226</v>
      </c>
      <c r="AM10" s="890">
        <v>14548.21</v>
      </c>
      <c r="AN10" s="890"/>
      <c r="AO10" s="890"/>
      <c r="AP10" s="890"/>
      <c r="AQ10" s="890"/>
      <c r="AR10" s="890"/>
      <c r="AS10" s="1490">
        <f t="shared" si="13"/>
        <v>14548.21</v>
      </c>
      <c r="AT10" s="1480"/>
      <c r="AU10" s="1481"/>
      <c r="AV10" s="1481"/>
      <c r="AW10" s="1481"/>
      <c r="AX10" s="1491">
        <f t="shared" si="14"/>
        <v>0</v>
      </c>
      <c r="AY10" s="1482"/>
      <c r="AZ10" s="1481">
        <f t="shared" si="15"/>
        <v>804.21794141798944</v>
      </c>
      <c r="BA10" s="1481">
        <f t="shared" si="16"/>
        <v>10135.940863464801</v>
      </c>
      <c r="BB10" s="1481">
        <f t="shared" si="17"/>
        <v>11960.330518843984</v>
      </c>
      <c r="BC10" s="1481">
        <f t="shared" si="18"/>
        <v>87.267313111002352</v>
      </c>
      <c r="BD10" s="1481">
        <f t="shared" si="19"/>
        <v>11.151887395926396</v>
      </c>
      <c r="BE10" s="1481">
        <f t="shared" si="20"/>
        <v>9625.0199999999895</v>
      </c>
      <c r="BF10" s="1481">
        <f t="shared" si="21"/>
        <v>2797.66</v>
      </c>
      <c r="BG10" s="1481">
        <v>9.41</v>
      </c>
      <c r="BH10" s="1481">
        <v>4</v>
      </c>
    </row>
    <row r="11" spans="1:81" x14ac:dyDescent="0.25">
      <c r="A11" s="32">
        <v>5</v>
      </c>
      <c r="B11" s="582"/>
      <c r="C11" s="42" t="s">
        <v>149</v>
      </c>
      <c r="D11" s="705">
        <v>1960</v>
      </c>
      <c r="E11" s="705">
        <v>2</v>
      </c>
      <c r="F11" s="866">
        <v>16</v>
      </c>
      <c r="G11" s="867">
        <v>22</v>
      </c>
      <c r="H11" s="706">
        <v>632.20000000000005</v>
      </c>
      <c r="I11" s="706">
        <v>0</v>
      </c>
      <c r="J11" s="706">
        <v>0</v>
      </c>
      <c r="K11" s="706">
        <v>605.87</v>
      </c>
      <c r="L11" s="706">
        <v>737.28</v>
      </c>
      <c r="M11" s="706">
        <v>0</v>
      </c>
      <c r="N11" s="706">
        <v>0</v>
      </c>
      <c r="O11" s="871">
        <v>6740.98</v>
      </c>
      <c r="P11" s="871">
        <v>8186.64</v>
      </c>
      <c r="Q11" s="871">
        <v>44284.78</v>
      </c>
      <c r="R11" s="871">
        <v>41332.82</v>
      </c>
      <c r="S11" s="871">
        <v>665.48</v>
      </c>
      <c r="T11" s="871">
        <v>619.41</v>
      </c>
      <c r="U11" s="871">
        <v>22720.14</v>
      </c>
      <c r="V11" s="871">
        <v>22306.85</v>
      </c>
      <c r="W11" s="871">
        <f t="shared" si="0"/>
        <v>75017.25</v>
      </c>
      <c r="X11" s="871">
        <f t="shared" si="1"/>
        <v>73183</v>
      </c>
      <c r="Y11" s="1328">
        <f t="shared" si="2"/>
        <v>48858.871719222137</v>
      </c>
      <c r="Z11" s="870">
        <v>268.85000000000002</v>
      </c>
      <c r="AA11" s="890">
        <f t="shared" si="3"/>
        <v>1579.0357641231133</v>
      </c>
      <c r="AB11" s="871">
        <v>923.16</v>
      </c>
      <c r="AC11" s="890">
        <f t="shared" si="4"/>
        <v>322.99623029552339</v>
      </c>
      <c r="AD11" s="890">
        <f t="shared" si="5"/>
        <v>16.789770403475025</v>
      </c>
      <c r="AE11" s="890">
        <f t="shared" si="6"/>
        <v>15.52466120357318</v>
      </c>
      <c r="AF11" s="871"/>
      <c r="AG11" s="871">
        <f t="shared" si="7"/>
        <v>1333.2887637608662</v>
      </c>
      <c r="AH11" s="871">
        <f t="shared" si="8"/>
        <v>14138.17892132232</v>
      </c>
      <c r="AI11" s="871">
        <f t="shared" si="9"/>
        <v>1541.2028707798509</v>
      </c>
      <c r="AJ11" s="871">
        <f t="shared" si="10"/>
        <v>14735.970316326728</v>
      </c>
      <c r="AK11" s="871">
        <f t="shared" si="11"/>
        <v>2976.666003897999</v>
      </c>
      <c r="AL11" s="1328">
        <f t="shared" si="12"/>
        <v>37851.663302113455</v>
      </c>
      <c r="AM11" s="890">
        <v>98.11</v>
      </c>
      <c r="AN11" s="890"/>
      <c r="AO11" s="890"/>
      <c r="AP11" s="890"/>
      <c r="AQ11" s="890"/>
      <c r="AR11" s="890"/>
      <c r="AS11" s="1490">
        <f t="shared" si="13"/>
        <v>98.11</v>
      </c>
      <c r="AT11" s="1480"/>
      <c r="AU11" s="1481"/>
      <c r="AV11" s="1481"/>
      <c r="AW11" s="1481"/>
      <c r="AX11" s="1491">
        <f t="shared" si="14"/>
        <v>0</v>
      </c>
      <c r="AY11" s="1482"/>
      <c r="AZ11" s="1481">
        <f t="shared" si="15"/>
        <v>801.93467281459448</v>
      </c>
      <c r="BA11" s="1481">
        <f t="shared" si="16"/>
        <v>10107.163744294081</v>
      </c>
      <c r="BB11" s="1481">
        <f t="shared" si="17"/>
        <v>26158.378280777863</v>
      </c>
      <c r="BC11" s="1481">
        <f t="shared" si="18"/>
        <v>97.554895707320654</v>
      </c>
      <c r="BD11" s="1481">
        <f t="shared" si="19"/>
        <v>8.5870982669377014</v>
      </c>
      <c r="BE11" s="1481">
        <f t="shared" si="20"/>
        <v>1834.25</v>
      </c>
      <c r="BF11" s="1481">
        <f t="shared" si="21"/>
        <v>413.29000000000087</v>
      </c>
      <c r="BG11" s="1481">
        <v>9.41</v>
      </c>
      <c r="BH11" s="1481">
        <v>4</v>
      </c>
    </row>
    <row r="12" spans="1:81" x14ac:dyDescent="0.25">
      <c r="A12" s="32">
        <v>6</v>
      </c>
      <c r="B12" s="582"/>
      <c r="C12" s="42" t="s">
        <v>150</v>
      </c>
      <c r="D12" s="705">
        <v>1966</v>
      </c>
      <c r="E12" s="690">
        <v>3</v>
      </c>
      <c r="F12" s="706">
        <v>36</v>
      </c>
      <c r="G12" s="869">
        <v>65</v>
      </c>
      <c r="H12" s="706">
        <v>1460.92</v>
      </c>
      <c r="I12" s="706">
        <v>32255.14</v>
      </c>
      <c r="J12" s="706">
        <v>35699.75</v>
      </c>
      <c r="K12" s="706">
        <v>1425.86</v>
      </c>
      <c r="L12" s="706">
        <v>1578.14</v>
      </c>
      <c r="M12" s="706">
        <v>0</v>
      </c>
      <c r="N12" s="706">
        <v>0</v>
      </c>
      <c r="O12" s="871">
        <v>15859.94</v>
      </c>
      <c r="P12" s="871">
        <v>17445.09</v>
      </c>
      <c r="Q12" s="871">
        <v>129270.07</v>
      </c>
      <c r="R12" s="871">
        <v>109153.01</v>
      </c>
      <c r="S12" s="871">
        <v>5327.65</v>
      </c>
      <c r="T12" s="871">
        <v>4518.55</v>
      </c>
      <c r="U12" s="871">
        <v>53469.2</v>
      </c>
      <c r="V12" s="871">
        <v>48651.39</v>
      </c>
      <c r="W12" s="871">
        <f t="shared" si="0"/>
        <v>237607.86</v>
      </c>
      <c r="X12" s="871">
        <f t="shared" si="1"/>
        <v>217045.93</v>
      </c>
      <c r="Y12" s="1328">
        <f t="shared" si="2"/>
        <v>156287.6494218178</v>
      </c>
      <c r="Z12" s="870">
        <v>3424.78</v>
      </c>
      <c r="AA12" s="890">
        <f t="shared" si="3"/>
        <v>3648.9163690647556</v>
      </c>
      <c r="AB12" s="871">
        <v>1697.64</v>
      </c>
      <c r="AC12" s="890">
        <f t="shared" si="4"/>
        <v>746.39616065064217</v>
      </c>
      <c r="AD12" s="890">
        <f t="shared" si="5"/>
        <v>38.79865766821375</v>
      </c>
      <c r="AE12" s="890">
        <f t="shared" si="6"/>
        <v>35.875178812913838</v>
      </c>
      <c r="AF12" s="871">
        <v>1826.66</v>
      </c>
      <c r="AG12" s="871">
        <f t="shared" si="7"/>
        <v>3081.0316683858346</v>
      </c>
      <c r="AH12" s="871">
        <f t="shared" si="8"/>
        <v>32671.224849316994</v>
      </c>
      <c r="AI12" s="871">
        <f t="shared" si="9"/>
        <v>3561.4901897812397</v>
      </c>
      <c r="AJ12" s="871">
        <f t="shared" si="10"/>
        <v>34052.631690174065</v>
      </c>
      <c r="AK12" s="871">
        <f t="shared" si="11"/>
        <v>6878.6316014151616</v>
      </c>
      <c r="AL12" s="1328">
        <f t="shared" si="12"/>
        <v>91664.076365269837</v>
      </c>
      <c r="AM12" s="890"/>
      <c r="AN12" s="890">
        <v>3000</v>
      </c>
      <c r="AO12" s="890"/>
      <c r="AP12" s="890"/>
      <c r="AQ12" s="890"/>
      <c r="AR12" s="890"/>
      <c r="AS12" s="1490">
        <f t="shared" si="13"/>
        <v>3000</v>
      </c>
      <c r="AT12" s="1480">
        <f>3899.94/27394.27*H12</f>
        <v>207.98146272194879</v>
      </c>
      <c r="AU12" s="1481">
        <v>361.97</v>
      </c>
      <c r="AV12" s="1481">
        <f>559176.85/27394.27*H12</f>
        <v>29820.566260827534</v>
      </c>
      <c r="AW12" s="1481">
        <f>AV12*0.202</f>
        <v>6023.7543846871622</v>
      </c>
      <c r="AX12" s="1491">
        <f t="shared" si="14"/>
        <v>36414.272108236641</v>
      </c>
      <c r="AY12" s="1482"/>
      <c r="AZ12" s="1481">
        <f t="shared" si="15"/>
        <v>1853.1515378176168</v>
      </c>
      <c r="BA12" s="1481">
        <f t="shared" si="16"/>
        <v>23356.149410493686</v>
      </c>
      <c r="BB12" s="1481">
        <f t="shared" si="17"/>
        <v>81320.210578182188</v>
      </c>
      <c r="BC12" s="1481">
        <f t="shared" si="18"/>
        <v>91.346275329444069</v>
      </c>
      <c r="BD12" s="1481">
        <f t="shared" si="19"/>
        <v>11.886547093750497</v>
      </c>
      <c r="BE12" s="1481">
        <f t="shared" si="20"/>
        <v>20561.929999999993</v>
      </c>
      <c r="BF12" s="1481">
        <f t="shared" si="21"/>
        <v>4817.8099999999977</v>
      </c>
      <c r="BG12" s="1481">
        <v>13.85</v>
      </c>
      <c r="BH12" s="1481">
        <v>4</v>
      </c>
    </row>
    <row r="13" spans="1:81" x14ac:dyDescent="0.25">
      <c r="A13" s="32">
        <v>7</v>
      </c>
      <c r="B13" s="582"/>
      <c r="C13" s="42" t="s">
        <v>151</v>
      </c>
      <c r="D13" s="705">
        <v>1966</v>
      </c>
      <c r="E13" s="690">
        <v>3</v>
      </c>
      <c r="F13" s="706">
        <v>36</v>
      </c>
      <c r="G13" s="869">
        <v>68</v>
      </c>
      <c r="H13" s="706">
        <v>1486.39</v>
      </c>
      <c r="I13" s="706">
        <v>32431.08</v>
      </c>
      <c r="J13" s="706">
        <v>36328.1</v>
      </c>
      <c r="K13" s="706">
        <v>1425.54</v>
      </c>
      <c r="L13" s="706">
        <v>1596.84</v>
      </c>
      <c r="M13" s="706">
        <v>0</v>
      </c>
      <c r="N13" s="706">
        <v>0</v>
      </c>
      <c r="O13" s="871">
        <v>15858.96</v>
      </c>
      <c r="P13" s="871">
        <v>17698.21</v>
      </c>
      <c r="Q13" s="871">
        <v>129300.42</v>
      </c>
      <c r="R13" s="871">
        <v>111041.34</v>
      </c>
      <c r="S13" s="871">
        <v>5495.79</v>
      </c>
      <c r="T13" s="871">
        <v>4844.18</v>
      </c>
      <c r="U13" s="871">
        <v>53451.24</v>
      </c>
      <c r="V13" s="871">
        <v>49677.09</v>
      </c>
      <c r="W13" s="871">
        <f t="shared" si="0"/>
        <v>237963.03</v>
      </c>
      <c r="X13" s="871">
        <f t="shared" si="1"/>
        <v>221185.75999999998</v>
      </c>
      <c r="Y13" s="1328">
        <f t="shared" si="2"/>
        <v>154131.10750280353</v>
      </c>
      <c r="Z13" s="870">
        <v>2122.44</v>
      </c>
      <c r="AA13" s="890">
        <f t="shared" si="3"/>
        <v>3712.5323781002126</v>
      </c>
      <c r="AB13" s="871">
        <v>1507.03</v>
      </c>
      <c r="AC13" s="890">
        <f t="shared" si="4"/>
        <v>759.408995173937</v>
      </c>
      <c r="AD13" s="890">
        <f t="shared" si="5"/>
        <v>39.475081983583109</v>
      </c>
      <c r="AE13" s="890">
        <f t="shared" si="6"/>
        <v>36.500634556120119</v>
      </c>
      <c r="AF13" s="871">
        <v>1826.66</v>
      </c>
      <c r="AG13" s="871">
        <f t="shared" si="7"/>
        <v>3134.7470508802817</v>
      </c>
      <c r="AH13" s="871">
        <f t="shared" si="8"/>
        <v>33240.822155748625</v>
      </c>
      <c r="AI13" s="871">
        <f t="shared" si="9"/>
        <v>3623.581991614145</v>
      </c>
      <c r="AJ13" s="871">
        <f t="shared" si="10"/>
        <v>34646.312746733449</v>
      </c>
      <c r="AK13" s="871">
        <f t="shared" si="11"/>
        <v>6998.5551748401567</v>
      </c>
      <c r="AL13" s="1328">
        <f t="shared" si="12"/>
        <v>91648.066209630517</v>
      </c>
      <c r="AM13" s="890"/>
      <c r="AN13" s="890"/>
      <c r="AO13" s="890"/>
      <c r="AP13" s="890"/>
      <c r="AQ13" s="890"/>
      <c r="AR13" s="890"/>
      <c r="AS13" s="1490">
        <f t="shared" si="13"/>
        <v>0</v>
      </c>
      <c r="AT13" s="1480">
        <f>3899.94/27394.27*H13</f>
        <v>211.60745720181632</v>
      </c>
      <c r="AU13" s="1481">
        <v>153.38999999999999</v>
      </c>
      <c r="AV13" s="1481">
        <f>559176.85/27394.27*H13</f>
        <v>30340.464559614105</v>
      </c>
      <c r="AW13" s="1481">
        <f>AV13*0.202</f>
        <v>6128.7738410420498</v>
      </c>
      <c r="AX13" s="1491">
        <f t="shared" si="14"/>
        <v>36834.235857857973</v>
      </c>
      <c r="AY13" s="1482"/>
      <c r="AZ13" s="1481">
        <f t="shared" si="15"/>
        <v>1885.459788555655</v>
      </c>
      <c r="BA13" s="1481">
        <f t="shared" si="16"/>
        <v>23763.345646759379</v>
      </c>
      <c r="BB13" s="1481">
        <f t="shared" si="17"/>
        <v>83831.922497196472</v>
      </c>
      <c r="BC13" s="1481">
        <f t="shared" si="18"/>
        <v>92.949631713800244</v>
      </c>
      <c r="BD13" s="1481">
        <f t="shared" si="19"/>
        <v>11.52165892627279</v>
      </c>
      <c r="BE13" s="1481">
        <f t="shared" si="20"/>
        <v>16777.270000000019</v>
      </c>
      <c r="BF13" s="1481">
        <f t="shared" si="21"/>
        <v>3774.1500000000015</v>
      </c>
      <c r="BG13" s="1481">
        <v>13.87</v>
      </c>
      <c r="BH13" s="1481">
        <v>4</v>
      </c>
    </row>
    <row r="14" spans="1:81" x14ac:dyDescent="0.25">
      <c r="A14" s="32">
        <v>8</v>
      </c>
      <c r="B14" s="582"/>
      <c r="C14" s="42" t="s">
        <v>152</v>
      </c>
      <c r="D14" s="705">
        <v>1955</v>
      </c>
      <c r="E14" s="690">
        <v>2</v>
      </c>
      <c r="F14" s="706">
        <v>12</v>
      </c>
      <c r="G14" s="869">
        <v>33</v>
      </c>
      <c r="H14" s="706">
        <v>797.5</v>
      </c>
      <c r="I14" s="706">
        <v>0</v>
      </c>
      <c r="J14" s="706">
        <v>0</v>
      </c>
      <c r="K14" s="706">
        <v>763.74</v>
      </c>
      <c r="L14" s="706">
        <v>832.76</v>
      </c>
      <c r="M14" s="706">
        <v>0</v>
      </c>
      <c r="N14" s="706">
        <v>0</v>
      </c>
      <c r="O14" s="871">
        <v>8497.08</v>
      </c>
      <c r="P14" s="871">
        <v>9215.27</v>
      </c>
      <c r="Q14" s="871">
        <v>55684.02</v>
      </c>
      <c r="R14" s="871">
        <v>48261.45</v>
      </c>
      <c r="S14" s="871">
        <v>932.36</v>
      </c>
      <c r="T14" s="871">
        <v>787.21</v>
      </c>
      <c r="U14" s="871">
        <v>23056.38</v>
      </c>
      <c r="V14" s="871">
        <v>20831.259999999998</v>
      </c>
      <c r="W14" s="871">
        <f t="shared" si="0"/>
        <v>88933.58</v>
      </c>
      <c r="X14" s="871">
        <f t="shared" si="1"/>
        <v>79927.95</v>
      </c>
      <c r="Y14" s="1328">
        <f t="shared" si="2"/>
        <v>62196.852856816906</v>
      </c>
      <c r="Z14" s="870">
        <v>891.76</v>
      </c>
      <c r="AA14" s="890">
        <f t="shared" si="3"/>
        <v>1991.9029134580555</v>
      </c>
      <c r="AB14" s="871">
        <v>1298.6400000000001</v>
      </c>
      <c r="AC14" s="890">
        <f t="shared" si="4"/>
        <v>407.44937307921526</v>
      </c>
      <c r="AD14" s="890">
        <f t="shared" si="5"/>
        <v>21.17975624291574</v>
      </c>
      <c r="AE14" s="890">
        <f t="shared" si="6"/>
        <v>19.583861610012036</v>
      </c>
      <c r="AF14" s="871"/>
      <c r="AG14" s="871">
        <f t="shared" si="7"/>
        <v>1681.9009634598083</v>
      </c>
      <c r="AH14" s="871">
        <f t="shared" si="8"/>
        <v>17834.858731025859</v>
      </c>
      <c r="AI14" s="871">
        <f t="shared" si="9"/>
        <v>1944.1779333232062</v>
      </c>
      <c r="AJ14" s="871">
        <f t="shared" si="10"/>
        <v>18588.953380687384</v>
      </c>
      <c r="AK14" s="871">
        <f t="shared" si="11"/>
        <v>3754.9685828988518</v>
      </c>
      <c r="AL14" s="1328">
        <f t="shared" si="12"/>
        <v>48435.375495785316</v>
      </c>
      <c r="AM14" s="890"/>
      <c r="AN14" s="890"/>
      <c r="AO14" s="890"/>
      <c r="AP14" s="890"/>
      <c r="AQ14" s="890"/>
      <c r="AR14" s="890"/>
      <c r="AS14" s="1490">
        <f t="shared" si="13"/>
        <v>0</v>
      </c>
      <c r="AT14" s="1480"/>
      <c r="AU14" s="1481"/>
      <c r="AV14" s="1481"/>
      <c r="AW14" s="1481"/>
      <c r="AX14" s="1491">
        <f t="shared" si="14"/>
        <v>0</v>
      </c>
      <c r="AY14" s="1482"/>
      <c r="AZ14" s="1481">
        <f t="shared" si="15"/>
        <v>1011.6148395596948</v>
      </c>
      <c r="BA14" s="1481">
        <f t="shared" si="16"/>
        <v>12749.86252147189</v>
      </c>
      <c r="BB14" s="1481">
        <f t="shared" si="17"/>
        <v>26736.727143183096</v>
      </c>
      <c r="BC14" s="1481">
        <f t="shared" si="18"/>
        <v>89.873757471587211</v>
      </c>
      <c r="BD14" s="1481">
        <f t="shared" si="19"/>
        <v>8.6655315718309875</v>
      </c>
      <c r="BE14" s="1481">
        <f t="shared" si="20"/>
        <v>9005.6300000000047</v>
      </c>
      <c r="BF14" s="1481">
        <f t="shared" si="21"/>
        <v>2225.1200000000026</v>
      </c>
      <c r="BG14" s="1481">
        <v>9.39</v>
      </c>
      <c r="BH14" s="1481">
        <v>3.22</v>
      </c>
    </row>
    <row r="15" spans="1:81" x14ac:dyDescent="0.25">
      <c r="A15" s="32">
        <v>9</v>
      </c>
      <c r="B15" s="582"/>
      <c r="C15" s="42" t="s">
        <v>153</v>
      </c>
      <c r="D15" s="705">
        <v>1955</v>
      </c>
      <c r="E15" s="690">
        <v>2</v>
      </c>
      <c r="F15" s="706">
        <v>12</v>
      </c>
      <c r="G15" s="869">
        <v>31</v>
      </c>
      <c r="H15" s="706">
        <v>804</v>
      </c>
      <c r="I15" s="706">
        <v>0</v>
      </c>
      <c r="J15" s="706">
        <v>0</v>
      </c>
      <c r="K15" s="706">
        <v>765.36</v>
      </c>
      <c r="L15" s="706">
        <v>895.35</v>
      </c>
      <c r="M15" s="706">
        <v>0</v>
      </c>
      <c r="N15" s="706">
        <v>0</v>
      </c>
      <c r="O15" s="871">
        <v>8515.14</v>
      </c>
      <c r="P15" s="871">
        <v>9914.5300000000007</v>
      </c>
      <c r="Q15" s="871">
        <v>55803.12</v>
      </c>
      <c r="R15" s="871">
        <v>53145.23</v>
      </c>
      <c r="S15" s="871">
        <v>932.24</v>
      </c>
      <c r="T15" s="871">
        <v>855.26</v>
      </c>
      <c r="U15" s="871">
        <v>23105.79</v>
      </c>
      <c r="V15" s="871">
        <v>22832.880000000001</v>
      </c>
      <c r="W15" s="871">
        <f t="shared" si="0"/>
        <v>89121.65</v>
      </c>
      <c r="X15" s="871">
        <f t="shared" si="1"/>
        <v>87643.25</v>
      </c>
      <c r="Y15" s="1328">
        <f t="shared" si="2"/>
        <v>63289.553663800354</v>
      </c>
      <c r="Z15" s="870">
        <v>1495.38</v>
      </c>
      <c r="AA15" s="890">
        <f t="shared" si="3"/>
        <v>2008.1378588342027</v>
      </c>
      <c r="AB15" s="871">
        <v>1298.6400000000001</v>
      </c>
      <c r="AC15" s="890">
        <f t="shared" si="4"/>
        <v>410.77027706042514</v>
      </c>
      <c r="AD15" s="890">
        <f t="shared" si="5"/>
        <v>21.352381215428533</v>
      </c>
      <c r="AE15" s="890">
        <f t="shared" si="6"/>
        <v>19.743479290845993</v>
      </c>
      <c r="AF15" s="871"/>
      <c r="AG15" s="871">
        <f t="shared" si="7"/>
        <v>1695.6092471745276</v>
      </c>
      <c r="AH15" s="871">
        <f t="shared" si="8"/>
        <v>17980.221215980931</v>
      </c>
      <c r="AI15" s="871">
        <f t="shared" si="9"/>
        <v>1960.0238976700412</v>
      </c>
      <c r="AJ15" s="871">
        <f t="shared" si="10"/>
        <v>18740.462091627156</v>
      </c>
      <c r="AK15" s="871">
        <f t="shared" si="11"/>
        <v>3785.573342508686</v>
      </c>
      <c r="AL15" s="1328">
        <f t="shared" si="12"/>
        <v>49415.913791362247</v>
      </c>
      <c r="AM15" s="890"/>
      <c r="AN15" s="890"/>
      <c r="AO15" s="890"/>
      <c r="AP15" s="890"/>
      <c r="AQ15" s="890"/>
      <c r="AR15" s="890"/>
      <c r="AS15" s="1490">
        <f t="shared" si="13"/>
        <v>0</v>
      </c>
      <c r="AT15" s="1480"/>
      <c r="AU15" s="1481"/>
      <c r="AV15" s="1481"/>
      <c r="AW15" s="1481"/>
      <c r="AX15" s="1491">
        <f t="shared" si="14"/>
        <v>0</v>
      </c>
      <c r="AY15" s="1482"/>
      <c r="AZ15" s="1481">
        <f t="shared" si="15"/>
        <v>1019.8599761830654</v>
      </c>
      <c r="BA15" s="1481">
        <f t="shared" si="16"/>
        <v>12853.779896255048</v>
      </c>
      <c r="BB15" s="1481">
        <f t="shared" si="17"/>
        <v>25832.09633619964</v>
      </c>
      <c r="BC15" s="1481">
        <f t="shared" si="18"/>
        <v>98.341143818589543</v>
      </c>
      <c r="BD15" s="1481">
        <f t="shared" si="19"/>
        <v>8.7464833697899884</v>
      </c>
      <c r="BE15" s="1481">
        <f t="shared" si="20"/>
        <v>1478.3999999999942</v>
      </c>
      <c r="BF15" s="1481">
        <f t="shared" si="21"/>
        <v>272.90999999999985</v>
      </c>
      <c r="BG15" s="1481">
        <v>9.39</v>
      </c>
      <c r="BH15" s="1481">
        <v>3.22</v>
      </c>
    </row>
    <row r="16" spans="1:81" x14ac:dyDescent="0.25">
      <c r="A16" s="32">
        <v>10</v>
      </c>
      <c r="B16" s="582"/>
      <c r="C16" s="42" t="s">
        <v>154</v>
      </c>
      <c r="D16" s="705">
        <v>1955</v>
      </c>
      <c r="E16" s="690">
        <v>2</v>
      </c>
      <c r="F16" s="706">
        <v>6</v>
      </c>
      <c r="G16" s="869">
        <v>14</v>
      </c>
      <c r="H16" s="706">
        <v>328.7</v>
      </c>
      <c r="I16" s="706">
        <v>0</v>
      </c>
      <c r="J16" s="706">
        <v>0</v>
      </c>
      <c r="K16" s="706">
        <v>315.54000000000002</v>
      </c>
      <c r="L16" s="706">
        <v>362.98</v>
      </c>
      <c r="M16" s="706">
        <v>0</v>
      </c>
      <c r="N16" s="706">
        <v>0</v>
      </c>
      <c r="O16" s="871">
        <v>3510.54</v>
      </c>
      <c r="P16" s="871">
        <v>3901.92</v>
      </c>
      <c r="Q16" s="871">
        <v>23646.66</v>
      </c>
      <c r="R16" s="871">
        <v>21073.23</v>
      </c>
      <c r="S16" s="871">
        <v>466.16</v>
      </c>
      <c r="T16" s="871">
        <v>427.18</v>
      </c>
      <c r="U16" s="871">
        <v>9407.43</v>
      </c>
      <c r="V16" s="871">
        <v>8786.32</v>
      </c>
      <c r="W16" s="871">
        <f t="shared" si="0"/>
        <v>37346.33</v>
      </c>
      <c r="X16" s="871">
        <f t="shared" si="1"/>
        <v>34551.629999999997</v>
      </c>
      <c r="Y16" s="1328">
        <f t="shared" si="2"/>
        <v>26917.72019314823</v>
      </c>
      <c r="Z16" s="870">
        <v>600.25</v>
      </c>
      <c r="AA16" s="890">
        <f t="shared" si="3"/>
        <v>820.98869925224176</v>
      </c>
      <c r="AB16" s="871">
        <v>1239.8399999999999</v>
      </c>
      <c r="AC16" s="890">
        <f t="shared" si="4"/>
        <v>167.93555978826089</v>
      </c>
      <c r="AD16" s="890">
        <f t="shared" si="5"/>
        <v>8.7295120715315395</v>
      </c>
      <c r="AE16" s="890">
        <f t="shared" si="6"/>
        <v>8.0717433369416387</v>
      </c>
      <c r="AF16" s="871"/>
      <c r="AG16" s="871">
        <f t="shared" si="7"/>
        <v>693.21736261973535</v>
      </c>
      <c r="AH16" s="871">
        <f t="shared" si="8"/>
        <v>7350.8690468817558</v>
      </c>
      <c r="AI16" s="871">
        <f t="shared" si="9"/>
        <v>801.31822781609765</v>
      </c>
      <c r="AJ16" s="871">
        <f t="shared" si="10"/>
        <v>7661.6789670619974</v>
      </c>
      <c r="AK16" s="871">
        <f t="shared" si="11"/>
        <v>1547.6591513465235</v>
      </c>
      <c r="AL16" s="1328">
        <f t="shared" si="12"/>
        <v>20900.558270175086</v>
      </c>
      <c r="AM16" s="890">
        <v>345.19</v>
      </c>
      <c r="AN16" s="890"/>
      <c r="AO16" s="890"/>
      <c r="AP16" s="890"/>
      <c r="AQ16" s="890"/>
      <c r="AR16" s="890"/>
      <c r="AS16" s="1490">
        <f t="shared" si="13"/>
        <v>345.19</v>
      </c>
      <c r="AT16" s="1480"/>
      <c r="AU16" s="1480"/>
      <c r="AV16" s="1480"/>
      <c r="AW16" s="1480"/>
      <c r="AX16" s="1491">
        <f t="shared" si="14"/>
        <v>0</v>
      </c>
      <c r="AY16" s="1483"/>
      <c r="AZ16" s="1481">
        <f t="shared" si="15"/>
        <v>416.95021663106166</v>
      </c>
      <c r="BA16" s="1481">
        <f t="shared" si="16"/>
        <v>5255.0217063420823</v>
      </c>
      <c r="BB16" s="1481">
        <f t="shared" si="17"/>
        <v>10428.609806851771</v>
      </c>
      <c r="BC16" s="1481">
        <f t="shared" si="18"/>
        <v>92.516801517043305</v>
      </c>
      <c r="BD16" s="1481">
        <f t="shared" si="19"/>
        <v>9.0990501954325893</v>
      </c>
      <c r="BE16" s="1481">
        <f t="shared" si="20"/>
        <v>2794.7000000000044</v>
      </c>
      <c r="BF16" s="1481">
        <f t="shared" si="21"/>
        <v>621.11000000000058</v>
      </c>
      <c r="BG16" s="1481">
        <v>9.94</v>
      </c>
      <c r="BH16" s="1480">
        <v>3.18</v>
      </c>
      <c r="BI16" s="250"/>
      <c r="BJ16" s="250"/>
      <c r="BK16" s="250"/>
      <c r="BL16" s="250"/>
      <c r="BM16" s="250"/>
      <c r="BN16" s="250"/>
      <c r="BO16" s="250"/>
      <c r="BP16" s="250"/>
      <c r="BQ16" s="250"/>
      <c r="BR16" s="250"/>
      <c r="BS16" s="250"/>
      <c r="BT16" s="250"/>
      <c r="BU16" s="250"/>
      <c r="BV16" s="250"/>
      <c r="BW16" s="250"/>
      <c r="BX16" s="250"/>
      <c r="BY16" s="250"/>
      <c r="BZ16" s="250"/>
      <c r="CA16" s="250"/>
      <c r="CB16" s="250"/>
      <c r="CC16" s="250"/>
    </row>
    <row r="17" spans="1:81" x14ac:dyDescent="0.25">
      <c r="A17" s="32">
        <v>11</v>
      </c>
      <c r="B17" s="582"/>
      <c r="C17" s="42" t="s">
        <v>155</v>
      </c>
      <c r="D17" s="705">
        <v>1979</v>
      </c>
      <c r="E17" s="690">
        <v>5</v>
      </c>
      <c r="F17" s="706">
        <v>81</v>
      </c>
      <c r="G17" s="869">
        <v>168</v>
      </c>
      <c r="H17" s="706">
        <v>3928.89</v>
      </c>
      <c r="I17" s="706">
        <v>64318.48</v>
      </c>
      <c r="J17" s="706">
        <v>73015.97</v>
      </c>
      <c r="K17" s="706">
        <v>3783.54</v>
      </c>
      <c r="L17" s="706">
        <v>4295.18</v>
      </c>
      <c r="M17" s="706">
        <v>15843.64</v>
      </c>
      <c r="N17" s="706">
        <v>17986.060000000001</v>
      </c>
      <c r="O17" s="871">
        <v>42090.98</v>
      </c>
      <c r="P17" s="871">
        <v>47561.440000000002</v>
      </c>
      <c r="Q17" s="871">
        <v>333306.56</v>
      </c>
      <c r="R17" s="871">
        <v>287797.26</v>
      </c>
      <c r="S17" s="871">
        <v>10098.299999999999</v>
      </c>
      <c r="T17" s="871">
        <v>8778.42</v>
      </c>
      <c r="U17" s="871">
        <v>141881.64000000001</v>
      </c>
      <c r="V17" s="871">
        <v>133998.10999999999</v>
      </c>
      <c r="W17" s="871">
        <f t="shared" si="0"/>
        <v>611323.14</v>
      </c>
      <c r="X17" s="871">
        <f t="shared" si="1"/>
        <v>573432.43999999994</v>
      </c>
      <c r="Y17" s="1328">
        <f t="shared" si="2"/>
        <v>465655.69743611634</v>
      </c>
      <c r="Z17" s="870">
        <v>2349.5300000000002</v>
      </c>
      <c r="AA17" s="890">
        <f t="shared" si="3"/>
        <v>9813.1253136755113</v>
      </c>
      <c r="AB17" s="871">
        <v>4289.25</v>
      </c>
      <c r="AC17" s="890">
        <f t="shared" si="4"/>
        <v>2007.3025296516589</v>
      </c>
      <c r="AD17" s="890">
        <f t="shared" si="5"/>
        <v>104.34223511627488</v>
      </c>
      <c r="AE17" s="890">
        <f t="shared" si="6"/>
        <v>96.480047700263569</v>
      </c>
      <c r="AF17" s="871">
        <v>4213.4399999999996</v>
      </c>
      <c r="AG17" s="871">
        <f t="shared" si="7"/>
        <v>8285.8982775267777</v>
      </c>
      <c r="AH17" s="871">
        <f t="shared" si="8"/>
        <v>87863.571310019048</v>
      </c>
      <c r="AI17" s="871">
        <f t="shared" si="9"/>
        <v>9578.0078250209554</v>
      </c>
      <c r="AJ17" s="871">
        <f t="shared" si="10"/>
        <v>91578.624511409216</v>
      </c>
      <c r="AK17" s="871">
        <f t="shared" si="11"/>
        <v>18498.882151304664</v>
      </c>
      <c r="AL17" s="1328">
        <f t="shared" si="12"/>
        <v>238678.45420142441</v>
      </c>
      <c r="AM17" s="890">
        <v>21089.62</v>
      </c>
      <c r="AN17" s="890"/>
      <c r="AO17" s="890"/>
      <c r="AP17" s="890"/>
      <c r="AQ17" s="890"/>
      <c r="AR17" s="890">
        <v>27462.19</v>
      </c>
      <c r="AS17" s="1490">
        <f t="shared" si="13"/>
        <v>48551.81</v>
      </c>
      <c r="AT17" s="1480">
        <f>3899.94/27394.27*H17</f>
        <v>559.32993529668795</v>
      </c>
      <c r="AU17" s="1481">
        <v>591.19000000000005</v>
      </c>
      <c r="AV17" s="1481">
        <f>559176.85/27394.27*H17</f>
        <v>80197.221323893638</v>
      </c>
      <c r="AW17" s="1481">
        <f>AV17*0.202</f>
        <v>16199.838707426516</v>
      </c>
      <c r="AX17" s="1491">
        <f t="shared" si="14"/>
        <v>97547.579966616846</v>
      </c>
      <c r="AY17" s="1483">
        <f>56309.37/16911.5*H17</f>
        <v>13081.827200384354</v>
      </c>
      <c r="AZ17" s="1481">
        <f t="shared" si="15"/>
        <v>4983.7284351068201</v>
      </c>
      <c r="BA17" s="1481">
        <f t="shared" si="16"/>
        <v>62812.297632583941</v>
      </c>
      <c r="BB17" s="1481">
        <f t="shared" si="17"/>
        <v>145667.44256388367</v>
      </c>
      <c r="BC17" s="1481">
        <f t="shared" si="18"/>
        <v>93.801854122518563</v>
      </c>
      <c r="BD17" s="1481">
        <f t="shared" si="19"/>
        <v>13.168992243953447</v>
      </c>
      <c r="BE17" s="1481">
        <f t="shared" si="20"/>
        <v>37890.70000000007</v>
      </c>
      <c r="BF17" s="1481">
        <f t="shared" si="21"/>
        <v>7883.5300000000279</v>
      </c>
      <c r="BG17" s="1481">
        <v>13.41</v>
      </c>
      <c r="BH17" s="1480">
        <v>4</v>
      </c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</row>
    <row r="18" spans="1:81" s="370" customFormat="1" x14ac:dyDescent="0.25">
      <c r="A18" s="33">
        <v>12</v>
      </c>
      <c r="B18" s="594"/>
      <c r="C18" s="45" t="s">
        <v>156</v>
      </c>
      <c r="D18" s="872">
        <v>1957</v>
      </c>
      <c r="E18" s="872">
        <v>1</v>
      </c>
      <c r="F18" s="873">
        <v>4</v>
      </c>
      <c r="G18" s="874">
        <v>8</v>
      </c>
      <c r="H18" s="706">
        <v>118.1</v>
      </c>
      <c r="I18" s="706">
        <v>0</v>
      </c>
      <c r="J18" s="706">
        <v>0</v>
      </c>
      <c r="K18" s="706">
        <v>109.38</v>
      </c>
      <c r="L18" s="706">
        <v>88.44</v>
      </c>
      <c r="M18" s="706">
        <v>0</v>
      </c>
      <c r="N18" s="706">
        <v>0</v>
      </c>
      <c r="O18" s="871">
        <v>779.82</v>
      </c>
      <c r="P18" s="871">
        <v>630.73</v>
      </c>
      <c r="Q18" s="871">
        <v>5441.19</v>
      </c>
      <c r="R18" s="871">
        <v>3525.5</v>
      </c>
      <c r="S18" s="871"/>
      <c r="T18" s="871"/>
      <c r="U18" s="871"/>
      <c r="V18" s="871"/>
      <c r="W18" s="871">
        <f t="shared" si="0"/>
        <v>6330.3899999999994</v>
      </c>
      <c r="X18" s="871">
        <f t="shared" si="1"/>
        <v>4244.67</v>
      </c>
      <c r="Y18" s="1328">
        <f t="shared" si="2"/>
        <v>5577.36037428281</v>
      </c>
      <c r="Z18" s="870"/>
      <c r="AA18" s="890">
        <f t="shared" si="3"/>
        <v>294.97646906507379</v>
      </c>
      <c r="AB18" s="871">
        <v>0</v>
      </c>
      <c r="AC18" s="890">
        <f t="shared" si="4"/>
        <v>60.338270797059963</v>
      </c>
      <c r="AD18" s="890">
        <f t="shared" si="5"/>
        <v>3.1364629621170517</v>
      </c>
      <c r="AE18" s="890">
        <f t="shared" si="6"/>
        <v>2.9001304779215316</v>
      </c>
      <c r="AF18" s="871"/>
      <c r="AG18" s="871">
        <f t="shared" si="7"/>
        <v>249.0689702628255</v>
      </c>
      <c r="AH18" s="871">
        <f t="shared" si="8"/>
        <v>2641.1245343374972</v>
      </c>
      <c r="AI18" s="871">
        <f t="shared" si="9"/>
        <v>287.90898297864658</v>
      </c>
      <c r="AJ18" s="871"/>
      <c r="AK18" s="871"/>
      <c r="AL18" s="1328">
        <f t="shared" si="12"/>
        <v>3539.4538208811418</v>
      </c>
      <c r="AM18" s="890"/>
      <c r="AN18" s="890"/>
      <c r="AO18" s="890"/>
      <c r="AP18" s="890"/>
      <c r="AQ18" s="890"/>
      <c r="AR18" s="890"/>
      <c r="AS18" s="1490">
        <f t="shared" si="13"/>
        <v>0</v>
      </c>
      <c r="AT18" s="1480"/>
      <c r="AU18" s="1480"/>
      <c r="AV18" s="1480"/>
      <c r="AW18" s="1480"/>
      <c r="AX18" s="1491">
        <f t="shared" si="14"/>
        <v>0</v>
      </c>
      <c r="AY18" s="1483"/>
      <c r="AZ18" s="1481">
        <f t="shared" si="15"/>
        <v>149.80779003385575</v>
      </c>
      <c r="BA18" s="1481">
        <f t="shared" si="16"/>
        <v>1888.0987633678121</v>
      </c>
      <c r="BB18" s="1481">
        <f t="shared" si="17"/>
        <v>753.02962571718945</v>
      </c>
      <c r="BC18" s="1481">
        <f t="shared" si="18"/>
        <v>67.0522669219432</v>
      </c>
      <c r="BD18" s="1481">
        <f t="shared" si="19"/>
        <v>5.2473048963052129</v>
      </c>
      <c r="BE18" s="1481">
        <f t="shared" si="20"/>
        <v>2085.7199999999993</v>
      </c>
      <c r="BF18" s="1481">
        <f t="shared" si="21"/>
        <v>0</v>
      </c>
      <c r="BG18" s="1481">
        <v>6.39</v>
      </c>
      <c r="BH18" s="1480">
        <v>0</v>
      </c>
      <c r="BI18" s="250"/>
      <c r="BJ18" s="250"/>
      <c r="BK18" s="250"/>
      <c r="BL18" s="250"/>
      <c r="BM18" s="250"/>
      <c r="BN18" s="250"/>
      <c r="BO18" s="250"/>
      <c r="BP18" s="250"/>
      <c r="BQ18" s="250"/>
      <c r="BR18" s="250"/>
      <c r="BS18" s="250"/>
      <c r="BT18" s="250"/>
      <c r="BU18" s="250"/>
      <c r="BV18" s="250"/>
      <c r="BW18" s="250"/>
      <c r="BX18" s="250"/>
      <c r="BY18" s="250"/>
      <c r="BZ18" s="250"/>
      <c r="CA18" s="250"/>
      <c r="CB18" s="250"/>
      <c r="CC18" s="250"/>
    </row>
    <row r="19" spans="1:81" x14ac:dyDescent="0.25">
      <c r="A19" s="32">
        <v>13</v>
      </c>
      <c r="B19" s="582"/>
      <c r="C19" s="42" t="s">
        <v>157</v>
      </c>
      <c r="D19" s="705">
        <v>1955</v>
      </c>
      <c r="E19" s="690">
        <v>2</v>
      </c>
      <c r="F19" s="706">
        <v>15</v>
      </c>
      <c r="G19" s="869">
        <v>33</v>
      </c>
      <c r="H19" s="706">
        <v>796.8</v>
      </c>
      <c r="I19" s="706">
        <v>0</v>
      </c>
      <c r="J19" s="706">
        <v>0</v>
      </c>
      <c r="K19" s="706">
        <v>768</v>
      </c>
      <c r="L19" s="706">
        <v>776.12</v>
      </c>
      <c r="M19" s="706">
        <v>0</v>
      </c>
      <c r="N19" s="706">
        <v>0</v>
      </c>
      <c r="O19" s="871">
        <v>8545.08</v>
      </c>
      <c r="P19" s="871">
        <v>8631.25</v>
      </c>
      <c r="Q19" s="871">
        <v>55926.93</v>
      </c>
      <c r="R19" s="871">
        <v>46095.14</v>
      </c>
      <c r="S19" s="871">
        <v>1014.52</v>
      </c>
      <c r="T19" s="871">
        <v>822.51</v>
      </c>
      <c r="U19" s="871">
        <v>31179.87</v>
      </c>
      <c r="V19" s="871">
        <v>26693.88</v>
      </c>
      <c r="W19" s="871">
        <f t="shared" si="0"/>
        <v>97434.4</v>
      </c>
      <c r="X19" s="871">
        <f t="shared" si="1"/>
        <v>83018.900000000009</v>
      </c>
      <c r="Y19" s="1328">
        <f t="shared" si="2"/>
        <v>62182.072616064819</v>
      </c>
      <c r="Z19" s="870">
        <v>812.47</v>
      </c>
      <c r="AA19" s="890">
        <f t="shared" si="3"/>
        <v>1990.1545347252395</v>
      </c>
      <c r="AB19" s="871">
        <v>1415.82</v>
      </c>
      <c r="AC19" s="890">
        <f t="shared" si="4"/>
        <v>407.09173726585414</v>
      </c>
      <c r="AD19" s="890">
        <f t="shared" si="5"/>
        <v>21.161165861260514</v>
      </c>
      <c r="AE19" s="890">
        <f t="shared" si="6"/>
        <v>19.566672013614532</v>
      </c>
      <c r="AF19" s="871"/>
      <c r="AG19" s="871">
        <f t="shared" si="7"/>
        <v>1680.4246867520692</v>
      </c>
      <c r="AH19" s="871">
        <f t="shared" si="8"/>
        <v>17819.204309569159</v>
      </c>
      <c r="AI19" s="871">
        <f t="shared" si="9"/>
        <v>1942.4714448550856</v>
      </c>
      <c r="AJ19" s="871">
        <f t="shared" si="10"/>
        <v>18572.637057970791</v>
      </c>
      <c r="AK19" s="871">
        <f t="shared" si="11"/>
        <v>3751.6726857100998</v>
      </c>
      <c r="AL19" s="1328">
        <f t="shared" si="12"/>
        <v>48432.674294723169</v>
      </c>
      <c r="AM19" s="890"/>
      <c r="AN19" s="890"/>
      <c r="AO19" s="890"/>
      <c r="AP19" s="890"/>
      <c r="AQ19" s="890"/>
      <c r="AR19" s="890"/>
      <c r="AS19" s="1490">
        <f t="shared" si="13"/>
        <v>0</v>
      </c>
      <c r="AT19" s="1480"/>
      <c r="AU19" s="1480"/>
      <c r="AV19" s="1480"/>
      <c r="AW19" s="1480"/>
      <c r="AX19" s="1491">
        <f t="shared" si="14"/>
        <v>0</v>
      </c>
      <c r="AY19" s="1483"/>
      <c r="AZ19" s="1481">
        <f t="shared" si="15"/>
        <v>1010.7269017694856</v>
      </c>
      <c r="BA19" s="1481">
        <f t="shared" si="16"/>
        <v>12738.671419572165</v>
      </c>
      <c r="BB19" s="1481">
        <f t="shared" si="17"/>
        <v>35252.327383935175</v>
      </c>
      <c r="BC19" s="1481">
        <f t="shared" si="18"/>
        <v>85.204917359782598</v>
      </c>
      <c r="BD19" s="1481">
        <f t="shared" si="19"/>
        <v>8.6710833076841851</v>
      </c>
      <c r="BE19" s="1481">
        <f t="shared" si="20"/>
        <v>14415.499999999985</v>
      </c>
      <c r="BF19" s="1481">
        <f t="shared" si="21"/>
        <v>4485.989999999998</v>
      </c>
      <c r="BG19" s="1481">
        <v>9.3800000000000008</v>
      </c>
      <c r="BH19" s="1480">
        <v>4.33</v>
      </c>
      <c r="BI19" s="250"/>
      <c r="BJ19" s="250"/>
      <c r="BK19" s="250"/>
      <c r="BL19" s="250"/>
      <c r="BM19" s="250"/>
      <c r="BN19" s="250"/>
      <c r="BO19" s="250"/>
      <c r="BP19" s="250"/>
      <c r="BQ19" s="250"/>
      <c r="BR19" s="250"/>
      <c r="BS19" s="250"/>
      <c r="BT19" s="250"/>
      <c r="BU19" s="250"/>
      <c r="BV19" s="250"/>
      <c r="BW19" s="250"/>
      <c r="BX19" s="250"/>
      <c r="BY19" s="250"/>
      <c r="BZ19" s="250"/>
      <c r="CA19" s="250"/>
      <c r="CB19" s="250"/>
      <c r="CC19" s="250"/>
    </row>
    <row r="20" spans="1:81" x14ac:dyDescent="0.25">
      <c r="A20" s="32">
        <v>14</v>
      </c>
      <c r="B20" s="582"/>
      <c r="C20" s="42" t="s">
        <v>158</v>
      </c>
      <c r="D20" s="705">
        <v>1955</v>
      </c>
      <c r="E20" s="690">
        <v>2</v>
      </c>
      <c r="F20" s="706">
        <v>12</v>
      </c>
      <c r="G20" s="869">
        <v>29</v>
      </c>
      <c r="H20" s="706">
        <v>842</v>
      </c>
      <c r="I20" s="706">
        <v>0</v>
      </c>
      <c r="J20" s="706">
        <v>0</v>
      </c>
      <c r="K20" s="706">
        <v>802.78</v>
      </c>
      <c r="L20" s="706">
        <v>-502.9</v>
      </c>
      <c r="M20" s="706">
        <v>0</v>
      </c>
      <c r="N20" s="706">
        <v>0</v>
      </c>
      <c r="O20" s="871">
        <v>8930.58</v>
      </c>
      <c r="P20" s="871">
        <v>8727.81</v>
      </c>
      <c r="Q20" s="871">
        <v>58371.95</v>
      </c>
      <c r="R20" s="871">
        <v>57356.87</v>
      </c>
      <c r="S20" s="871">
        <v>1055.4000000000001</v>
      </c>
      <c r="T20" s="871">
        <v>974.21</v>
      </c>
      <c r="U20" s="871">
        <v>32735.919999999998</v>
      </c>
      <c r="V20" s="871">
        <v>32574.77</v>
      </c>
      <c r="W20" s="871">
        <f t="shared" si="0"/>
        <v>101896.62999999999</v>
      </c>
      <c r="X20" s="871">
        <f t="shared" si="1"/>
        <v>99130.760000000009</v>
      </c>
      <c r="Y20" s="1328">
        <f t="shared" si="2"/>
        <v>65781.635304626732</v>
      </c>
      <c r="Z20" s="870">
        <v>779.92</v>
      </c>
      <c r="AA20" s="890">
        <f t="shared" si="3"/>
        <v>2103.0498471870628</v>
      </c>
      <c r="AB20" s="871">
        <v>1462.44</v>
      </c>
      <c r="AC20" s="890">
        <f t="shared" si="4"/>
        <v>430.18479264288305</v>
      </c>
      <c r="AD20" s="890">
        <f t="shared" si="5"/>
        <v>22.361573362426398</v>
      </c>
      <c r="AE20" s="890">
        <f t="shared" si="6"/>
        <v>20.676628809567568</v>
      </c>
      <c r="AF20" s="871"/>
      <c r="AG20" s="871">
        <f t="shared" si="7"/>
        <v>1775.7499827375029</v>
      </c>
      <c r="AH20" s="871">
        <f t="shared" si="8"/>
        <v>18830.032666487492</v>
      </c>
      <c r="AI20" s="871">
        <f t="shared" si="9"/>
        <v>2052.6618430823069</v>
      </c>
      <c r="AJ20" s="871">
        <f t="shared" si="10"/>
        <v>19626.205324813513</v>
      </c>
      <c r="AK20" s="871">
        <f t="shared" si="11"/>
        <v>3964.4934756123298</v>
      </c>
      <c r="AL20" s="1328">
        <f t="shared" si="12"/>
        <v>51067.776134735075</v>
      </c>
      <c r="AM20" s="890">
        <v>184.5</v>
      </c>
      <c r="AN20" s="890"/>
      <c r="AO20" s="890"/>
      <c r="AP20" s="890"/>
      <c r="AQ20" s="890"/>
      <c r="AR20" s="890"/>
      <c r="AS20" s="1490">
        <f t="shared" si="13"/>
        <v>184.5</v>
      </c>
      <c r="AT20" s="1480"/>
      <c r="AU20" s="1480"/>
      <c r="AV20" s="1480"/>
      <c r="AW20" s="1480"/>
      <c r="AX20" s="1491">
        <f t="shared" si="14"/>
        <v>0</v>
      </c>
      <c r="AY20" s="1483"/>
      <c r="AZ20" s="1481">
        <f t="shared" si="15"/>
        <v>1068.0623133658471</v>
      </c>
      <c r="BA20" s="1481">
        <f t="shared" si="16"/>
        <v>13461.296856525809</v>
      </c>
      <c r="BB20" s="1481">
        <f t="shared" si="17"/>
        <v>36114.994695373258</v>
      </c>
      <c r="BC20" s="1481">
        <f t="shared" si="18"/>
        <v>97.285611899039267</v>
      </c>
      <c r="BD20" s="1481">
        <f t="shared" si="19"/>
        <v>8.6806064007161172</v>
      </c>
      <c r="BE20" s="1481">
        <f t="shared" si="20"/>
        <v>2765.8699999999808</v>
      </c>
      <c r="BF20" s="1481">
        <f t="shared" si="21"/>
        <v>161.14999999999782</v>
      </c>
      <c r="BG20" s="1481">
        <v>9.3699999999999992</v>
      </c>
      <c r="BH20" s="1480">
        <v>4.3499999999999996</v>
      </c>
      <c r="BI20" s="250"/>
      <c r="BJ20" s="250"/>
      <c r="BK20" s="250"/>
      <c r="BL20" s="250"/>
      <c r="BM20" s="250"/>
      <c r="BN20" s="250"/>
      <c r="BO20" s="250"/>
      <c r="BP20" s="250"/>
      <c r="BQ20" s="250"/>
      <c r="BR20" s="250"/>
      <c r="BS20" s="250"/>
      <c r="BT20" s="250"/>
      <c r="BU20" s="250"/>
      <c r="BV20" s="250"/>
      <c r="BW20" s="250"/>
      <c r="BX20" s="250"/>
      <c r="BY20" s="250"/>
      <c r="BZ20" s="250"/>
      <c r="CA20" s="250"/>
      <c r="CB20" s="250"/>
      <c r="CC20" s="250"/>
    </row>
    <row r="21" spans="1:81" x14ac:dyDescent="0.25">
      <c r="A21" s="32">
        <v>15</v>
      </c>
      <c r="B21" s="582"/>
      <c r="C21" s="42" t="s">
        <v>159</v>
      </c>
      <c r="D21" s="705">
        <v>1955</v>
      </c>
      <c r="E21" s="690">
        <v>2</v>
      </c>
      <c r="F21" s="706">
        <v>12</v>
      </c>
      <c r="G21" s="869">
        <v>29</v>
      </c>
      <c r="H21" s="706">
        <v>794.83</v>
      </c>
      <c r="I21" s="706">
        <v>0</v>
      </c>
      <c r="J21" s="706">
        <v>0</v>
      </c>
      <c r="K21" s="706">
        <v>762.54</v>
      </c>
      <c r="L21" s="706">
        <v>885.77</v>
      </c>
      <c r="M21" s="706">
        <v>0</v>
      </c>
      <c r="N21" s="706">
        <v>0</v>
      </c>
      <c r="O21" s="871">
        <v>8483.34</v>
      </c>
      <c r="P21" s="871">
        <v>9695.49</v>
      </c>
      <c r="Q21" s="871">
        <v>55438.41</v>
      </c>
      <c r="R21" s="871">
        <v>48449.48</v>
      </c>
      <c r="S21" s="871">
        <v>1014.4</v>
      </c>
      <c r="T21" s="871">
        <v>814.21</v>
      </c>
      <c r="U21" s="871">
        <v>28589.88</v>
      </c>
      <c r="V21" s="871">
        <v>26380.880000000001</v>
      </c>
      <c r="W21" s="871">
        <f t="shared" si="0"/>
        <v>94288.57</v>
      </c>
      <c r="X21" s="871">
        <f t="shared" si="1"/>
        <v>86225.83</v>
      </c>
      <c r="Y21" s="1328">
        <f t="shared" si="2"/>
        <v>61530.583509948308</v>
      </c>
      <c r="Z21" s="870">
        <v>280.11</v>
      </c>
      <c r="AA21" s="890">
        <f t="shared" si="3"/>
        <v>1985.2340974343151</v>
      </c>
      <c r="AB21" s="871">
        <v>1415.82</v>
      </c>
      <c r="AC21" s="890">
        <f t="shared" si="4"/>
        <v>406.08524790539519</v>
      </c>
      <c r="AD21" s="890">
        <f t="shared" si="5"/>
        <v>21.108847215745101</v>
      </c>
      <c r="AE21" s="890">
        <f t="shared" si="6"/>
        <v>19.518295578038707</v>
      </c>
      <c r="AF21" s="871"/>
      <c r="AG21" s="871">
        <f t="shared" si="7"/>
        <v>1676.2700223031466</v>
      </c>
      <c r="AH21" s="871">
        <f t="shared" si="8"/>
        <v>17775.148294898165</v>
      </c>
      <c r="AI21" s="871">
        <f t="shared" si="9"/>
        <v>1937.6688987376604</v>
      </c>
      <c r="AJ21" s="871">
        <f t="shared" si="10"/>
        <v>18526.718264039817</v>
      </c>
      <c r="AK21" s="871">
        <f t="shared" si="11"/>
        <v>3742.3970893360433</v>
      </c>
      <c r="AL21" s="1328">
        <f t="shared" si="12"/>
        <v>47786.079057448333</v>
      </c>
      <c r="AM21" s="890">
        <v>29.1</v>
      </c>
      <c r="AN21" s="890"/>
      <c r="AO21" s="890"/>
      <c r="AP21" s="890"/>
      <c r="AQ21" s="890"/>
      <c r="AR21" s="890"/>
      <c r="AS21" s="1490">
        <f t="shared" si="13"/>
        <v>29.1</v>
      </c>
      <c r="AT21" s="1480"/>
      <c r="AU21" s="1481"/>
      <c r="AV21" s="1481"/>
      <c r="AW21" s="1481"/>
      <c r="AX21" s="1491">
        <f t="shared" si="14"/>
        <v>0</v>
      </c>
      <c r="AY21" s="1482"/>
      <c r="AZ21" s="1481">
        <f t="shared" si="15"/>
        <v>1008.2279911313258</v>
      </c>
      <c r="BA21" s="1481">
        <f t="shared" si="16"/>
        <v>12707.176461368656</v>
      </c>
      <c r="BB21" s="1481">
        <f t="shared" si="17"/>
        <v>32757.986490051699</v>
      </c>
      <c r="BC21" s="1481">
        <f t="shared" si="18"/>
        <v>91.448868086555976</v>
      </c>
      <c r="BD21" s="1481">
        <f t="shared" si="19"/>
        <v>8.6015015803446868</v>
      </c>
      <c r="BE21" s="1481">
        <f t="shared" si="20"/>
        <v>8062.7400000000052</v>
      </c>
      <c r="BF21" s="1481">
        <f t="shared" si="21"/>
        <v>2209</v>
      </c>
      <c r="BG21" s="1481">
        <v>9.3699999999999992</v>
      </c>
      <c r="BH21" s="1481">
        <v>4</v>
      </c>
    </row>
    <row r="22" spans="1:81" x14ac:dyDescent="0.25">
      <c r="A22" s="32">
        <v>16</v>
      </c>
      <c r="B22" s="582"/>
      <c r="C22" s="42" t="s">
        <v>160</v>
      </c>
      <c r="D22" s="705">
        <v>1955</v>
      </c>
      <c r="E22" s="690">
        <v>2</v>
      </c>
      <c r="F22" s="706">
        <v>12</v>
      </c>
      <c r="G22" s="869">
        <v>31</v>
      </c>
      <c r="H22" s="706">
        <v>836.38</v>
      </c>
      <c r="I22" s="706">
        <v>0</v>
      </c>
      <c r="J22" s="706">
        <v>0</v>
      </c>
      <c r="K22" s="706">
        <v>805.14</v>
      </c>
      <c r="L22" s="706">
        <v>925.91</v>
      </c>
      <c r="M22" s="706">
        <v>0</v>
      </c>
      <c r="N22" s="706">
        <v>0</v>
      </c>
      <c r="O22" s="871">
        <v>8957.06</v>
      </c>
      <c r="P22" s="871">
        <v>10300.66</v>
      </c>
      <c r="Q22" s="871">
        <v>57765</v>
      </c>
      <c r="R22" s="871">
        <v>53231.76</v>
      </c>
      <c r="S22" s="871">
        <v>1055.45</v>
      </c>
      <c r="T22" s="871">
        <v>1002.05</v>
      </c>
      <c r="U22" s="871">
        <v>33699.480000000003</v>
      </c>
      <c r="V22" s="871">
        <v>32390.83</v>
      </c>
      <c r="W22" s="871">
        <f t="shared" si="0"/>
        <v>102282.13</v>
      </c>
      <c r="X22" s="871">
        <f t="shared" si="1"/>
        <v>97851.21</v>
      </c>
      <c r="Y22" s="1328">
        <f t="shared" si="2"/>
        <v>69780.33851458873</v>
      </c>
      <c r="Z22" s="870">
        <v>735.89</v>
      </c>
      <c r="AA22" s="890">
        <f t="shared" si="3"/>
        <v>2089.0128636464556</v>
      </c>
      <c r="AB22" s="871">
        <v>1462.44</v>
      </c>
      <c r="AC22" s="890">
        <f t="shared" si="4"/>
        <v>427.31348796989852</v>
      </c>
      <c r="AD22" s="890">
        <f t="shared" si="5"/>
        <v>22.212319155423028</v>
      </c>
      <c r="AE22" s="890">
        <f t="shared" si="6"/>
        <v>20.538620907061905</v>
      </c>
      <c r="AF22" s="871"/>
      <c r="AG22" s="871">
        <f t="shared" si="7"/>
        <v>1763.8975897410839</v>
      </c>
      <c r="AH22" s="871">
        <f t="shared" si="8"/>
        <v>18704.350025649415</v>
      </c>
      <c r="AI22" s="871">
        <f t="shared" si="9"/>
        <v>2038.9611785239665</v>
      </c>
      <c r="AJ22" s="871">
        <f t="shared" si="10"/>
        <v>19495.208562431741</v>
      </c>
      <c r="AK22" s="871">
        <f t="shared" si="11"/>
        <v>3938.032129611212</v>
      </c>
      <c r="AL22" s="1328">
        <f t="shared" si="12"/>
        <v>50697.856777636262</v>
      </c>
      <c r="AM22" s="890">
        <v>4650.1000000000004</v>
      </c>
      <c r="AN22" s="890"/>
      <c r="AO22" s="890"/>
      <c r="AP22" s="890"/>
      <c r="AQ22" s="890"/>
      <c r="AR22" s="890"/>
      <c r="AS22" s="1490">
        <f t="shared" si="13"/>
        <v>4650.1000000000004</v>
      </c>
      <c r="AT22" s="1480"/>
      <c r="AU22" s="1481"/>
      <c r="AV22" s="1481"/>
      <c r="AW22" s="1481"/>
      <c r="AX22" s="1491">
        <f t="shared" si="14"/>
        <v>0</v>
      </c>
      <c r="AY22" s="1482"/>
      <c r="AZ22" s="1481">
        <f t="shared" si="15"/>
        <v>1060.9334413930251</v>
      </c>
      <c r="BA22" s="1481">
        <f t="shared" si="16"/>
        <v>13371.448295559449</v>
      </c>
      <c r="BB22" s="1481">
        <f t="shared" si="17"/>
        <v>32501.791485411275</v>
      </c>
      <c r="BC22" s="1481">
        <f t="shared" si="18"/>
        <v>95.667943168567177</v>
      </c>
      <c r="BD22" s="1481">
        <f t="shared" si="19"/>
        <v>9.2701534542497601</v>
      </c>
      <c r="BE22" s="1481">
        <f t="shared" si="20"/>
        <v>4430.9199999999983</v>
      </c>
      <c r="BF22" s="1481">
        <f t="shared" si="21"/>
        <v>1308.6500000000015</v>
      </c>
      <c r="BG22" s="1481">
        <v>9.25</v>
      </c>
      <c r="BH22" s="1481">
        <v>4.46</v>
      </c>
    </row>
    <row r="23" spans="1:81" x14ac:dyDescent="0.25">
      <c r="A23" s="32">
        <v>17</v>
      </c>
      <c r="B23" s="583">
        <v>42569</v>
      </c>
      <c r="C23" s="42" t="s">
        <v>161</v>
      </c>
      <c r="D23" s="705">
        <v>1955</v>
      </c>
      <c r="E23" s="690">
        <v>2</v>
      </c>
      <c r="F23" s="706">
        <v>12</v>
      </c>
      <c r="G23" s="869">
        <v>31</v>
      </c>
      <c r="H23" s="706">
        <v>747.9</v>
      </c>
      <c r="I23" s="706">
        <v>0</v>
      </c>
      <c r="J23" s="706">
        <v>0</v>
      </c>
      <c r="K23" s="706">
        <v>685.38</v>
      </c>
      <c r="L23" s="706">
        <v>697.26</v>
      </c>
      <c r="M23" s="706">
        <v>0</v>
      </c>
      <c r="N23" s="706">
        <v>0</v>
      </c>
      <c r="O23" s="871">
        <v>7624.44</v>
      </c>
      <c r="P23" s="871">
        <v>7756.38</v>
      </c>
      <c r="Q23" s="871">
        <v>55778.19</v>
      </c>
      <c r="R23" s="871">
        <v>45669.06</v>
      </c>
      <c r="S23" s="871">
        <v>1014.48</v>
      </c>
      <c r="T23" s="871">
        <v>819.92</v>
      </c>
      <c r="U23" s="871">
        <v>26108.400000000001</v>
      </c>
      <c r="V23" s="871">
        <v>22200.23</v>
      </c>
      <c r="W23" s="871">
        <f t="shared" si="0"/>
        <v>91210.890000000014</v>
      </c>
      <c r="X23" s="871">
        <f t="shared" si="1"/>
        <v>77142.849999999991</v>
      </c>
      <c r="Y23" s="1328">
        <f t="shared" si="2"/>
        <v>58126.730083527713</v>
      </c>
      <c r="Z23" s="870">
        <v>436.52</v>
      </c>
      <c r="AA23" s="890">
        <f t="shared" si="3"/>
        <v>1868.0177918185325</v>
      </c>
      <c r="AB23" s="871">
        <v>1415.82</v>
      </c>
      <c r="AC23" s="890">
        <f t="shared" si="4"/>
        <v>382.10832116105968</v>
      </c>
      <c r="AD23" s="890">
        <f t="shared" si="5"/>
        <v>19.862494914202735</v>
      </c>
      <c r="AE23" s="890">
        <f t="shared" si="6"/>
        <v>18.365855922417559</v>
      </c>
      <c r="AF23" s="871"/>
      <c r="AG23" s="871">
        <f t="shared" si="7"/>
        <v>1577.2962138828723</v>
      </c>
      <c r="AH23" s="871">
        <f t="shared" si="8"/>
        <v>16725.631153522558</v>
      </c>
      <c r="AI23" s="871">
        <f t="shared" si="9"/>
        <v>1823.2610361535121</v>
      </c>
      <c r="AJ23" s="871">
        <f t="shared" si="10"/>
        <v>17432.825371054663</v>
      </c>
      <c r="AK23" s="871">
        <f t="shared" si="11"/>
        <v>3521.430724953042</v>
      </c>
      <c r="AL23" s="1328">
        <f t="shared" si="12"/>
        <v>45221.138963382858</v>
      </c>
      <c r="AM23" s="890"/>
      <c r="AN23" s="890"/>
      <c r="AO23" s="890"/>
      <c r="AP23" s="890"/>
      <c r="AQ23" s="890"/>
      <c r="AR23" s="890"/>
      <c r="AS23" s="1490">
        <f t="shared" si="13"/>
        <v>0</v>
      </c>
      <c r="AT23" s="1480"/>
      <c r="AU23" s="1481"/>
      <c r="AV23" s="1481"/>
      <c r="AW23" s="1481"/>
      <c r="AX23" s="1491">
        <f t="shared" si="14"/>
        <v>0</v>
      </c>
      <c r="AY23" s="1482"/>
      <c r="AZ23" s="1481">
        <f t="shared" si="15"/>
        <v>948.69810471059031</v>
      </c>
      <c r="BA23" s="1481">
        <f t="shared" si="16"/>
        <v>11956.893015434265</v>
      </c>
      <c r="BB23" s="1481">
        <f t="shared" si="17"/>
        <v>33084.159916472301</v>
      </c>
      <c r="BC23" s="1481">
        <f t="shared" si="18"/>
        <v>84.576359248330959</v>
      </c>
      <c r="BD23" s="1481">
        <f t="shared" si="19"/>
        <v>8.6355469512453702</v>
      </c>
      <c r="BE23" s="1481">
        <f t="shared" si="20"/>
        <v>14068.040000000023</v>
      </c>
      <c r="BF23" s="1481">
        <f t="shared" si="21"/>
        <v>3908.1700000000019</v>
      </c>
      <c r="BG23" s="1481">
        <v>10.16</v>
      </c>
      <c r="BH23" s="1481">
        <v>4</v>
      </c>
    </row>
    <row r="24" spans="1:81" x14ac:dyDescent="0.25">
      <c r="A24" s="32">
        <v>18</v>
      </c>
      <c r="B24" s="582"/>
      <c r="C24" s="42" t="s">
        <v>162</v>
      </c>
      <c r="D24" s="705">
        <v>1985</v>
      </c>
      <c r="E24" s="690">
        <v>5</v>
      </c>
      <c r="F24" s="706">
        <v>76</v>
      </c>
      <c r="G24" s="869">
        <v>158</v>
      </c>
      <c r="H24" s="706">
        <v>4043.22</v>
      </c>
      <c r="I24" s="706">
        <v>63572.02</v>
      </c>
      <c r="J24" s="706">
        <v>75041.539999999994</v>
      </c>
      <c r="K24" s="706">
        <v>3866.98</v>
      </c>
      <c r="L24" s="706">
        <v>4564.59</v>
      </c>
      <c r="M24" s="706">
        <v>0</v>
      </c>
      <c r="N24" s="706">
        <v>0</v>
      </c>
      <c r="O24" s="871">
        <v>43025.62</v>
      </c>
      <c r="P24" s="871">
        <v>50611.45</v>
      </c>
      <c r="Q24" s="871">
        <v>313925.59000000003</v>
      </c>
      <c r="R24" s="871">
        <v>286659.18</v>
      </c>
      <c r="S24" s="871">
        <v>13341.41</v>
      </c>
      <c r="T24" s="871">
        <v>12231.78</v>
      </c>
      <c r="U24" s="871">
        <v>90630.54</v>
      </c>
      <c r="V24" s="871">
        <v>89356.72</v>
      </c>
      <c r="W24" s="871">
        <f t="shared" si="0"/>
        <v>528362.16</v>
      </c>
      <c r="X24" s="871">
        <f t="shared" si="1"/>
        <v>518465.26</v>
      </c>
      <c r="Y24" s="1328">
        <f t="shared" si="2"/>
        <v>466857.25911280699</v>
      </c>
      <c r="Z24" s="870">
        <v>3097.2</v>
      </c>
      <c r="AA24" s="890">
        <f t="shared" si="3"/>
        <v>10098.685514422419</v>
      </c>
      <c r="AB24" s="871">
        <v>8836.0300000000007</v>
      </c>
      <c r="AC24" s="890">
        <f t="shared" si="4"/>
        <v>2065.714676139617</v>
      </c>
      <c r="AD24" s="890">
        <f t="shared" si="5"/>
        <v>107.37857559433451</v>
      </c>
      <c r="AE24" s="890">
        <f t="shared" si="6"/>
        <v>99.2875999233014</v>
      </c>
      <c r="AF24" s="871">
        <v>5291.88</v>
      </c>
      <c r="AG24" s="871">
        <f t="shared" si="7"/>
        <v>8527.0164432350666</v>
      </c>
      <c r="AH24" s="871">
        <f t="shared" si="8"/>
        <v>90420.385603082599</v>
      </c>
      <c r="AI24" s="871">
        <f t="shared" si="9"/>
        <v>9856.7261486784373</v>
      </c>
      <c r="AJ24" s="871">
        <f t="shared" si="10"/>
        <v>94243.546191677538</v>
      </c>
      <c r="AK24" s="871">
        <f t="shared" si="11"/>
        <v>19037.196330718863</v>
      </c>
      <c r="AL24" s="1328">
        <f t="shared" si="12"/>
        <v>251681.04708347219</v>
      </c>
      <c r="AM24" s="890">
        <v>18930.07</v>
      </c>
      <c r="AN24" s="890"/>
      <c r="AO24" s="890"/>
      <c r="AP24" s="890"/>
      <c r="AQ24" s="890">
        <v>26081.439999999999</v>
      </c>
      <c r="AR24" s="890"/>
      <c r="AS24" s="1490">
        <f t="shared" si="13"/>
        <v>45011.509999999995</v>
      </c>
      <c r="AT24" s="1480">
        <f>3899.94/27394.27*H24</f>
        <v>575.60633690184113</v>
      </c>
      <c r="AU24" s="1481">
        <v>618.02</v>
      </c>
      <c r="AV24" s="1481">
        <f>559176.85/27394.27*H24</f>
        <v>82530.946196303077</v>
      </c>
      <c r="AW24" s="1481">
        <f>AV24*0.202</f>
        <v>16671.251131653222</v>
      </c>
      <c r="AX24" s="1491">
        <f t="shared" si="14"/>
        <v>100395.82366485814</v>
      </c>
      <c r="AY24" s="1482"/>
      <c r="AZ24" s="1481">
        <f t="shared" si="15"/>
        <v>5128.7540458991216</v>
      </c>
      <c r="BA24" s="1481">
        <f t="shared" si="16"/>
        <v>64640.124318577524</v>
      </c>
      <c r="BB24" s="1481">
        <f t="shared" si="17"/>
        <v>61504.900887193042</v>
      </c>
      <c r="BC24" s="1481">
        <f t="shared" si="18"/>
        <v>98.126871916792823</v>
      </c>
      <c r="BD24" s="1481">
        <f t="shared" si="19"/>
        <v>12.82963301287387</v>
      </c>
      <c r="BE24" s="1481">
        <f t="shared" si="20"/>
        <v>9896.9000000000233</v>
      </c>
      <c r="BF24" s="1481">
        <f t="shared" si="21"/>
        <v>1273.8199999999924</v>
      </c>
      <c r="BG24" s="1481">
        <v>12.12</v>
      </c>
      <c r="BH24" s="1481">
        <v>2.5</v>
      </c>
    </row>
    <row r="25" spans="1:81" x14ac:dyDescent="0.25">
      <c r="A25" s="32">
        <v>19</v>
      </c>
      <c r="B25" s="583">
        <v>42569</v>
      </c>
      <c r="C25" s="42" t="s">
        <v>163</v>
      </c>
      <c r="D25" s="705">
        <v>1955</v>
      </c>
      <c r="E25" s="690">
        <v>2</v>
      </c>
      <c r="F25" s="706">
        <v>12</v>
      </c>
      <c r="G25" s="869">
        <v>21</v>
      </c>
      <c r="H25" s="706">
        <v>606.29999999999995</v>
      </c>
      <c r="I25" s="706">
        <v>0</v>
      </c>
      <c r="J25" s="706">
        <v>0</v>
      </c>
      <c r="K25" s="706">
        <v>582</v>
      </c>
      <c r="L25" s="706">
        <v>478.26</v>
      </c>
      <c r="M25" s="706">
        <v>0</v>
      </c>
      <c r="N25" s="706">
        <v>0</v>
      </c>
      <c r="O25" s="871">
        <v>6475.26</v>
      </c>
      <c r="P25" s="871">
        <v>5320.53</v>
      </c>
      <c r="Q25" s="871">
        <v>47364.15</v>
      </c>
      <c r="R25" s="871">
        <v>31037.06</v>
      </c>
      <c r="S25" s="871">
        <v>1014.44</v>
      </c>
      <c r="T25" s="871">
        <v>669.7</v>
      </c>
      <c r="U25" s="871">
        <v>21826.799999999999</v>
      </c>
      <c r="V25" s="871">
        <v>14971.76</v>
      </c>
      <c r="W25" s="871">
        <f t="shared" si="0"/>
        <v>77262.650000000009</v>
      </c>
      <c r="X25" s="871">
        <f t="shared" si="1"/>
        <v>52477.31</v>
      </c>
      <c r="Y25" s="1328">
        <f t="shared" si="2"/>
        <v>47499.252811395716</v>
      </c>
      <c r="Z25" s="870">
        <v>463.48</v>
      </c>
      <c r="AA25" s="890">
        <f t="shared" si="3"/>
        <v>1514.3457510089265</v>
      </c>
      <c r="AB25" s="871">
        <v>1415.82</v>
      </c>
      <c r="AC25" s="890">
        <f t="shared" si="4"/>
        <v>309.76370520116387</v>
      </c>
      <c r="AD25" s="890">
        <f t="shared" si="5"/>
        <v>16.101926282231737</v>
      </c>
      <c r="AE25" s="890">
        <f t="shared" si="6"/>
        <v>14.888646136865576</v>
      </c>
      <c r="AF25" s="871"/>
      <c r="AG25" s="871">
        <f t="shared" si="7"/>
        <v>1278.6665255745224</v>
      </c>
      <c r="AH25" s="871">
        <f t="shared" si="8"/>
        <v>13558.965327424425</v>
      </c>
      <c r="AI25" s="871">
        <f t="shared" si="9"/>
        <v>1478.0627974593854</v>
      </c>
      <c r="AJ25" s="871">
        <f t="shared" si="10"/>
        <v>14132.266375812866</v>
      </c>
      <c r="AK25" s="871">
        <f t="shared" si="11"/>
        <v>2854.7178079141991</v>
      </c>
      <c r="AL25" s="1328">
        <f t="shared" si="12"/>
        <v>37037.078862814589</v>
      </c>
      <c r="AM25" s="890"/>
      <c r="AN25" s="890"/>
      <c r="AO25" s="890"/>
      <c r="AP25" s="890"/>
      <c r="AQ25" s="890"/>
      <c r="AR25" s="890"/>
      <c r="AS25" s="1490">
        <f t="shared" si="13"/>
        <v>0</v>
      </c>
      <c r="AT25" s="1480"/>
      <c r="AU25" s="1481"/>
      <c r="AV25" s="1481"/>
      <c r="AW25" s="1481"/>
      <c r="AX25" s="1491">
        <f t="shared" si="14"/>
        <v>0</v>
      </c>
      <c r="AY25" s="1482"/>
      <c r="AZ25" s="1481">
        <f t="shared" si="15"/>
        <v>769.08097457685631</v>
      </c>
      <c r="BA25" s="1481">
        <f t="shared" si="16"/>
        <v>9693.092974004272</v>
      </c>
      <c r="BB25" s="1481">
        <f t="shared" si="17"/>
        <v>29763.397188604293</v>
      </c>
      <c r="BC25" s="1481">
        <f t="shared" si="18"/>
        <v>67.920670595688847</v>
      </c>
      <c r="BD25" s="1481">
        <f t="shared" si="19"/>
        <v>8.7047579693579848</v>
      </c>
      <c r="BE25" s="1481">
        <f t="shared" si="20"/>
        <v>24785.340000000011</v>
      </c>
      <c r="BF25" s="1481">
        <f t="shared" si="21"/>
        <v>6855.0399999999991</v>
      </c>
      <c r="BG25" s="1481">
        <v>10.64</v>
      </c>
      <c r="BH25" s="1481">
        <v>4</v>
      </c>
    </row>
    <row r="26" spans="1:81" x14ac:dyDescent="0.25">
      <c r="A26" s="32">
        <v>20</v>
      </c>
      <c r="B26" s="582"/>
      <c r="C26" s="42" t="s">
        <v>164</v>
      </c>
      <c r="D26" s="705">
        <v>1989</v>
      </c>
      <c r="E26" s="690">
        <v>5</v>
      </c>
      <c r="F26" s="706">
        <v>75</v>
      </c>
      <c r="G26" s="869">
        <v>146</v>
      </c>
      <c r="H26" s="706">
        <v>3492.24</v>
      </c>
      <c r="I26" s="706">
        <v>63710.53</v>
      </c>
      <c r="J26" s="706">
        <v>73876.320000000007</v>
      </c>
      <c r="K26" s="706">
        <v>3288.08</v>
      </c>
      <c r="L26" s="706">
        <v>3812.83</v>
      </c>
      <c r="M26" s="706">
        <v>0</v>
      </c>
      <c r="N26" s="706">
        <v>0</v>
      </c>
      <c r="O26" s="871">
        <v>36581.919999999998</v>
      </c>
      <c r="P26" s="871">
        <v>42231.59</v>
      </c>
      <c r="Q26" s="871">
        <v>271841.53000000003</v>
      </c>
      <c r="R26" s="871">
        <v>245409.67</v>
      </c>
      <c r="S26" s="871">
        <v>9245.81</v>
      </c>
      <c r="T26" s="871">
        <v>8356.3700000000008</v>
      </c>
      <c r="U26" s="871">
        <v>112970.22</v>
      </c>
      <c r="V26" s="871">
        <v>110533.59</v>
      </c>
      <c r="W26" s="871">
        <f t="shared" si="0"/>
        <v>497638.09000000008</v>
      </c>
      <c r="X26" s="871">
        <f t="shared" si="1"/>
        <v>484220.37</v>
      </c>
      <c r="Y26" s="1328">
        <f t="shared" si="2"/>
        <v>396823.89196865598</v>
      </c>
      <c r="Z26" s="870">
        <v>8699.58</v>
      </c>
      <c r="AA26" s="890">
        <f t="shared" si="3"/>
        <v>8722.5116369840252</v>
      </c>
      <c r="AB26" s="871">
        <v>4959.78</v>
      </c>
      <c r="AC26" s="890">
        <f t="shared" si="4"/>
        <v>1784.2144183600735</v>
      </c>
      <c r="AD26" s="890">
        <f t="shared" si="5"/>
        <v>92.745820616627029</v>
      </c>
      <c r="AE26" s="890">
        <f t="shared" si="6"/>
        <v>85.757423033164187</v>
      </c>
      <c r="AF26" s="871">
        <v>4113.12</v>
      </c>
      <c r="AG26" s="871">
        <f t="shared" si="7"/>
        <v>7365.017956906433</v>
      </c>
      <c r="AH26" s="871">
        <f t="shared" si="8"/>
        <v>78098.566839921943</v>
      </c>
      <c r="AI26" s="871">
        <f t="shared" si="9"/>
        <v>8513.5246970139597</v>
      </c>
      <c r="AJ26" s="871">
        <f t="shared" si="10"/>
        <v>81400.735491124404</v>
      </c>
      <c r="AK26" s="871">
        <f t="shared" si="11"/>
        <v>16442.948569207132</v>
      </c>
      <c r="AL26" s="1328">
        <f t="shared" si="12"/>
        <v>220278.50285316774</v>
      </c>
      <c r="AM26" s="890">
        <v>13821.41</v>
      </c>
      <c r="AN26" s="890"/>
      <c r="AO26" s="890"/>
      <c r="AP26" s="890"/>
      <c r="AQ26" s="890">
        <v>16068.03</v>
      </c>
      <c r="AR26" s="890"/>
      <c r="AS26" s="1490">
        <f t="shared" si="13"/>
        <v>29889.440000000002</v>
      </c>
      <c r="AT26" s="1480">
        <f>3899.94/27394.27*H26</f>
        <v>497.16697928435394</v>
      </c>
      <c r="AU26" s="1481">
        <v>213.83</v>
      </c>
      <c r="AV26" s="1481">
        <f>559176.85/27394.27*H26</f>
        <v>71284.241655061429</v>
      </c>
      <c r="AW26" s="1481">
        <f>AV26*0.202</f>
        <v>14399.416814322409</v>
      </c>
      <c r="AX26" s="1491">
        <f t="shared" si="14"/>
        <v>86394.6554486682</v>
      </c>
      <c r="AY26" s="1482"/>
      <c r="AZ26" s="1481">
        <f t="shared" si="15"/>
        <v>4429.8455263999358</v>
      </c>
      <c r="BA26" s="1481">
        <f t="shared" si="16"/>
        <v>55831.448140420056</v>
      </c>
      <c r="BB26" s="1481">
        <f t="shared" si="17"/>
        <v>100814.1980313441</v>
      </c>
      <c r="BC26" s="1481">
        <f t="shared" si="18"/>
        <v>97.303719255091565</v>
      </c>
      <c r="BD26" s="1481">
        <f t="shared" si="19"/>
        <v>12.625576578950154</v>
      </c>
      <c r="BE26" s="1481">
        <f t="shared" si="20"/>
        <v>13417.720000000088</v>
      </c>
      <c r="BF26" s="1481">
        <f t="shared" si="21"/>
        <v>2436.6300000000047</v>
      </c>
      <c r="BG26" s="1481">
        <v>12.6</v>
      </c>
      <c r="BH26" s="1481">
        <v>3.66</v>
      </c>
    </row>
    <row r="27" spans="1:81" x14ac:dyDescent="0.25">
      <c r="A27" s="32">
        <v>21</v>
      </c>
      <c r="B27" s="582"/>
      <c r="C27" s="42" t="s">
        <v>165</v>
      </c>
      <c r="D27" s="705">
        <v>1989</v>
      </c>
      <c r="E27" s="690">
        <v>5</v>
      </c>
      <c r="F27" s="706">
        <v>75</v>
      </c>
      <c r="G27" s="869">
        <v>137</v>
      </c>
      <c r="H27" s="706">
        <v>3454.59</v>
      </c>
      <c r="I27" s="706">
        <v>63679.92</v>
      </c>
      <c r="J27" s="706">
        <v>74760.08</v>
      </c>
      <c r="K27" s="706">
        <v>3318.96</v>
      </c>
      <c r="L27" s="706">
        <v>3889.04</v>
      </c>
      <c r="M27" s="706">
        <v>14727.36</v>
      </c>
      <c r="N27" s="706">
        <v>17256.64</v>
      </c>
      <c r="O27" s="871">
        <v>36921.9</v>
      </c>
      <c r="P27" s="871">
        <v>43288.08</v>
      </c>
      <c r="Q27" s="871">
        <v>278261.43</v>
      </c>
      <c r="R27" s="871">
        <v>245230.28</v>
      </c>
      <c r="S27" s="871">
        <v>7532.78</v>
      </c>
      <c r="T27" s="871">
        <v>7190.78</v>
      </c>
      <c r="U27" s="871">
        <v>122901.66</v>
      </c>
      <c r="V27" s="871">
        <v>120202.52</v>
      </c>
      <c r="W27" s="871">
        <f t="shared" si="0"/>
        <v>527344.01</v>
      </c>
      <c r="X27" s="871">
        <f t="shared" si="1"/>
        <v>511817.42000000004</v>
      </c>
      <c r="Y27" s="1328">
        <f t="shared" si="2"/>
        <v>402719.89037973399</v>
      </c>
      <c r="Z27" s="870">
        <v>6351.98</v>
      </c>
      <c r="AA27" s="890">
        <f t="shared" si="3"/>
        <v>8628.4738379975734</v>
      </c>
      <c r="AB27" s="871">
        <v>753.76</v>
      </c>
      <c r="AC27" s="890">
        <f t="shared" si="4"/>
        <v>1764.9787206842964</v>
      </c>
      <c r="AD27" s="890">
        <f t="shared" si="5"/>
        <v>91.745923660456782</v>
      </c>
      <c r="AE27" s="890">
        <f t="shared" si="6"/>
        <v>84.832868312641367</v>
      </c>
      <c r="AF27" s="871">
        <v>4113.12</v>
      </c>
      <c r="AG27" s="871">
        <f t="shared" si="7"/>
        <v>7285.6153596973281</v>
      </c>
      <c r="AH27" s="871">
        <f t="shared" si="8"/>
        <v>77256.582600143738</v>
      </c>
      <c r="AI27" s="871">
        <f t="shared" si="9"/>
        <v>8421.7399958357564</v>
      </c>
      <c r="AJ27" s="871">
        <f t="shared" si="10"/>
        <v>80523.150419296348</v>
      </c>
      <c r="AK27" s="871">
        <f t="shared" si="11"/>
        <v>16265.676384697863</v>
      </c>
      <c r="AL27" s="1328">
        <f t="shared" si="12"/>
        <v>211541.65611032597</v>
      </c>
      <c r="AM27" s="890">
        <v>240</v>
      </c>
      <c r="AN27" s="890"/>
      <c r="AO27" s="890"/>
      <c r="AP27" s="890"/>
      <c r="AQ27" s="890"/>
      <c r="AR27" s="890">
        <v>34166.26</v>
      </c>
      <c r="AS27" s="1490">
        <f t="shared" si="13"/>
        <v>34406.26</v>
      </c>
      <c r="AT27" s="1480">
        <f t="shared" ref="AT27:AT29" si="22">3899.94/27394.27*H27</f>
        <v>491.8069992228302</v>
      </c>
      <c r="AU27" s="1481">
        <v>406.08</v>
      </c>
      <c r="AV27" s="1481">
        <f t="shared" ref="AV27:AV29" si="23">559176.85/27394.27*H27</f>
        <v>70515.722968398128</v>
      </c>
      <c r="AW27" s="1481">
        <f t="shared" ref="AW27:AW29" si="24">AV27*0.202</f>
        <v>14244.176039616423</v>
      </c>
      <c r="AX27" s="1491">
        <f t="shared" si="14"/>
        <v>85657.786007237373</v>
      </c>
      <c r="AY27" s="1483">
        <f>56309.37/16911.5*H27</f>
        <v>11502.57437295923</v>
      </c>
      <c r="AZ27" s="1481">
        <f t="shared" si="15"/>
        <v>4382.0871581122592</v>
      </c>
      <c r="BA27" s="1481">
        <f t="shared" si="16"/>
        <v>55229.526731099162</v>
      </c>
      <c r="BB27" s="1481">
        <f t="shared" si="17"/>
        <v>124624.11962026602</v>
      </c>
      <c r="BC27" s="1481">
        <f t="shared" si="18"/>
        <v>97.055699940537878</v>
      </c>
      <c r="BD27" s="1481">
        <f t="shared" si="19"/>
        <v>12.952811907241411</v>
      </c>
      <c r="BE27" s="1481">
        <f t="shared" si="20"/>
        <v>15526.589999999967</v>
      </c>
      <c r="BF27" s="1481">
        <f t="shared" si="21"/>
        <v>2699.1399999999994</v>
      </c>
      <c r="BG27" s="1481">
        <v>13.21</v>
      </c>
      <c r="BH27" s="1481">
        <v>3.95</v>
      </c>
    </row>
    <row r="28" spans="1:81" x14ac:dyDescent="0.25">
      <c r="A28" s="32">
        <v>22</v>
      </c>
      <c r="B28" s="582"/>
      <c r="C28" s="42" t="s">
        <v>166</v>
      </c>
      <c r="D28" s="705">
        <v>1993</v>
      </c>
      <c r="E28" s="690">
        <v>5</v>
      </c>
      <c r="F28" s="706">
        <v>100</v>
      </c>
      <c r="G28" s="869">
        <v>227</v>
      </c>
      <c r="H28" s="706">
        <v>6046.32</v>
      </c>
      <c r="I28" s="706">
        <v>100690.97</v>
      </c>
      <c r="J28" s="706">
        <v>120908.1</v>
      </c>
      <c r="K28" s="706">
        <v>5815.26</v>
      </c>
      <c r="L28" s="706">
        <v>6971.47</v>
      </c>
      <c r="M28" s="706">
        <v>22537.87</v>
      </c>
      <c r="N28" s="706">
        <v>27018.57</v>
      </c>
      <c r="O28" s="871">
        <v>64703.63</v>
      </c>
      <c r="P28" s="871">
        <v>77334.78</v>
      </c>
      <c r="Q28" s="871">
        <v>480680.58</v>
      </c>
      <c r="R28" s="871">
        <v>452097.97</v>
      </c>
      <c r="S28" s="871">
        <v>31326.32</v>
      </c>
      <c r="T28" s="871">
        <v>29329.81</v>
      </c>
      <c r="U28" s="871">
        <v>137940.47</v>
      </c>
      <c r="V28" s="871">
        <v>136150.67000000001</v>
      </c>
      <c r="W28" s="871">
        <f t="shared" si="0"/>
        <v>843695.1</v>
      </c>
      <c r="X28" s="871">
        <f t="shared" si="1"/>
        <v>849811.37000000011</v>
      </c>
      <c r="Y28" s="1328">
        <f t="shared" si="2"/>
        <v>699324.29805765464</v>
      </c>
      <c r="Z28" s="870">
        <v>2317.2399999999998</v>
      </c>
      <c r="AA28" s="890">
        <f t="shared" si="3"/>
        <v>15101.796142570169</v>
      </c>
      <c r="AB28" s="871">
        <v>27344.66</v>
      </c>
      <c r="AC28" s="890">
        <f t="shared" si="4"/>
        <v>3089.1151014875495</v>
      </c>
      <c r="AD28" s="890">
        <f t="shared" si="5"/>
        <v>160.5762805851615</v>
      </c>
      <c r="AE28" s="890">
        <f t="shared" si="6"/>
        <v>148.47685784306955</v>
      </c>
      <c r="AF28" s="871">
        <v>5266.8</v>
      </c>
      <c r="AG28" s="871">
        <f t="shared" si="7"/>
        <v>12751.487690766529</v>
      </c>
      <c r="AH28" s="871">
        <f t="shared" si="8"/>
        <v>135216.6307743903</v>
      </c>
      <c r="AI28" s="871">
        <f t="shared" si="9"/>
        <v>14739.964792239207</v>
      </c>
      <c r="AJ28" s="871">
        <f t="shared" si="10"/>
        <v>140933.86909682475</v>
      </c>
      <c r="AK28" s="871">
        <f t="shared" si="11"/>
        <v>28468.641557558603</v>
      </c>
      <c r="AL28" s="1328">
        <f t="shared" si="12"/>
        <v>385539.25829426525</v>
      </c>
      <c r="AM28" s="890">
        <v>6839.17</v>
      </c>
      <c r="AN28" s="890"/>
      <c r="AO28" s="890"/>
      <c r="AP28" s="890"/>
      <c r="AQ28" s="890">
        <v>5821.75</v>
      </c>
      <c r="AR28" s="890">
        <v>27044.16</v>
      </c>
      <c r="AS28" s="1490">
        <f t="shared" si="13"/>
        <v>39705.08</v>
      </c>
      <c r="AT28" s="1480">
        <f t="shared" si="22"/>
        <v>860.77435977669779</v>
      </c>
      <c r="AU28" s="1481">
        <v>404</v>
      </c>
      <c r="AV28" s="1481">
        <f t="shared" si="23"/>
        <v>123418.58978874047</v>
      </c>
      <c r="AW28" s="1481">
        <f t="shared" si="24"/>
        <v>24930.555137325577</v>
      </c>
      <c r="AX28" s="1491">
        <f t="shared" si="14"/>
        <v>149613.91928584274</v>
      </c>
      <c r="AY28" s="1483">
        <f t="shared" ref="AY28:AY29" si="25">56309.37/16911.5*H28</f>
        <v>20132.127251775419</v>
      </c>
      <c r="AZ28" s="1481">
        <f t="shared" si="15"/>
        <v>7669.6514567104377</v>
      </c>
      <c r="BA28" s="1481">
        <f t="shared" si="16"/>
        <v>96664.261769060715</v>
      </c>
      <c r="BB28" s="1481">
        <f t="shared" si="17"/>
        <v>144370.80194234534</v>
      </c>
      <c r="BC28" s="1481">
        <f t="shared" si="18"/>
        <v>100.72493842858637</v>
      </c>
      <c r="BD28" s="1481">
        <f t="shared" si="19"/>
        <v>12.851238403555195</v>
      </c>
      <c r="BE28" s="1481">
        <f t="shared" si="20"/>
        <v>-6116.270000000135</v>
      </c>
      <c r="BF28" s="1481">
        <f t="shared" si="21"/>
        <v>1789.7999999999884</v>
      </c>
      <c r="BG28" s="1481">
        <v>12.81</v>
      </c>
      <c r="BH28" s="1481">
        <v>2.5299999999999998</v>
      </c>
    </row>
    <row r="29" spans="1:81" x14ac:dyDescent="0.25">
      <c r="A29" s="32">
        <v>23</v>
      </c>
      <c r="B29" s="582"/>
      <c r="C29" s="42" t="s">
        <v>167</v>
      </c>
      <c r="D29" s="705">
        <v>1989</v>
      </c>
      <c r="E29" s="690">
        <v>5</v>
      </c>
      <c r="F29" s="706">
        <v>76</v>
      </c>
      <c r="G29" s="869">
        <v>141</v>
      </c>
      <c r="H29" s="706">
        <v>3481.7</v>
      </c>
      <c r="I29" s="706">
        <v>63731.78</v>
      </c>
      <c r="J29" s="706">
        <v>66342.039999999994</v>
      </c>
      <c r="K29" s="706">
        <v>3343.6</v>
      </c>
      <c r="L29" s="706">
        <v>3450.72</v>
      </c>
      <c r="M29" s="706">
        <v>14626.73</v>
      </c>
      <c r="N29" s="706">
        <v>15163.22</v>
      </c>
      <c r="O29" s="871">
        <v>37193.82</v>
      </c>
      <c r="P29" s="871">
        <v>38617.199999999997</v>
      </c>
      <c r="Q29" s="871">
        <v>280640.65999999997</v>
      </c>
      <c r="R29" s="871">
        <v>224736.78</v>
      </c>
      <c r="S29" s="871">
        <v>10392.129999999999</v>
      </c>
      <c r="T29" s="871">
        <v>8401.51</v>
      </c>
      <c r="U29" s="871">
        <v>125376.92</v>
      </c>
      <c r="V29" s="871">
        <v>108625.44</v>
      </c>
      <c r="W29" s="871">
        <f t="shared" si="0"/>
        <v>535305.64</v>
      </c>
      <c r="X29" s="871">
        <f t="shared" si="1"/>
        <v>465336.91</v>
      </c>
      <c r="Y29" s="1328">
        <f t="shared" si="2"/>
        <v>425413.00571622676</v>
      </c>
      <c r="Z29" s="870">
        <v>5496.13</v>
      </c>
      <c r="AA29" s="890">
        <f t="shared" si="3"/>
        <v>8696.1860486356254</v>
      </c>
      <c r="AB29" s="871">
        <v>16028.54</v>
      </c>
      <c r="AC29" s="890">
        <f t="shared" si="4"/>
        <v>1778.8294448274655</v>
      </c>
      <c r="AD29" s="890">
        <f t="shared" si="5"/>
        <v>92.465902584275511</v>
      </c>
      <c r="AE29" s="890">
        <f t="shared" si="6"/>
        <v>85.498596824550361</v>
      </c>
      <c r="AF29" s="871">
        <v>4113.12</v>
      </c>
      <c r="AG29" s="871">
        <f t="shared" si="7"/>
        <v>7342.7894476213341</v>
      </c>
      <c r="AH29" s="871">
        <f t="shared" si="8"/>
        <v>77862.855979702494</v>
      </c>
      <c r="AI29" s="871">
        <f t="shared" si="9"/>
        <v>8487.8298563654007</v>
      </c>
      <c r="AJ29" s="871">
        <f t="shared" si="10"/>
        <v>81155.058289077439</v>
      </c>
      <c r="AK29" s="871">
        <f t="shared" si="11"/>
        <v>16393.321774393644</v>
      </c>
      <c r="AL29" s="1328">
        <f t="shared" si="12"/>
        <v>227532.62534003225</v>
      </c>
      <c r="AM29" s="890"/>
      <c r="AN29" s="890"/>
      <c r="AO29" s="890"/>
      <c r="AP29" s="890"/>
      <c r="AQ29" s="890">
        <v>6287.5</v>
      </c>
      <c r="AR29" s="890">
        <v>33999.9</v>
      </c>
      <c r="AS29" s="1490">
        <f t="shared" si="13"/>
        <v>40287.4</v>
      </c>
      <c r="AT29" s="1480">
        <f t="shared" si="22"/>
        <v>495.66646959382376</v>
      </c>
      <c r="AU29" s="1481"/>
      <c r="AV29" s="1481">
        <f t="shared" si="23"/>
        <v>71069.097247161524</v>
      </c>
      <c r="AW29" s="1481">
        <f t="shared" si="24"/>
        <v>14355.957643926629</v>
      </c>
      <c r="AX29" s="1491">
        <f t="shared" si="14"/>
        <v>85920.721360681971</v>
      </c>
      <c r="AY29" s="1483">
        <f t="shared" si="25"/>
        <v>11592.841174880998</v>
      </c>
      <c r="AZ29" s="1481">
        <f t="shared" si="15"/>
        <v>4416.4757202445007</v>
      </c>
      <c r="BA29" s="1481">
        <f t="shared" si="16"/>
        <v>55662.942120387059</v>
      </c>
      <c r="BB29" s="1481">
        <f t="shared" si="17"/>
        <v>109892.63428377325</v>
      </c>
      <c r="BC29" s="1481">
        <f t="shared" si="18"/>
        <v>86.929199923991092</v>
      </c>
      <c r="BD29" s="1481">
        <f t="shared" si="19"/>
        <v>13.57615870013138</v>
      </c>
      <c r="BE29" s="1481">
        <f t="shared" si="20"/>
        <v>69968.73000000004</v>
      </c>
      <c r="BF29" s="1481">
        <f t="shared" si="21"/>
        <v>16751.479999999996</v>
      </c>
      <c r="BG29" s="1481">
        <v>13.2</v>
      </c>
      <c r="BH29" s="1481">
        <v>4</v>
      </c>
    </row>
    <row r="30" spans="1:81" x14ac:dyDescent="0.25">
      <c r="A30" s="33">
        <v>24</v>
      </c>
      <c r="B30" s="594"/>
      <c r="C30" s="45" t="s">
        <v>168</v>
      </c>
      <c r="D30" s="1475">
        <v>1957</v>
      </c>
      <c r="E30" s="1475">
        <v>1</v>
      </c>
      <c r="F30" s="1476">
        <v>4</v>
      </c>
      <c r="G30" s="1477">
        <v>11</v>
      </c>
      <c r="H30" s="706">
        <v>132.6</v>
      </c>
      <c r="I30" s="706">
        <v>0</v>
      </c>
      <c r="J30" s="706">
        <v>0</v>
      </c>
      <c r="K30" s="706">
        <v>28.98</v>
      </c>
      <c r="L30" s="706">
        <v>94.56</v>
      </c>
      <c r="M30" s="706">
        <v>0</v>
      </c>
      <c r="N30" s="706">
        <v>0</v>
      </c>
      <c r="O30" s="871">
        <v>206.49</v>
      </c>
      <c r="P30" s="871">
        <v>653.15</v>
      </c>
      <c r="Q30" s="871">
        <v>862.24</v>
      </c>
      <c r="R30" s="871">
        <v>2812.94</v>
      </c>
      <c r="S30" s="871"/>
      <c r="T30" s="871"/>
      <c r="U30" s="871"/>
      <c r="V30" s="871"/>
      <c r="W30" s="871">
        <f t="shared" si="0"/>
        <v>1097.71</v>
      </c>
      <c r="X30" s="871">
        <f t="shared" si="1"/>
        <v>3560.65</v>
      </c>
      <c r="Y30" s="1328">
        <f t="shared" si="2"/>
        <v>0</v>
      </c>
      <c r="Z30" s="870"/>
      <c r="AA30" s="890"/>
      <c r="AB30" s="871"/>
      <c r="AC30" s="890"/>
      <c r="AD30" s="890"/>
      <c r="AE30" s="890"/>
      <c r="AF30" s="871"/>
      <c r="AG30" s="871"/>
      <c r="AH30" s="871"/>
      <c r="AI30" s="871"/>
      <c r="AJ30" s="871"/>
      <c r="AK30" s="871"/>
      <c r="AL30" s="1328">
        <f t="shared" si="12"/>
        <v>0</v>
      </c>
      <c r="AM30" s="890"/>
      <c r="AN30" s="890"/>
      <c r="AO30" s="890"/>
      <c r="AP30" s="890"/>
      <c r="AQ30" s="890"/>
      <c r="AR30" s="890"/>
      <c r="AS30" s="1490">
        <f t="shared" si="13"/>
        <v>0</v>
      </c>
      <c r="AT30" s="1480"/>
      <c r="AU30" s="1481"/>
      <c r="AV30" s="1481"/>
      <c r="AW30" s="1481"/>
      <c r="AX30" s="1491">
        <f t="shared" si="14"/>
        <v>0</v>
      </c>
      <c r="AY30" s="1482"/>
      <c r="AZ30" s="1481"/>
      <c r="BA30" s="1481"/>
      <c r="BB30" s="1481">
        <f t="shared" si="17"/>
        <v>1097.71</v>
      </c>
      <c r="BC30" s="1481">
        <f t="shared" si="18"/>
        <v>324.37073544014356</v>
      </c>
      <c r="BD30" s="1481">
        <f t="shared" si="19"/>
        <v>0</v>
      </c>
      <c r="BE30" s="1481">
        <f t="shared" si="20"/>
        <v>-2462.94</v>
      </c>
      <c r="BF30" s="1481">
        <f t="shared" si="21"/>
        <v>0</v>
      </c>
      <c r="BG30" s="1481"/>
      <c r="BH30" s="1481"/>
    </row>
    <row r="31" spans="1:81" x14ac:dyDescent="0.25">
      <c r="A31" s="33">
        <v>25</v>
      </c>
      <c r="B31" s="594"/>
      <c r="C31" s="45" t="s">
        <v>169</v>
      </c>
      <c r="D31" s="872">
        <v>1957</v>
      </c>
      <c r="E31" s="872">
        <v>1</v>
      </c>
      <c r="F31" s="873">
        <v>4</v>
      </c>
      <c r="G31" s="874">
        <v>5</v>
      </c>
      <c r="H31" s="706">
        <v>131.19999999999999</v>
      </c>
      <c r="I31" s="706">
        <v>0</v>
      </c>
      <c r="J31" s="706">
        <v>0</v>
      </c>
      <c r="K31" s="706">
        <v>125.94</v>
      </c>
      <c r="L31" s="706">
        <v>75.33</v>
      </c>
      <c r="M31" s="706">
        <v>0</v>
      </c>
      <c r="N31" s="706">
        <v>0</v>
      </c>
      <c r="O31" s="871">
        <v>897.42</v>
      </c>
      <c r="P31" s="871">
        <v>536.84</v>
      </c>
      <c r="Q31" s="871">
        <v>8930.85</v>
      </c>
      <c r="R31" s="871">
        <v>3892.77</v>
      </c>
      <c r="S31" s="871"/>
      <c r="T31" s="871"/>
      <c r="U31" s="871"/>
      <c r="V31" s="871"/>
      <c r="W31" s="871">
        <f t="shared" si="0"/>
        <v>9954.2100000000009</v>
      </c>
      <c r="X31" s="871">
        <f t="shared" si="1"/>
        <v>4504.9400000000005</v>
      </c>
      <c r="Y31" s="1328">
        <f t="shared" si="2"/>
        <v>6196.0176215571946</v>
      </c>
      <c r="Z31" s="870"/>
      <c r="AA31" s="890">
        <f t="shared" si="3"/>
        <v>327.69612820777036</v>
      </c>
      <c r="AB31" s="871"/>
      <c r="AC31" s="890">
        <f t="shared" si="4"/>
        <v>67.031169589959916</v>
      </c>
      <c r="AD31" s="890">
        <f t="shared" si="5"/>
        <v>3.4843686759505261</v>
      </c>
      <c r="AE31" s="890">
        <f t="shared" si="6"/>
        <v>3.2218214962176539</v>
      </c>
      <c r="AF31" s="871"/>
      <c r="AG31" s="871">
        <f t="shared" si="7"/>
        <v>276.69643436479851</v>
      </c>
      <c r="AH31" s="871">
        <f t="shared" si="8"/>
        <v>2934.0858501700222</v>
      </c>
      <c r="AI31" s="871">
        <f t="shared" si="9"/>
        <v>319.8446957391908</v>
      </c>
      <c r="AJ31" s="871"/>
      <c r="AK31" s="871"/>
      <c r="AL31" s="1328">
        <f t="shared" si="12"/>
        <v>3932.0604682439102</v>
      </c>
      <c r="AM31" s="890"/>
      <c r="AN31" s="890"/>
      <c r="AO31" s="890"/>
      <c r="AP31" s="890"/>
      <c r="AQ31" s="890"/>
      <c r="AR31" s="890"/>
      <c r="AS31" s="1490">
        <f t="shared" si="13"/>
        <v>0</v>
      </c>
      <c r="AT31" s="1480"/>
      <c r="AU31" s="1481"/>
      <c r="AV31" s="1481"/>
      <c r="AW31" s="1481"/>
      <c r="AX31" s="1491">
        <f t="shared" si="14"/>
        <v>0</v>
      </c>
      <c r="AY31" s="1482"/>
      <c r="AZ31" s="1481">
        <f t="shared" si="15"/>
        <v>166.424911536341</v>
      </c>
      <c r="BA31" s="1481">
        <f t="shared" si="16"/>
        <v>2097.532241776943</v>
      </c>
      <c r="BB31" s="1481">
        <f t="shared" si="17"/>
        <v>3758.1923784428063</v>
      </c>
      <c r="BC31" s="1481">
        <f t="shared" si="18"/>
        <v>45.256630109270354</v>
      </c>
      <c r="BD31" s="1481">
        <f t="shared" si="19"/>
        <v>5.2473048963052129</v>
      </c>
      <c r="BE31" s="1481">
        <f t="shared" si="20"/>
        <v>5449.27</v>
      </c>
      <c r="BF31" s="1481">
        <f t="shared" si="21"/>
        <v>0</v>
      </c>
      <c r="BG31" s="1481">
        <v>8.73</v>
      </c>
      <c r="BH31" s="1481"/>
    </row>
    <row r="32" spans="1:81" x14ac:dyDescent="0.25">
      <c r="A32" s="33">
        <v>26</v>
      </c>
      <c r="B32" s="594"/>
      <c r="C32" s="45" t="s">
        <v>170</v>
      </c>
      <c r="D32" s="872">
        <v>1957</v>
      </c>
      <c r="E32" s="872">
        <v>1</v>
      </c>
      <c r="F32" s="873">
        <v>4</v>
      </c>
      <c r="G32" s="874">
        <v>3</v>
      </c>
      <c r="H32" s="706">
        <v>123</v>
      </c>
      <c r="I32" s="706">
        <v>0</v>
      </c>
      <c r="J32" s="706">
        <v>0</v>
      </c>
      <c r="K32" s="706">
        <v>118.02</v>
      </c>
      <c r="L32" s="706">
        <v>120.55</v>
      </c>
      <c r="M32" s="706">
        <v>0</v>
      </c>
      <c r="N32" s="706">
        <v>0</v>
      </c>
      <c r="O32" s="871">
        <v>841.38</v>
      </c>
      <c r="P32" s="871">
        <v>859.46</v>
      </c>
      <c r="Q32" s="871">
        <v>5870.76</v>
      </c>
      <c r="R32" s="871">
        <v>6577.71</v>
      </c>
      <c r="S32" s="871"/>
      <c r="T32" s="871"/>
      <c r="U32" s="871"/>
      <c r="V32" s="871"/>
      <c r="W32" s="871">
        <f t="shared" si="0"/>
        <v>6830.16</v>
      </c>
      <c r="X32" s="871">
        <f t="shared" si="1"/>
        <v>7557.72</v>
      </c>
      <c r="Y32" s="1328">
        <f t="shared" si="2"/>
        <v>5808.7665202098697</v>
      </c>
      <c r="Z32" s="870"/>
      <c r="AA32" s="890">
        <f t="shared" si="3"/>
        <v>307.21512019478473</v>
      </c>
      <c r="AB32" s="871"/>
      <c r="AC32" s="890">
        <f t="shared" si="4"/>
        <v>62.841721490587432</v>
      </c>
      <c r="AD32" s="890">
        <f t="shared" si="5"/>
        <v>3.2665956337036186</v>
      </c>
      <c r="AE32" s="890">
        <f t="shared" si="6"/>
        <v>3.0204576527040508</v>
      </c>
      <c r="AF32" s="871"/>
      <c r="AG32" s="871">
        <f t="shared" si="7"/>
        <v>259.40290721699864</v>
      </c>
      <c r="AH32" s="871">
        <f t="shared" si="8"/>
        <v>2750.705484534396</v>
      </c>
      <c r="AI32" s="871">
        <f t="shared" si="9"/>
        <v>299.85440225549138</v>
      </c>
      <c r="AJ32" s="871"/>
      <c r="AK32" s="871"/>
      <c r="AL32" s="1328">
        <f t="shared" si="12"/>
        <v>3686.306688978666</v>
      </c>
      <c r="AM32" s="890"/>
      <c r="AN32" s="890"/>
      <c r="AO32" s="890"/>
      <c r="AP32" s="890"/>
      <c r="AQ32" s="890"/>
      <c r="AR32" s="890"/>
      <c r="AS32" s="1490">
        <f t="shared" si="13"/>
        <v>0</v>
      </c>
      <c r="AT32" s="1480"/>
      <c r="AU32" s="1481"/>
      <c r="AV32" s="1481"/>
      <c r="AW32" s="1481"/>
      <c r="AX32" s="1491">
        <f t="shared" si="14"/>
        <v>0</v>
      </c>
      <c r="AY32" s="1482"/>
      <c r="AZ32" s="1481">
        <f t="shared" si="15"/>
        <v>156.02335456531972</v>
      </c>
      <c r="BA32" s="1481">
        <f t="shared" si="16"/>
        <v>1966.4364766658841</v>
      </c>
      <c r="BB32" s="1481">
        <f t="shared" si="17"/>
        <v>1021.3934797901302</v>
      </c>
      <c r="BC32" s="1481">
        <f t="shared" si="18"/>
        <v>110.65216627428933</v>
      </c>
      <c r="BD32" s="1481">
        <f t="shared" si="19"/>
        <v>5.247304896305212</v>
      </c>
      <c r="BE32" s="1481">
        <f t="shared" si="20"/>
        <v>-727.5600000000004</v>
      </c>
      <c r="BF32" s="1481">
        <f t="shared" si="21"/>
        <v>0</v>
      </c>
      <c r="BG32" s="1481">
        <v>6.39</v>
      </c>
      <c r="BH32" s="1481"/>
    </row>
    <row r="33" spans="1:60" x14ac:dyDescent="0.25">
      <c r="A33" s="33">
        <v>27</v>
      </c>
      <c r="B33" s="594"/>
      <c r="C33" s="45" t="s">
        <v>171</v>
      </c>
      <c r="D33" s="872">
        <v>1957</v>
      </c>
      <c r="E33" s="872">
        <v>1</v>
      </c>
      <c r="F33" s="873">
        <v>4</v>
      </c>
      <c r="G33" s="874">
        <v>8</v>
      </c>
      <c r="H33" s="706">
        <v>141.5</v>
      </c>
      <c r="I33" s="873">
        <v>0</v>
      </c>
      <c r="J33" s="873">
        <v>0</v>
      </c>
      <c r="K33" s="873">
        <v>135.84</v>
      </c>
      <c r="L33" s="873">
        <v>178.15</v>
      </c>
      <c r="M33" s="873">
        <v>0</v>
      </c>
      <c r="N33" s="873">
        <v>0</v>
      </c>
      <c r="O33" s="871">
        <v>967.86</v>
      </c>
      <c r="P33" s="871">
        <v>1254.57</v>
      </c>
      <c r="Q33" s="625">
        <v>6753.84</v>
      </c>
      <c r="R33" s="625">
        <v>5989.89</v>
      </c>
      <c r="S33" s="625"/>
      <c r="T33" s="625"/>
      <c r="U33" s="625"/>
      <c r="V33" s="625"/>
      <c r="W33" s="871">
        <f t="shared" si="0"/>
        <v>7857.54</v>
      </c>
      <c r="X33" s="871">
        <f t="shared" si="1"/>
        <v>7422.6100000000006</v>
      </c>
      <c r="Y33" s="1328">
        <f t="shared" si="2"/>
        <v>6682.4427854446876</v>
      </c>
      <c r="Z33" s="870"/>
      <c r="AA33" s="525">
        <f t="shared" si="3"/>
        <v>353.42227241920358</v>
      </c>
      <c r="AB33" s="871"/>
      <c r="AC33" s="525">
        <f t="shared" si="4"/>
        <v>72.293525129415627</v>
      </c>
      <c r="AD33" s="525">
        <f t="shared" si="5"/>
        <v>3.757912863163106</v>
      </c>
      <c r="AE33" s="525">
        <f t="shared" si="6"/>
        <v>3.4747541289237658</v>
      </c>
      <c r="AF33" s="625"/>
      <c r="AG33" s="625">
        <f t="shared" si="7"/>
        <v>298.41879163581552</v>
      </c>
      <c r="AH33" s="625">
        <f t="shared" si="8"/>
        <v>3164.4294801757483</v>
      </c>
      <c r="AI33" s="625">
        <f t="shared" si="9"/>
        <v>344.95445462725229</v>
      </c>
      <c r="AJ33" s="625"/>
      <c r="AK33" s="871"/>
      <c r="AL33" s="1328">
        <f t="shared" si="12"/>
        <v>4240.7511909795221</v>
      </c>
      <c r="AM33" s="525"/>
      <c r="AN33" s="525"/>
      <c r="AO33" s="525"/>
      <c r="AP33" s="525"/>
      <c r="AQ33" s="890"/>
      <c r="AR33" s="525"/>
      <c r="AS33" s="1490">
        <f t="shared" si="13"/>
        <v>0</v>
      </c>
      <c r="AT33" s="562"/>
      <c r="AU33" s="1465"/>
      <c r="AV33" s="1465"/>
      <c r="AW33" s="1465"/>
      <c r="AX33" s="1491">
        <f t="shared" si="14"/>
        <v>0</v>
      </c>
      <c r="AY33" s="1464"/>
      <c r="AZ33" s="1465">
        <f t="shared" si="15"/>
        <v>179.49028187798976</v>
      </c>
      <c r="BA33" s="1465">
        <f t="shared" si="16"/>
        <v>2262.2013125871754</v>
      </c>
      <c r="BB33" s="1465">
        <f t="shared" si="17"/>
        <v>1175.0972145553123</v>
      </c>
      <c r="BC33" s="1465">
        <f t="shared" si="18"/>
        <v>94.464807051570858</v>
      </c>
      <c r="BD33" s="1465">
        <f t="shared" si="19"/>
        <v>5.247304896305212</v>
      </c>
      <c r="BE33" s="1465">
        <f t="shared" si="20"/>
        <v>434.92999999999938</v>
      </c>
      <c r="BF33" s="1465">
        <f t="shared" si="21"/>
        <v>0</v>
      </c>
      <c r="BG33" s="1465">
        <v>6.39</v>
      </c>
      <c r="BH33" s="1465"/>
    </row>
    <row r="34" spans="1:60" x14ac:dyDescent="0.25">
      <c r="A34" s="162"/>
      <c r="B34" s="162"/>
      <c r="C34" s="152" t="s">
        <v>52</v>
      </c>
      <c r="D34" s="876"/>
      <c r="E34" s="876"/>
      <c r="F34" s="692">
        <f>SUM(F7:F33)</f>
        <v>760</v>
      </c>
      <c r="G34" s="692">
        <f>SUM(G7:G33)</f>
        <v>1535</v>
      </c>
      <c r="H34" s="692">
        <f t="shared" ref="H34:BF34" si="26">SUM(H7:H33)</f>
        <v>37786.479999999989</v>
      </c>
      <c r="I34" s="692">
        <f t="shared" ref="I34:N34" si="27">SUM(I7:I33)</f>
        <v>484389.92000000004</v>
      </c>
      <c r="J34" s="692">
        <f t="shared" si="27"/>
        <v>555971.9</v>
      </c>
      <c r="K34" s="692">
        <f t="shared" si="27"/>
        <v>36101.49</v>
      </c>
      <c r="L34" s="692">
        <f t="shared" si="27"/>
        <v>39463.110000000008</v>
      </c>
      <c r="M34" s="692">
        <f t="shared" si="27"/>
        <v>67735.599999999991</v>
      </c>
      <c r="N34" s="692">
        <f t="shared" si="27"/>
        <v>77424.489999999991</v>
      </c>
      <c r="O34" s="877">
        <f t="shared" si="26"/>
        <v>399570.74</v>
      </c>
      <c r="P34" s="877">
        <f t="shared" si="26"/>
        <v>449600.68000000005</v>
      </c>
      <c r="Q34" s="877">
        <f t="shared" si="26"/>
        <v>2934960.98</v>
      </c>
      <c r="R34" s="877">
        <f t="shared" si="26"/>
        <v>2583861.92</v>
      </c>
      <c r="S34" s="877">
        <f t="shared" si="26"/>
        <v>104587.06</v>
      </c>
      <c r="T34" s="877">
        <f t="shared" si="26"/>
        <v>93634.349999999991</v>
      </c>
      <c r="U34" s="877">
        <f t="shared" si="26"/>
        <v>1188722.96</v>
      </c>
      <c r="V34" s="877">
        <f t="shared" si="26"/>
        <v>1114660.5</v>
      </c>
      <c r="W34" s="1329">
        <f t="shared" si="26"/>
        <v>5216068.7499999991</v>
      </c>
      <c r="X34" s="1329">
        <f t="shared" si="26"/>
        <v>4914616.9500000011</v>
      </c>
      <c r="Y34" s="1329">
        <f t="shared" si="26"/>
        <v>3971051.9083600002</v>
      </c>
      <c r="Z34" s="1329">
        <f t="shared" si="26"/>
        <v>43215.62999999999</v>
      </c>
      <c r="AA34" s="1329">
        <f t="shared" si="26"/>
        <v>94047.49</v>
      </c>
      <c r="AB34" s="1329">
        <f t="shared" si="26"/>
        <v>82473.31</v>
      </c>
      <c r="AC34" s="1329">
        <f t="shared" si="26"/>
        <v>19237.679999999993</v>
      </c>
      <c r="AD34" s="1329">
        <f t="shared" si="26"/>
        <v>1000.0000000000002</v>
      </c>
      <c r="AE34" s="1329">
        <f t="shared" si="26"/>
        <v>924.65000000000009</v>
      </c>
      <c r="AF34" s="1329">
        <f t="shared" si="26"/>
        <v>30764.799999999996</v>
      </c>
      <c r="AG34" s="1329">
        <f t="shared" si="26"/>
        <v>79410.780000000013</v>
      </c>
      <c r="AH34" s="1329">
        <f t="shared" si="26"/>
        <v>842071.00999999989</v>
      </c>
      <c r="AI34" s="1329">
        <f t="shared" si="26"/>
        <v>91794.159999999989</v>
      </c>
      <c r="AJ34" s="1329">
        <f t="shared" si="26"/>
        <v>865699.33</v>
      </c>
      <c r="AK34" s="1329">
        <f t="shared" si="26"/>
        <v>174871.26465999999</v>
      </c>
      <c r="AL34" s="1329">
        <f t="shared" si="26"/>
        <v>2325510.1046600002</v>
      </c>
      <c r="AM34" s="1329">
        <f t="shared" si="26"/>
        <v>80775.48</v>
      </c>
      <c r="AN34" s="1329">
        <f t="shared" si="26"/>
        <v>3000</v>
      </c>
      <c r="AO34" s="1329">
        <f t="shared" si="26"/>
        <v>0</v>
      </c>
      <c r="AP34" s="1329">
        <f t="shared" si="26"/>
        <v>0</v>
      </c>
      <c r="AQ34" s="1329">
        <f t="shared" si="26"/>
        <v>54258.720000000001</v>
      </c>
      <c r="AR34" s="1329">
        <f t="shared" si="26"/>
        <v>122672.51000000001</v>
      </c>
      <c r="AS34" s="1329">
        <f t="shared" si="26"/>
        <v>260706.71</v>
      </c>
      <c r="AT34" s="1329">
        <f t="shared" si="26"/>
        <v>3899.94</v>
      </c>
      <c r="AU34" s="1329">
        <f t="shared" si="26"/>
        <v>2748.48</v>
      </c>
      <c r="AV34" s="1329">
        <f t="shared" si="26"/>
        <v>559176.85</v>
      </c>
      <c r="AW34" s="1329">
        <f t="shared" si="26"/>
        <v>112953.72369999997</v>
      </c>
      <c r="AX34" s="1329">
        <f t="shared" si="26"/>
        <v>678778.99369999988</v>
      </c>
      <c r="AY34" s="1329">
        <f t="shared" si="26"/>
        <v>56309.37</v>
      </c>
      <c r="AZ34" s="1329">
        <f t="shared" si="26"/>
        <v>47763.29</v>
      </c>
      <c r="BA34" s="1329">
        <f t="shared" si="26"/>
        <v>601983.44000000006</v>
      </c>
      <c r="BB34" s="947">
        <f t="shared" si="26"/>
        <v>1245016.8416400002</v>
      </c>
      <c r="BC34" s="1472">
        <f t="shared" si="18"/>
        <v>94.220708843226078</v>
      </c>
      <c r="BD34" s="1479">
        <f t="shared" si="19"/>
        <v>11.676874633937269</v>
      </c>
      <c r="BE34" s="1472">
        <f t="shared" si="20"/>
        <v>301451.79999999795</v>
      </c>
      <c r="BF34" s="1329">
        <f t="shared" si="26"/>
        <v>74062.460000000021</v>
      </c>
      <c r="BG34" s="1329"/>
      <c r="BH34" s="1329"/>
    </row>
    <row r="35" spans="1:60" x14ac:dyDescent="0.25">
      <c r="A35" s="15"/>
      <c r="B35" s="15"/>
      <c r="C35" s="507" t="s">
        <v>540</v>
      </c>
      <c r="D35" s="661"/>
      <c r="E35" s="661"/>
      <c r="F35" s="661"/>
      <c r="G35" s="661"/>
      <c r="H35" s="661"/>
      <c r="I35" s="661"/>
      <c r="J35" s="661"/>
      <c r="K35" s="661"/>
      <c r="L35" s="661"/>
      <c r="M35" s="661"/>
      <c r="N35" s="661"/>
      <c r="O35" s="864"/>
      <c r="P35" s="864"/>
      <c r="Q35" s="864"/>
      <c r="R35" s="864"/>
      <c r="S35" s="864"/>
      <c r="T35" s="864"/>
      <c r="U35" s="864"/>
      <c r="V35" s="864"/>
      <c r="W35" s="864" t="s">
        <v>180</v>
      </c>
      <c r="X35" s="864" t="s">
        <v>180</v>
      </c>
      <c r="Y35" s="879"/>
      <c r="Z35" s="880" t="s">
        <v>180</v>
      </c>
      <c r="AA35" s="881" t="s">
        <v>180</v>
      </c>
      <c r="AB35" s="882" t="s">
        <v>180</v>
      </c>
      <c r="AC35" s="661" t="s">
        <v>180</v>
      </c>
      <c r="AD35" s="661" t="s">
        <v>180</v>
      </c>
      <c r="AE35" s="661" t="s">
        <v>180</v>
      </c>
      <c r="AF35" s="661" t="s">
        <v>180</v>
      </c>
      <c r="AG35" s="661" t="s">
        <v>180</v>
      </c>
      <c r="AH35" s="661" t="s">
        <v>180</v>
      </c>
      <c r="AI35" s="736"/>
      <c r="AJ35" s="736"/>
      <c r="AK35" s="883"/>
      <c r="AL35" s="661" t="s">
        <v>180</v>
      </c>
      <c r="AM35" s="881" t="s">
        <v>180</v>
      </c>
      <c r="AN35" s="736" t="s">
        <v>180</v>
      </c>
      <c r="AO35" s="736"/>
      <c r="AP35" s="661"/>
      <c r="AQ35" s="661" t="s">
        <v>180</v>
      </c>
      <c r="AR35" s="661" t="s">
        <v>180</v>
      </c>
      <c r="AS35" s="391"/>
      <c r="AT35" s="391"/>
      <c r="AU35" s="15"/>
      <c r="AV35" s="15"/>
      <c r="AW35" s="15"/>
      <c r="AX35" s="15"/>
      <c r="AY35" s="15" t="s">
        <v>180</v>
      </c>
      <c r="AZ35" s="15" t="s">
        <v>180</v>
      </c>
      <c r="BA35" s="15" t="s">
        <v>180</v>
      </c>
      <c r="BB35" s="15"/>
      <c r="BC35" s="15"/>
      <c r="BD35" s="15"/>
      <c r="BE35" s="15"/>
      <c r="BF35" s="15"/>
      <c r="BG35" s="15"/>
      <c r="BH35" s="15"/>
    </row>
    <row r="36" spans="1:60" ht="15" customHeight="1" x14ac:dyDescent="0.25">
      <c r="A36" s="15"/>
      <c r="B36" s="15"/>
      <c r="C36" s="507" t="s">
        <v>539</v>
      </c>
      <c r="D36" s="661"/>
      <c r="E36" s="661"/>
      <c r="F36" s="661"/>
      <c r="G36" s="661"/>
      <c r="H36" s="881"/>
      <c r="I36" s="881"/>
      <c r="J36" s="881"/>
      <c r="K36" s="881"/>
      <c r="L36" s="881"/>
      <c r="M36" s="881"/>
      <c r="N36" s="881"/>
      <c r="O36" s="864"/>
      <c r="P36" s="864"/>
      <c r="Q36" s="864"/>
      <c r="R36" s="864"/>
      <c r="S36" s="864"/>
      <c r="T36" s="864"/>
      <c r="U36" s="864"/>
      <c r="V36" s="864"/>
      <c r="W36" s="864"/>
      <c r="X36" s="864"/>
      <c r="Y36" s="864"/>
      <c r="Z36" s="864">
        <f>Z34+AA34</f>
        <v>137263.12</v>
      </c>
      <c r="AA36" s="864"/>
      <c r="AB36" s="864"/>
      <c r="AC36" s="661"/>
      <c r="AD36" s="661"/>
      <c r="AE36" s="661"/>
      <c r="AF36" s="661"/>
      <c r="AG36" s="661"/>
      <c r="AH36" s="661"/>
      <c r="AI36" s="661"/>
      <c r="AJ36" s="647">
        <f>AJ34+AK34</f>
        <v>1040570.5946599999</v>
      </c>
      <c r="AK36" s="661"/>
      <c r="AL36" s="661"/>
      <c r="AM36" s="661"/>
      <c r="AN36" s="661"/>
      <c r="AO36" s="661"/>
      <c r="AP36" s="661"/>
      <c r="AQ36" s="661"/>
      <c r="AR36" s="661"/>
      <c r="AS36" s="391"/>
      <c r="AT36" s="1071">
        <f>AT34+AU34</f>
        <v>6648.42</v>
      </c>
      <c r="AU36" s="15"/>
      <c r="AV36" s="495">
        <f>AV34+AW34</f>
        <v>672130.57369999995</v>
      </c>
      <c r="AW36" s="15"/>
      <c r="AX36" s="15" t="s">
        <v>180</v>
      </c>
      <c r="AY36" s="15"/>
      <c r="AZ36" s="15"/>
      <c r="BA36" s="15"/>
      <c r="BB36" s="15"/>
      <c r="BC36" s="15"/>
      <c r="BD36" s="15"/>
      <c r="BE36" s="15"/>
      <c r="BF36" s="15"/>
      <c r="BG36" s="15"/>
      <c r="BH36" s="15"/>
    </row>
    <row r="37" spans="1:60" ht="18.75" customHeight="1" x14ac:dyDescent="0.3">
      <c r="C37" s="353" t="s">
        <v>422</v>
      </c>
      <c r="D37" s="1311"/>
      <c r="E37" s="1311"/>
      <c r="F37" s="1311"/>
      <c r="G37" s="1311"/>
      <c r="H37" s="1311"/>
      <c r="I37" s="1311"/>
      <c r="J37" s="1311"/>
      <c r="K37" s="1311"/>
      <c r="L37" s="1311"/>
      <c r="M37" s="1311"/>
      <c r="N37" s="1311"/>
      <c r="O37" s="1311"/>
      <c r="P37" s="1311"/>
      <c r="Q37" s="1311"/>
      <c r="R37" s="1311"/>
      <c r="S37" s="1357"/>
      <c r="T37" s="1357"/>
      <c r="U37" s="1471"/>
      <c r="V37" s="1471"/>
      <c r="W37" s="1311"/>
      <c r="X37" s="1311"/>
      <c r="Y37" s="1311"/>
      <c r="Z37" s="1311"/>
      <c r="AA37" s="1311"/>
      <c r="AB37" s="1311"/>
      <c r="AC37" s="1311"/>
      <c r="AD37" s="1457"/>
      <c r="AE37" s="1457"/>
      <c r="AF37" s="1311"/>
      <c r="AG37" s="1311"/>
      <c r="AH37" s="850"/>
      <c r="AI37" s="850"/>
      <c r="AJ37" s="1463" t="s">
        <v>180</v>
      </c>
      <c r="AK37" s="850"/>
      <c r="AL37" s="850"/>
      <c r="AM37" s="851"/>
      <c r="AN37" s="375"/>
      <c r="AO37" s="375"/>
      <c r="AP37" s="375"/>
      <c r="AQ37" s="375"/>
      <c r="AR37" s="375"/>
      <c r="AS37" s="250"/>
      <c r="AT37" s="250"/>
      <c r="AV37" t="s">
        <v>180</v>
      </c>
    </row>
    <row r="38" spans="1:60" ht="15.75" customHeight="1" x14ac:dyDescent="0.3">
      <c r="C38" s="371" t="s">
        <v>743</v>
      </c>
      <c r="D38" s="176"/>
      <c r="E38" s="176"/>
      <c r="F38" s="176"/>
      <c r="G38" s="176"/>
      <c r="H38" s="1460">
        <f>H34-H30</f>
        <v>37653.87999999999</v>
      </c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375"/>
      <c r="AP38" s="375"/>
      <c r="AQ38" s="375"/>
      <c r="AR38" s="375"/>
      <c r="AS38" s="250"/>
      <c r="AT38" s="250"/>
    </row>
    <row r="39" spans="1:60" ht="16.5" customHeight="1" x14ac:dyDescent="0.3">
      <c r="C39" s="1450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462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349"/>
      <c r="AP39" s="349"/>
      <c r="AQ39" s="349"/>
      <c r="AR39" s="349"/>
      <c r="AS39" s="250"/>
      <c r="AT39" s="250"/>
    </row>
    <row r="40" spans="1:60" ht="17.25" customHeight="1" x14ac:dyDescent="0.3">
      <c r="A40" s="2083" t="s">
        <v>0</v>
      </c>
      <c r="B40" s="2014"/>
      <c r="C40" s="1450" t="s">
        <v>738</v>
      </c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460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308"/>
      <c r="AP40" s="1309"/>
      <c r="AQ40" s="1310"/>
      <c r="AR40" s="349"/>
      <c r="AS40" s="250"/>
      <c r="AT40" s="250"/>
    </row>
    <row r="41" spans="1:60" ht="15.75" customHeight="1" x14ac:dyDescent="0.3">
      <c r="A41" s="2083"/>
      <c r="B41" s="2015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308"/>
      <c r="AP41" s="1309"/>
      <c r="AQ41" s="1310"/>
      <c r="AR41" s="349"/>
      <c r="AS41" s="250"/>
      <c r="AT41" s="250"/>
    </row>
    <row r="42" spans="1:60" ht="15" customHeight="1" x14ac:dyDescent="0.3">
      <c r="A42" s="32">
        <v>1</v>
      </c>
      <c r="B42" s="32"/>
      <c r="C42" s="1320" t="s">
        <v>155</v>
      </c>
      <c r="D42" s="1458">
        <v>1979</v>
      </c>
      <c r="E42" s="1144">
        <v>5</v>
      </c>
      <c r="F42" s="1454">
        <v>81</v>
      </c>
      <c r="G42" s="1459">
        <v>168</v>
      </c>
      <c r="H42" s="1454">
        <v>3928.89</v>
      </c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350"/>
      <c r="AP42" s="350"/>
      <c r="AQ42" s="350"/>
      <c r="AR42" s="349"/>
      <c r="AS42" s="250"/>
      <c r="AT42" s="250"/>
    </row>
    <row r="43" spans="1:60" ht="15" customHeight="1" x14ac:dyDescent="0.3">
      <c r="A43" s="32">
        <v>2</v>
      </c>
      <c r="B43" s="32"/>
      <c r="C43" s="1320" t="s">
        <v>165</v>
      </c>
      <c r="D43" s="1458">
        <v>1989</v>
      </c>
      <c r="E43" s="1144">
        <v>5</v>
      </c>
      <c r="F43" s="1454">
        <v>75</v>
      </c>
      <c r="G43" s="1459">
        <v>137</v>
      </c>
      <c r="H43" s="1454">
        <v>3454.59</v>
      </c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350"/>
      <c r="AP43" s="350"/>
      <c r="AQ43" s="350"/>
      <c r="AR43" s="349"/>
      <c r="AS43" s="250"/>
      <c r="AT43" s="250"/>
    </row>
    <row r="44" spans="1:60" ht="15" customHeight="1" x14ac:dyDescent="0.3">
      <c r="A44" s="32">
        <v>3</v>
      </c>
      <c r="B44" s="32"/>
      <c r="C44" s="1320" t="s">
        <v>166</v>
      </c>
      <c r="D44" s="1458">
        <v>1993</v>
      </c>
      <c r="E44" s="1144">
        <v>5</v>
      </c>
      <c r="F44" s="1454">
        <v>100</v>
      </c>
      <c r="G44" s="1459">
        <v>227</v>
      </c>
      <c r="H44" s="1454">
        <v>6046.32</v>
      </c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350"/>
      <c r="AP44" s="350"/>
      <c r="AQ44" s="350"/>
      <c r="AR44" s="349"/>
      <c r="AS44" s="250"/>
      <c r="AT44" s="250"/>
    </row>
    <row r="45" spans="1:60" ht="15" customHeight="1" x14ac:dyDescent="0.3">
      <c r="A45" s="32">
        <v>4</v>
      </c>
      <c r="B45" s="32"/>
      <c r="C45" s="1320" t="s">
        <v>167</v>
      </c>
      <c r="D45" s="1458">
        <v>1989</v>
      </c>
      <c r="E45" s="1144">
        <v>5</v>
      </c>
      <c r="F45" s="1454">
        <v>76</v>
      </c>
      <c r="G45" s="1459">
        <v>141</v>
      </c>
      <c r="H45" s="1454">
        <v>3481.7</v>
      </c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350"/>
      <c r="AP45" s="350"/>
      <c r="AQ45" s="350"/>
      <c r="AR45" s="349"/>
      <c r="AS45" s="250"/>
      <c r="AT45" s="250"/>
    </row>
    <row r="46" spans="1:60" ht="15" customHeight="1" x14ac:dyDescent="0.3">
      <c r="A46" s="32">
        <v>5</v>
      </c>
      <c r="B46" s="32"/>
      <c r="C46" s="176"/>
      <c r="D46" s="176"/>
      <c r="E46" s="176"/>
      <c r="F46" s="176"/>
      <c r="G46" s="176"/>
      <c r="H46" s="1460">
        <f>SUM(H42:H45)</f>
        <v>16911.5</v>
      </c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350"/>
      <c r="AP46" s="350"/>
      <c r="AQ46" s="350"/>
      <c r="AR46" s="349"/>
      <c r="AS46" s="250"/>
      <c r="AT46" s="250"/>
    </row>
    <row r="47" spans="1:60" ht="15" customHeight="1" x14ac:dyDescent="0.3">
      <c r="A47" s="32">
        <v>6</v>
      </c>
      <c r="B47" s="32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350"/>
      <c r="AP47" s="350"/>
      <c r="AQ47" s="350"/>
      <c r="AR47" s="349"/>
      <c r="AS47" s="250"/>
      <c r="AT47" s="250"/>
    </row>
    <row r="48" spans="1:60" ht="15" customHeight="1" x14ac:dyDescent="0.25">
      <c r="A48" s="32">
        <v>7</v>
      </c>
      <c r="B48" s="32"/>
      <c r="C48" s="2083" t="s">
        <v>184</v>
      </c>
      <c r="D48" s="2083" t="s">
        <v>54</v>
      </c>
      <c r="E48" s="2014" t="s">
        <v>55</v>
      </c>
      <c r="F48" s="2083" t="s">
        <v>56</v>
      </c>
      <c r="G48" s="2083" t="s">
        <v>57</v>
      </c>
      <c r="H48" s="2014" t="s">
        <v>6</v>
      </c>
      <c r="I48" s="2109" t="s">
        <v>661</v>
      </c>
      <c r="J48" s="2109"/>
      <c r="K48" s="1991" t="s">
        <v>656</v>
      </c>
      <c r="L48" s="1992"/>
      <c r="M48" s="1991" t="s">
        <v>657</v>
      </c>
      <c r="N48" s="1992"/>
      <c r="O48" s="1989" t="s">
        <v>658</v>
      </c>
      <c r="P48" s="1990"/>
      <c r="Q48" s="2017" t="s">
        <v>310</v>
      </c>
      <c r="R48" s="2017"/>
      <c r="S48" s="1991" t="s">
        <v>593</v>
      </c>
      <c r="T48" s="1992"/>
      <c r="U48" s="1991" t="s">
        <v>284</v>
      </c>
      <c r="V48" s="1992"/>
      <c r="W48" s="2017" t="s">
        <v>726</v>
      </c>
      <c r="X48" s="2017"/>
      <c r="Y48" s="2022" t="s">
        <v>747</v>
      </c>
      <c r="Z48" s="2009" t="s">
        <v>332</v>
      </c>
      <c r="AA48" s="1987" t="s">
        <v>377</v>
      </c>
      <c r="AB48" s="2003" t="s">
        <v>337</v>
      </c>
      <c r="AC48" s="2003" t="s">
        <v>695</v>
      </c>
      <c r="AD48" s="2003" t="s">
        <v>568</v>
      </c>
      <c r="AE48" s="2003" t="s">
        <v>570</v>
      </c>
      <c r="AF48" s="2003" t="s">
        <v>10</v>
      </c>
      <c r="AG48" s="2107" t="s">
        <v>503</v>
      </c>
      <c r="AH48" s="2009" t="s">
        <v>316</v>
      </c>
      <c r="AI48" s="2009" t="s">
        <v>369</v>
      </c>
      <c r="AJ48" s="2003" t="s">
        <v>321</v>
      </c>
      <c r="AK48" s="2005" t="s">
        <v>554</v>
      </c>
      <c r="AL48" s="2022" t="s">
        <v>688</v>
      </c>
      <c r="AM48" s="1987" t="s">
        <v>689</v>
      </c>
      <c r="AN48" s="2003" t="s">
        <v>606</v>
      </c>
      <c r="AO48" s="2003" t="s">
        <v>375</v>
      </c>
      <c r="AP48" s="2003" t="s">
        <v>372</v>
      </c>
      <c r="AQ48" s="1987" t="s">
        <v>314</v>
      </c>
      <c r="AR48" s="1987" t="s">
        <v>616</v>
      </c>
      <c r="AS48" s="2024" t="s">
        <v>691</v>
      </c>
      <c r="AT48" s="2009" t="s">
        <v>727</v>
      </c>
      <c r="AU48" s="2009" t="s">
        <v>690</v>
      </c>
      <c r="AV48" s="1987" t="s">
        <v>313</v>
      </c>
      <c r="AW48" s="1987" t="s">
        <v>554</v>
      </c>
      <c r="AX48" s="2022" t="s">
        <v>692</v>
      </c>
      <c r="AY48" s="1987" t="s">
        <v>693</v>
      </c>
      <c r="AZ48" s="1987" t="s">
        <v>656</v>
      </c>
      <c r="BA48" s="1987" t="s">
        <v>694</v>
      </c>
      <c r="BB48" s="1987" t="s">
        <v>735</v>
      </c>
      <c r="BC48" s="2005" t="s">
        <v>724</v>
      </c>
      <c r="BD48" s="2001" t="s">
        <v>182</v>
      </c>
      <c r="BE48" s="2001" t="s">
        <v>736</v>
      </c>
    </row>
    <row r="49" spans="1:57" ht="15" customHeight="1" x14ac:dyDescent="0.25">
      <c r="A49" s="32">
        <v>8</v>
      </c>
      <c r="B49" s="32"/>
      <c r="C49" s="2083"/>
      <c r="D49" s="2083"/>
      <c r="E49" s="2015"/>
      <c r="F49" s="2083"/>
      <c r="G49" s="2083"/>
      <c r="H49" s="2015"/>
      <c r="I49" s="150" t="s">
        <v>15</v>
      </c>
      <c r="J49" s="1618" t="s">
        <v>16</v>
      </c>
      <c r="K49" s="150" t="s">
        <v>15</v>
      </c>
      <c r="L49" s="1618" t="s">
        <v>16</v>
      </c>
      <c r="M49" s="150" t="s">
        <v>15</v>
      </c>
      <c r="N49" s="1618" t="s">
        <v>16</v>
      </c>
      <c r="O49" s="150" t="s">
        <v>15</v>
      </c>
      <c r="P49" s="1618" t="s">
        <v>16</v>
      </c>
      <c r="Q49" s="150" t="s">
        <v>15</v>
      </c>
      <c r="R49" s="1618" t="s">
        <v>16</v>
      </c>
      <c r="S49" s="150" t="s">
        <v>15</v>
      </c>
      <c r="T49" s="1618" t="s">
        <v>16</v>
      </c>
      <c r="U49" s="150" t="s">
        <v>15</v>
      </c>
      <c r="V49" s="1618" t="s">
        <v>16</v>
      </c>
      <c r="W49" s="1473" t="s">
        <v>15</v>
      </c>
      <c r="X49" s="1621" t="s">
        <v>16</v>
      </c>
      <c r="Y49" s="2023"/>
      <c r="Z49" s="2009"/>
      <c r="AA49" s="1988"/>
      <c r="AB49" s="2004"/>
      <c r="AC49" s="2004"/>
      <c r="AD49" s="2004"/>
      <c r="AE49" s="2002"/>
      <c r="AF49" s="2004"/>
      <c r="AG49" s="2107"/>
      <c r="AH49" s="2009"/>
      <c r="AI49" s="2108"/>
      <c r="AJ49" s="2004"/>
      <c r="AK49" s="2002"/>
      <c r="AL49" s="2023"/>
      <c r="AM49" s="1988"/>
      <c r="AN49" s="2004"/>
      <c r="AO49" s="2004"/>
      <c r="AP49" s="2004"/>
      <c r="AQ49" s="1988"/>
      <c r="AR49" s="1988"/>
      <c r="AS49" s="2025"/>
      <c r="AT49" s="2009"/>
      <c r="AU49" s="2009"/>
      <c r="AV49" s="1988"/>
      <c r="AW49" s="1988"/>
      <c r="AX49" s="2023"/>
      <c r="AY49" s="1988"/>
      <c r="AZ49" s="1988"/>
      <c r="BA49" s="1988"/>
      <c r="BB49" s="1988"/>
      <c r="BC49" s="2006"/>
      <c r="BD49" s="2002"/>
      <c r="BE49" s="2002"/>
    </row>
    <row r="50" spans="1:57" ht="15" customHeight="1" x14ac:dyDescent="0.3">
      <c r="A50" s="32">
        <v>9</v>
      </c>
      <c r="B50" s="32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350"/>
      <c r="AP50" s="350"/>
      <c r="AQ50" s="350"/>
      <c r="AR50" s="349"/>
      <c r="AS50" s="250"/>
      <c r="AT50" s="250"/>
    </row>
    <row r="51" spans="1:57" ht="15" customHeight="1" x14ac:dyDescent="0.3">
      <c r="A51" s="32">
        <v>10</v>
      </c>
      <c r="B51" s="32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350"/>
      <c r="AP51" s="350"/>
      <c r="AQ51" s="350"/>
      <c r="AR51" s="349"/>
      <c r="AS51" s="250"/>
      <c r="AT51" s="250"/>
    </row>
    <row r="52" spans="1:57" ht="15" customHeight="1" x14ac:dyDescent="0.3">
      <c r="A52" s="32">
        <v>11</v>
      </c>
      <c r="B52" s="32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350"/>
      <c r="AP52" s="350"/>
      <c r="AQ52" s="350"/>
      <c r="AR52" s="349"/>
      <c r="AS52" s="250"/>
      <c r="AT52" s="250"/>
    </row>
    <row r="53" spans="1:57" ht="15" customHeight="1" x14ac:dyDescent="0.3">
      <c r="A53" s="32">
        <v>12</v>
      </c>
      <c r="B53" s="32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350"/>
      <c r="AP53" s="350"/>
      <c r="AQ53" s="350"/>
      <c r="AR53" s="349"/>
      <c r="AS53" s="250"/>
      <c r="AT53" s="250"/>
    </row>
    <row r="54" spans="1:57" ht="15" customHeight="1" x14ac:dyDescent="0.3">
      <c r="A54" s="32">
        <v>13</v>
      </c>
      <c r="B54" s="32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  <c r="AN54" s="176"/>
      <c r="AO54" s="350"/>
      <c r="AP54" s="350"/>
      <c r="AQ54" s="350"/>
      <c r="AR54" s="349"/>
      <c r="AS54" s="250"/>
      <c r="AT54" s="250"/>
    </row>
    <row r="55" spans="1:57" ht="15" customHeight="1" x14ac:dyDescent="0.3">
      <c r="A55" s="32">
        <v>14</v>
      </c>
      <c r="B55" s="32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  <c r="AN55" s="176"/>
      <c r="AO55" s="350"/>
      <c r="AP55" s="350"/>
      <c r="AQ55" s="350"/>
      <c r="AR55" s="349"/>
      <c r="AS55" s="250"/>
      <c r="AT55" s="250"/>
    </row>
    <row r="56" spans="1:57" ht="15" customHeight="1" x14ac:dyDescent="0.3">
      <c r="A56" s="32">
        <v>15</v>
      </c>
      <c r="B56" s="32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  <c r="AO56" s="350"/>
      <c r="AP56" s="350"/>
      <c r="AQ56" s="350"/>
      <c r="AR56" s="349"/>
      <c r="AS56" s="250"/>
      <c r="AT56" s="250"/>
    </row>
    <row r="57" spans="1:57" ht="15" customHeight="1" x14ac:dyDescent="0.3">
      <c r="A57" s="32">
        <v>16</v>
      </c>
      <c r="B57" s="583">
        <v>42569</v>
      </c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350"/>
      <c r="AP57" s="350"/>
      <c r="AQ57" s="350"/>
      <c r="AR57" s="349"/>
      <c r="AS57" s="250"/>
      <c r="AT57" s="250"/>
    </row>
    <row r="58" spans="1:57" ht="15" customHeight="1" x14ac:dyDescent="0.3">
      <c r="A58" s="32">
        <v>17</v>
      </c>
      <c r="B58" s="32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350"/>
      <c r="AP58" s="350"/>
      <c r="AQ58" s="350"/>
      <c r="AR58" s="349"/>
      <c r="AS58" s="250"/>
      <c r="AT58" s="250"/>
    </row>
    <row r="59" spans="1:57" ht="15" customHeight="1" x14ac:dyDescent="0.3">
      <c r="A59" s="32">
        <v>18</v>
      </c>
      <c r="B59" s="583">
        <v>42569</v>
      </c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350"/>
      <c r="AP59" s="350"/>
      <c r="AQ59" s="350"/>
      <c r="AR59" s="349"/>
      <c r="AS59" s="250"/>
      <c r="AT59" s="250"/>
    </row>
    <row r="60" spans="1:57" ht="15" customHeight="1" x14ac:dyDescent="0.3">
      <c r="A60" s="32">
        <v>19</v>
      </c>
      <c r="B60" s="32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350"/>
      <c r="AP60" s="350"/>
      <c r="AQ60" s="350"/>
      <c r="AR60" s="349"/>
      <c r="AS60" s="250"/>
      <c r="AT60" s="250"/>
    </row>
    <row r="61" spans="1:57" ht="15" customHeight="1" x14ac:dyDescent="0.3">
      <c r="A61" s="32">
        <v>20</v>
      </c>
      <c r="B61" s="32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350"/>
      <c r="AP61" s="350"/>
      <c r="AQ61" s="350"/>
      <c r="AR61" s="349"/>
      <c r="AS61" s="250"/>
      <c r="AT61" s="250"/>
    </row>
    <row r="62" spans="1:57" ht="15" customHeight="1" x14ac:dyDescent="0.3">
      <c r="A62" s="32">
        <v>21</v>
      </c>
      <c r="B62" s="32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350"/>
      <c r="AP62" s="350"/>
      <c r="AQ62" s="350"/>
      <c r="AR62" s="349"/>
    </row>
    <row r="63" spans="1:57" ht="15" customHeight="1" x14ac:dyDescent="0.3">
      <c r="A63" s="32">
        <v>22</v>
      </c>
      <c r="B63" s="32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350"/>
      <c r="AP63" s="350"/>
      <c r="AQ63" s="350"/>
      <c r="AR63" s="349"/>
    </row>
    <row r="64" spans="1:57" ht="15" customHeight="1" x14ac:dyDescent="0.3">
      <c r="A64" s="38"/>
      <c r="B64" s="38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898"/>
      <c r="AP64" s="898"/>
      <c r="AQ64" s="898"/>
      <c r="AR64" s="349"/>
    </row>
    <row r="65" spans="1:44" ht="15" customHeight="1" x14ac:dyDescent="0.3">
      <c r="A65" s="15"/>
      <c r="B65" s="15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350"/>
      <c r="AP65" s="350"/>
      <c r="AQ65" s="349"/>
      <c r="AR65" s="349"/>
    </row>
    <row r="66" spans="1:44" ht="18.75" customHeight="1" x14ac:dyDescent="0.3"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349"/>
      <c r="AP66" s="349"/>
      <c r="AQ66" s="349"/>
      <c r="AR66" s="349"/>
    </row>
    <row r="67" spans="1:44" x14ac:dyDescent="0.25">
      <c r="C67" s="565" t="s">
        <v>289</v>
      </c>
      <c r="D67" s="375"/>
      <c r="E67" s="375"/>
      <c r="F67" s="375"/>
      <c r="G67" s="375"/>
      <c r="H67" s="375"/>
      <c r="I67" s="375"/>
      <c r="J67" s="375"/>
      <c r="K67" s="37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375"/>
      <c r="AD67" s="375"/>
      <c r="AE67" s="375"/>
      <c r="AF67" s="375"/>
      <c r="AG67" s="375"/>
      <c r="AH67" s="375"/>
      <c r="AI67" s="375"/>
      <c r="AJ67" s="349"/>
      <c r="AK67" s="349"/>
      <c r="AL67" s="349"/>
      <c r="AM67" s="349"/>
      <c r="AN67" s="349"/>
      <c r="AO67" s="349"/>
      <c r="AP67" s="349"/>
      <c r="AQ67" s="349"/>
      <c r="AR67" s="349"/>
    </row>
    <row r="68" spans="1:44" x14ac:dyDescent="0.25">
      <c r="C68" s="147"/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  <c r="AG68" s="375"/>
      <c r="AH68" s="375"/>
      <c r="AI68" s="375"/>
      <c r="AJ68" s="375"/>
      <c r="AK68" s="375"/>
      <c r="AL68" s="375"/>
      <c r="AM68" s="375"/>
      <c r="AN68" s="375"/>
      <c r="AO68" s="375"/>
      <c r="AP68" s="375"/>
      <c r="AQ68" s="375"/>
      <c r="AR68" s="375"/>
    </row>
    <row r="69" spans="1:44" ht="15.75" x14ac:dyDescent="0.25">
      <c r="D69" s="378"/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78"/>
      <c r="P69" s="378"/>
      <c r="Q69" s="378"/>
      <c r="R69" s="378"/>
      <c r="S69" s="378"/>
      <c r="T69" s="378"/>
      <c r="U69" s="378"/>
      <c r="V69" s="378"/>
      <c r="W69" s="378"/>
      <c r="X69" s="378"/>
      <c r="Y69" s="378"/>
      <c r="Z69" s="378"/>
      <c r="AA69" s="378"/>
      <c r="AB69" s="378"/>
      <c r="AC69" s="378"/>
      <c r="AD69" s="378"/>
      <c r="AE69" s="378"/>
      <c r="AF69" s="378"/>
      <c r="AG69" s="378"/>
      <c r="AH69" s="850"/>
      <c r="AI69" s="850"/>
      <c r="AJ69" s="850"/>
      <c r="AK69" s="850"/>
      <c r="AL69" s="850"/>
      <c r="AM69" s="851"/>
      <c r="AN69" s="375"/>
      <c r="AO69" s="375"/>
      <c r="AP69" s="375"/>
      <c r="AQ69" s="375"/>
      <c r="AR69" s="375"/>
    </row>
    <row r="70" spans="1:44" ht="15.75" x14ac:dyDescent="0.25">
      <c r="D70" s="378"/>
      <c r="E70" s="378"/>
      <c r="F70" s="378"/>
      <c r="G70" s="378"/>
      <c r="H70" s="378"/>
      <c r="I70" s="378"/>
      <c r="J70" s="378"/>
      <c r="K70" s="378"/>
      <c r="L70" s="378"/>
      <c r="M70" s="378"/>
      <c r="N70" s="378"/>
      <c r="O70" s="378"/>
      <c r="P70" s="378"/>
      <c r="Q70" s="378"/>
      <c r="R70" s="378"/>
      <c r="S70" s="378"/>
      <c r="T70" s="378"/>
      <c r="U70" s="378"/>
      <c r="V70" s="378"/>
      <c r="W70" s="378"/>
      <c r="X70" s="378"/>
      <c r="Y70" s="378"/>
      <c r="Z70" s="378"/>
      <c r="AA70" s="378"/>
      <c r="AB70" s="378"/>
      <c r="AC70" s="378"/>
      <c r="AD70" s="378"/>
      <c r="AE70" s="378"/>
      <c r="AF70" s="378"/>
      <c r="AG70" s="378"/>
      <c r="AH70" s="852"/>
      <c r="AI70" s="852"/>
      <c r="AJ70" s="852"/>
      <c r="AK70" s="852"/>
      <c r="AL70" s="852"/>
      <c r="AM70" s="851"/>
      <c r="AN70" s="375"/>
      <c r="AO70" s="375"/>
      <c r="AP70" s="375"/>
      <c r="AQ70" s="375"/>
      <c r="AR70" s="375"/>
    </row>
    <row r="71" spans="1:44" x14ac:dyDescent="0.25">
      <c r="D71" s="375"/>
      <c r="E71" s="375"/>
      <c r="F71" s="375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  <c r="AE71" s="375"/>
      <c r="AF71" s="375"/>
      <c r="AG71" s="375"/>
      <c r="AH71" s="375"/>
      <c r="AI71" s="375"/>
      <c r="AJ71" s="375"/>
      <c r="AK71" s="375"/>
      <c r="AL71" s="375"/>
      <c r="AM71" s="851"/>
      <c r="AN71" s="375"/>
      <c r="AO71" s="375"/>
      <c r="AP71" s="375"/>
      <c r="AQ71" s="375"/>
      <c r="AR71" s="375"/>
    </row>
    <row r="72" spans="1:44" ht="27" customHeight="1" x14ac:dyDescent="0.25">
      <c r="A72" s="2083" t="s">
        <v>0</v>
      </c>
      <c r="B72" s="2014"/>
      <c r="C72" s="2083" t="s">
        <v>184</v>
      </c>
      <c r="D72" s="1561"/>
      <c r="E72" s="1561"/>
      <c r="F72" s="1561"/>
      <c r="G72" s="1561"/>
      <c r="H72" s="1561"/>
      <c r="I72" s="1565"/>
      <c r="J72" s="1565"/>
      <c r="K72" s="1565"/>
      <c r="L72" s="1565"/>
      <c r="M72" s="1565"/>
      <c r="N72" s="1565"/>
      <c r="O72" s="1565"/>
      <c r="P72" s="1565"/>
      <c r="Q72" s="1565"/>
      <c r="R72" s="1565"/>
      <c r="S72" s="1565"/>
      <c r="T72" s="1565"/>
      <c r="U72" s="1565"/>
      <c r="V72" s="1565"/>
      <c r="W72" s="1565"/>
      <c r="X72" s="1565"/>
      <c r="Y72" s="1565"/>
      <c r="Z72" s="1565"/>
      <c r="AA72" s="1565"/>
      <c r="AB72" s="1565"/>
      <c r="AC72" s="1565"/>
      <c r="AD72" s="1565"/>
      <c r="AE72" s="1565"/>
      <c r="AF72" s="1565"/>
      <c r="AG72" s="1565"/>
      <c r="AH72" s="1565"/>
      <c r="AI72" s="1565"/>
      <c r="AJ72" s="1565"/>
      <c r="AK72" s="1565"/>
      <c r="AL72" s="1565"/>
      <c r="AM72" s="1565"/>
      <c r="AN72" s="1565"/>
      <c r="AO72" s="1565"/>
      <c r="AP72" s="1565"/>
      <c r="AQ72" s="1565"/>
      <c r="AR72" s="1565"/>
    </row>
    <row r="73" spans="1:44" ht="37.5" customHeight="1" x14ac:dyDescent="0.25">
      <c r="A73" s="2083"/>
      <c r="B73" s="2015"/>
      <c r="C73" s="2083"/>
      <c r="D73" s="1563"/>
      <c r="E73" s="1563"/>
      <c r="F73" s="1563"/>
      <c r="G73" s="1563"/>
      <c r="H73" s="1563"/>
      <c r="I73" s="1565"/>
      <c r="J73" s="1565"/>
      <c r="K73" s="1565"/>
      <c r="L73" s="1565"/>
      <c r="M73" s="1565"/>
      <c r="N73" s="1565"/>
      <c r="O73" s="1565"/>
      <c r="P73" s="1565"/>
      <c r="Q73" s="1565"/>
      <c r="R73" s="1565"/>
      <c r="S73" s="1565"/>
      <c r="T73" s="1565"/>
      <c r="U73" s="1565"/>
      <c r="V73" s="1565"/>
      <c r="W73" s="1565"/>
      <c r="X73" s="1565"/>
      <c r="Y73" s="1565"/>
      <c r="Z73" s="1565"/>
      <c r="AA73" s="1565"/>
      <c r="AB73" s="1565"/>
      <c r="AC73" s="1565"/>
      <c r="AD73" s="1565"/>
      <c r="AE73" s="1565"/>
      <c r="AF73" s="1565"/>
      <c r="AG73" s="1565"/>
      <c r="AH73" s="1565"/>
      <c r="AI73" s="1565"/>
      <c r="AJ73" s="1565"/>
      <c r="AK73" s="1565"/>
      <c r="AL73" s="1565"/>
      <c r="AM73" s="1565"/>
      <c r="AN73" s="1565"/>
      <c r="AO73" s="1565"/>
      <c r="AP73" s="1565"/>
      <c r="AQ73" s="1565"/>
      <c r="AR73" s="1565"/>
    </row>
    <row r="74" spans="1:44" x14ac:dyDescent="0.25">
      <c r="A74" s="32">
        <v>1</v>
      </c>
      <c r="B74" s="32"/>
      <c r="C74" s="42" t="s">
        <v>150</v>
      </c>
      <c r="D74" s="675"/>
      <c r="E74" s="681"/>
      <c r="F74" s="676"/>
      <c r="G74" s="905"/>
      <c r="H74" s="676"/>
      <c r="I74" s="1565"/>
      <c r="J74" s="1565"/>
      <c r="K74" s="1565"/>
      <c r="L74" s="1565"/>
      <c r="M74" s="1565"/>
      <c r="N74" s="1565"/>
      <c r="O74" s="1565"/>
      <c r="P74" s="1565"/>
      <c r="Q74" s="1565"/>
      <c r="R74" s="1565"/>
      <c r="S74" s="1565"/>
      <c r="T74" s="1565"/>
      <c r="U74" s="1565"/>
      <c r="V74" s="1565"/>
      <c r="W74" s="1565"/>
      <c r="X74" s="1565"/>
      <c r="Y74" s="1565"/>
      <c r="Z74" s="1565"/>
      <c r="AA74" s="1565"/>
      <c r="AB74" s="1565"/>
      <c r="AC74" s="1565"/>
      <c r="AD74" s="1565"/>
      <c r="AE74" s="1565"/>
      <c r="AF74" s="1565"/>
      <c r="AG74" s="1565"/>
      <c r="AH74" s="1565"/>
      <c r="AI74" s="1565"/>
      <c r="AJ74" s="1565"/>
      <c r="AK74" s="1565"/>
      <c r="AL74" s="1565"/>
      <c r="AM74" s="1565"/>
      <c r="AN74" s="1565"/>
      <c r="AO74" s="1565"/>
      <c r="AP74" s="1565"/>
      <c r="AQ74" s="1565"/>
      <c r="AR74" s="1565"/>
    </row>
    <row r="75" spans="1:44" x14ac:dyDescent="0.25">
      <c r="A75" s="32">
        <v>2</v>
      </c>
      <c r="B75" s="32"/>
      <c r="C75" s="42" t="s">
        <v>151</v>
      </c>
      <c r="D75" s="675"/>
      <c r="E75" s="681"/>
      <c r="F75" s="676"/>
      <c r="G75" s="905"/>
      <c r="H75" s="676"/>
      <c r="I75" s="1565"/>
      <c r="J75" s="1565"/>
      <c r="K75" s="1565"/>
      <c r="L75" s="1565"/>
      <c r="M75" s="1565"/>
      <c r="N75" s="1565"/>
      <c r="O75" s="1565"/>
      <c r="P75" s="1565"/>
      <c r="Q75" s="1565"/>
      <c r="R75" s="1565"/>
      <c r="S75" s="1565"/>
      <c r="T75" s="1565"/>
      <c r="U75" s="1565"/>
      <c r="V75" s="1565"/>
      <c r="W75" s="1565"/>
      <c r="X75" s="1565"/>
      <c r="Y75" s="1565"/>
      <c r="Z75" s="1565"/>
      <c r="AA75" s="1565"/>
      <c r="AB75" s="1565"/>
      <c r="AC75" s="1565"/>
      <c r="AD75" s="1565"/>
      <c r="AE75" s="1565"/>
      <c r="AF75" s="1565"/>
      <c r="AG75" s="1565"/>
      <c r="AH75" s="1565"/>
      <c r="AI75" s="1565"/>
      <c r="AJ75" s="1565"/>
      <c r="AK75" s="1565"/>
      <c r="AL75" s="1565"/>
      <c r="AM75" s="1565"/>
      <c r="AN75" s="1565"/>
      <c r="AO75" s="1565"/>
      <c r="AP75" s="1565"/>
      <c r="AQ75" s="1565"/>
      <c r="AR75" s="1565"/>
    </row>
    <row r="76" spans="1:44" x14ac:dyDescent="0.25">
      <c r="A76" s="32">
        <v>3</v>
      </c>
      <c r="B76" s="32"/>
      <c r="C76" s="42" t="s">
        <v>155</v>
      </c>
      <c r="D76" s="675">
        <v>1979</v>
      </c>
      <c r="E76" s="681">
        <v>5</v>
      </c>
      <c r="F76" s="676">
        <v>81</v>
      </c>
      <c r="G76" s="905">
        <v>168</v>
      </c>
      <c r="H76" s="907">
        <v>3928.89</v>
      </c>
      <c r="I76" s="1565"/>
      <c r="J76" s="1565"/>
      <c r="K76" s="1565"/>
      <c r="L76" s="1565"/>
      <c r="M76" s="1565"/>
      <c r="N76" s="1565"/>
      <c r="O76" s="1565"/>
      <c r="P76" s="1565"/>
      <c r="Q76" s="1565"/>
      <c r="R76" s="1565"/>
      <c r="S76" s="1565"/>
      <c r="T76" s="1565"/>
      <c r="U76" s="1565"/>
      <c r="V76" s="1565"/>
      <c r="W76" s="1565"/>
      <c r="X76" s="1565"/>
      <c r="Y76" s="1565"/>
      <c r="Z76" s="1565"/>
      <c r="AA76" s="1565"/>
      <c r="AB76" s="1565"/>
      <c r="AC76" s="1565"/>
      <c r="AD76" s="1565"/>
      <c r="AE76" s="1565"/>
      <c r="AF76" s="1565"/>
      <c r="AG76" s="1565"/>
      <c r="AH76" s="1565"/>
      <c r="AI76" s="1565"/>
      <c r="AJ76" s="1565"/>
      <c r="AK76" s="1565"/>
      <c r="AL76" s="1565"/>
      <c r="AM76" s="1565"/>
      <c r="AN76" s="1565"/>
      <c r="AO76" s="1565"/>
      <c r="AP76" s="1565"/>
      <c r="AQ76" s="1565"/>
      <c r="AR76" s="1565"/>
    </row>
    <row r="77" spans="1:44" x14ac:dyDescent="0.25">
      <c r="A77" s="32">
        <v>4</v>
      </c>
      <c r="B77" s="32"/>
      <c r="C77" s="42" t="s">
        <v>162</v>
      </c>
      <c r="D77" s="675">
        <v>1985</v>
      </c>
      <c r="E77" s="681">
        <v>5</v>
      </c>
      <c r="F77" s="676">
        <v>76</v>
      </c>
      <c r="G77" s="905">
        <v>158</v>
      </c>
      <c r="H77" s="676">
        <v>4043.22</v>
      </c>
      <c r="I77" s="1565"/>
      <c r="J77" s="1565"/>
      <c r="K77" s="1565"/>
      <c r="L77" s="1565"/>
      <c r="M77" s="1565"/>
      <c r="N77" s="1565"/>
      <c r="O77" s="1565"/>
      <c r="P77" s="1565"/>
      <c r="Q77" s="1565"/>
      <c r="R77" s="1565"/>
      <c r="S77" s="1565"/>
      <c r="T77" s="1565"/>
      <c r="U77" s="1565"/>
      <c r="V77" s="1565"/>
      <c r="W77" s="1565"/>
      <c r="X77" s="1565"/>
      <c r="Y77" s="1565"/>
      <c r="Z77" s="1565"/>
      <c r="AA77" s="1565"/>
      <c r="AB77" s="1565"/>
      <c r="AC77" s="1565"/>
      <c r="AD77" s="1565"/>
      <c r="AE77" s="1565"/>
      <c r="AF77" s="1565"/>
      <c r="AG77" s="1565"/>
      <c r="AH77" s="1565"/>
      <c r="AI77" s="1565"/>
      <c r="AJ77" s="1565"/>
      <c r="AK77" s="1565"/>
      <c r="AL77" s="1565"/>
      <c r="AM77" s="1565"/>
      <c r="AN77" s="1565"/>
      <c r="AO77" s="1565"/>
      <c r="AP77" s="1565"/>
      <c r="AQ77" s="1565"/>
      <c r="AR77" s="1565"/>
    </row>
    <row r="78" spans="1:44" x14ac:dyDescent="0.25">
      <c r="A78" s="32">
        <v>6</v>
      </c>
      <c r="B78" s="32"/>
      <c r="C78" s="42" t="s">
        <v>164</v>
      </c>
      <c r="D78" s="675">
        <v>1989</v>
      </c>
      <c r="E78" s="681">
        <v>5</v>
      </c>
      <c r="F78" s="676">
        <v>75</v>
      </c>
      <c r="G78" s="905">
        <v>146</v>
      </c>
      <c r="H78" s="676">
        <v>3492.24</v>
      </c>
      <c r="I78" s="1565"/>
      <c r="J78" s="1565"/>
      <c r="K78" s="1565"/>
      <c r="L78" s="1565"/>
      <c r="M78" s="1565"/>
      <c r="N78" s="1565"/>
      <c r="O78" s="1565"/>
      <c r="P78" s="1565"/>
      <c r="Q78" s="1565"/>
      <c r="R78" s="1565"/>
      <c r="S78" s="1565"/>
      <c r="T78" s="1565"/>
      <c r="U78" s="1565"/>
      <c r="V78" s="1565"/>
      <c r="W78" s="1565"/>
      <c r="X78" s="1565"/>
      <c r="Y78" s="1565"/>
      <c r="Z78" s="1565"/>
      <c r="AA78" s="1565"/>
      <c r="AB78" s="1565"/>
      <c r="AC78" s="1565"/>
      <c r="AD78" s="1565"/>
      <c r="AE78" s="1565"/>
      <c r="AF78" s="1565"/>
      <c r="AG78" s="1565"/>
      <c r="AH78" s="1565"/>
      <c r="AI78" s="1565"/>
      <c r="AJ78" s="1565"/>
      <c r="AK78" s="1565"/>
      <c r="AL78" s="1565"/>
      <c r="AM78" s="1565"/>
      <c r="AN78" s="1565"/>
      <c r="AO78" s="1565"/>
      <c r="AP78" s="1565"/>
      <c r="AQ78" s="1565"/>
      <c r="AR78" s="1565"/>
    </row>
    <row r="79" spans="1:44" x14ac:dyDescent="0.25">
      <c r="A79" s="32">
        <v>7</v>
      </c>
      <c r="B79" s="32"/>
      <c r="C79" s="42" t="s">
        <v>165</v>
      </c>
      <c r="D79" s="675">
        <v>1989</v>
      </c>
      <c r="E79" s="681">
        <v>5</v>
      </c>
      <c r="F79" s="676">
        <v>75</v>
      </c>
      <c r="G79" s="905">
        <v>137</v>
      </c>
      <c r="H79" s="676">
        <v>3454.59</v>
      </c>
      <c r="I79" s="1565"/>
      <c r="J79" s="1565"/>
      <c r="K79" s="1565"/>
      <c r="L79" s="1565"/>
      <c r="M79" s="1565"/>
      <c r="N79" s="1565"/>
      <c r="O79" s="1565"/>
      <c r="P79" s="1565"/>
      <c r="Q79" s="1565"/>
      <c r="R79" s="1565"/>
      <c r="S79" s="1565"/>
      <c r="T79" s="1565"/>
      <c r="U79" s="1565"/>
      <c r="V79" s="1565"/>
      <c r="W79" s="1565"/>
      <c r="X79" s="1565"/>
      <c r="Y79" s="1565"/>
      <c r="Z79" s="1565"/>
      <c r="AA79" s="1565"/>
      <c r="AB79" s="1565"/>
      <c r="AC79" s="1565"/>
      <c r="AD79" s="1565"/>
      <c r="AE79" s="1565"/>
      <c r="AF79" s="1565"/>
      <c r="AG79" s="1565"/>
      <c r="AH79" s="1565"/>
      <c r="AI79" s="1565"/>
      <c r="AJ79" s="1565"/>
      <c r="AK79" s="1565"/>
      <c r="AL79" s="1565"/>
      <c r="AM79" s="1565"/>
      <c r="AN79" s="1565"/>
      <c r="AO79" s="1565"/>
      <c r="AP79" s="1565"/>
      <c r="AQ79" s="1565"/>
      <c r="AR79" s="1565"/>
    </row>
    <row r="80" spans="1:44" x14ac:dyDescent="0.25">
      <c r="A80" s="32">
        <v>8</v>
      </c>
      <c r="B80" s="32"/>
      <c r="C80" s="42" t="s">
        <v>166</v>
      </c>
      <c r="D80" s="675">
        <v>1993</v>
      </c>
      <c r="E80" s="681">
        <v>5</v>
      </c>
      <c r="F80" s="676">
        <v>100</v>
      </c>
      <c r="G80" s="905">
        <v>227</v>
      </c>
      <c r="H80" s="676">
        <v>6046.32</v>
      </c>
      <c r="I80" s="1565"/>
      <c r="J80" s="1565"/>
      <c r="K80" s="1565"/>
      <c r="L80" s="1565"/>
      <c r="M80" s="1565"/>
      <c r="N80" s="1565"/>
      <c r="O80" s="1565"/>
      <c r="P80" s="1565"/>
      <c r="Q80" s="1565"/>
      <c r="R80" s="1565"/>
      <c r="S80" s="1565"/>
      <c r="T80" s="1565"/>
      <c r="U80" s="1565"/>
      <c r="V80" s="1565"/>
      <c r="W80" s="1565"/>
      <c r="X80" s="1565"/>
      <c r="Y80" s="1565"/>
      <c r="Z80" s="1565"/>
      <c r="AA80" s="1565"/>
      <c r="AB80" s="1565"/>
      <c r="AC80" s="1565"/>
      <c r="AD80" s="1565"/>
      <c r="AE80" s="1565"/>
      <c r="AF80" s="1565"/>
      <c r="AG80" s="1565"/>
      <c r="AH80" s="1565"/>
      <c r="AI80" s="1565"/>
      <c r="AJ80" s="1565"/>
      <c r="AK80" s="1565"/>
      <c r="AL80" s="1565"/>
      <c r="AM80" s="1565"/>
      <c r="AN80" s="1565"/>
      <c r="AO80" s="1565"/>
      <c r="AP80" s="1565"/>
      <c r="AQ80" s="1565"/>
      <c r="AR80" s="1565"/>
    </row>
    <row r="81" spans="1:44" x14ac:dyDescent="0.25">
      <c r="A81" s="32">
        <v>9</v>
      </c>
      <c r="B81" s="32"/>
      <c r="C81" s="42" t="s">
        <v>167</v>
      </c>
      <c r="D81" s="675">
        <v>1989</v>
      </c>
      <c r="E81" s="681">
        <v>5</v>
      </c>
      <c r="F81" s="676">
        <v>76</v>
      </c>
      <c r="G81" s="905">
        <v>141</v>
      </c>
      <c r="H81" s="676">
        <v>3481.7</v>
      </c>
      <c r="I81" s="1565"/>
      <c r="J81" s="1565"/>
      <c r="K81" s="1565"/>
      <c r="L81" s="1565"/>
      <c r="M81" s="1565"/>
      <c r="N81" s="1565"/>
      <c r="O81" s="1565"/>
      <c r="P81" s="1565"/>
      <c r="Q81" s="1565"/>
      <c r="R81" s="1565"/>
      <c r="S81" s="1565"/>
      <c r="T81" s="1565"/>
      <c r="U81" s="1565"/>
      <c r="V81" s="1565"/>
      <c r="W81" s="1565"/>
      <c r="X81" s="1565"/>
      <c r="Y81" s="1565"/>
      <c r="Z81" s="1565"/>
      <c r="AA81" s="1565"/>
      <c r="AB81" s="1565"/>
      <c r="AC81" s="1565"/>
      <c r="AD81" s="1565"/>
      <c r="AE81" s="1565"/>
      <c r="AF81" s="1565"/>
      <c r="AG81" s="1565"/>
      <c r="AH81" s="1565"/>
      <c r="AI81" s="1565"/>
      <c r="AJ81" s="1565"/>
      <c r="AK81" s="1565"/>
      <c r="AL81" s="1565"/>
      <c r="AM81" s="1565"/>
      <c r="AN81" s="1565"/>
      <c r="AO81" s="1565"/>
      <c r="AP81" s="1565"/>
      <c r="AQ81" s="1565"/>
      <c r="AR81" s="1565"/>
    </row>
    <row r="82" spans="1:44" x14ac:dyDescent="0.25">
      <c r="A82" s="38"/>
      <c r="B82" s="38"/>
      <c r="C82" s="7" t="s">
        <v>52</v>
      </c>
      <c r="D82" s="894"/>
      <c r="E82" s="894"/>
      <c r="F82" s="387">
        <f>SUM(F74:F81)</f>
        <v>483</v>
      </c>
      <c r="G82" s="387">
        <f>SUM(G74:G81)</f>
        <v>977</v>
      </c>
      <c r="H82" s="387">
        <f>SUM(H74:H81)</f>
        <v>24446.959999999999</v>
      </c>
      <c r="I82" s="1565"/>
      <c r="J82" s="1565"/>
      <c r="K82" s="1565"/>
      <c r="L82" s="1565"/>
      <c r="M82" s="1565"/>
      <c r="N82" s="1565"/>
      <c r="O82" s="1565"/>
      <c r="P82" s="1565"/>
      <c r="Q82" s="1565"/>
      <c r="R82" s="1565"/>
      <c r="S82" s="1565"/>
      <c r="T82" s="1565"/>
      <c r="U82" s="1565"/>
      <c r="V82" s="1565"/>
      <c r="W82" s="1565"/>
      <c r="X82" s="1565"/>
      <c r="Y82" s="1565"/>
      <c r="Z82" s="1565"/>
      <c r="AA82" s="1565"/>
      <c r="AB82" s="1565"/>
      <c r="AC82" s="1565"/>
      <c r="AD82" s="1565"/>
      <c r="AE82" s="1565"/>
      <c r="AF82" s="1565"/>
      <c r="AG82" s="1565"/>
      <c r="AH82" s="1565"/>
      <c r="AI82" s="1565"/>
      <c r="AJ82" s="1565"/>
      <c r="AK82" s="1565"/>
      <c r="AL82" s="1565"/>
      <c r="AM82" s="1565"/>
      <c r="AN82" s="1565"/>
      <c r="AO82" s="1565"/>
      <c r="AP82" s="1565"/>
      <c r="AQ82" s="1565"/>
      <c r="AR82" s="1565"/>
    </row>
    <row r="83" spans="1:44" x14ac:dyDescent="0.25">
      <c r="A83" s="15"/>
      <c r="B83" s="15"/>
      <c r="C83" s="564" t="s">
        <v>379</v>
      </c>
      <c r="D83" s="661"/>
      <c r="E83" s="661"/>
      <c r="F83" s="661"/>
      <c r="G83" s="661"/>
      <c r="H83" s="661"/>
      <c r="I83" s="1565"/>
      <c r="J83" s="1565"/>
      <c r="K83" s="1565"/>
      <c r="L83" s="1565"/>
      <c r="M83" s="1565"/>
      <c r="N83" s="1565"/>
      <c r="O83" s="1565"/>
      <c r="P83" s="1565"/>
      <c r="Q83" s="1565"/>
      <c r="R83" s="1565"/>
      <c r="S83" s="1565"/>
      <c r="T83" s="1565"/>
      <c r="U83" s="1565"/>
      <c r="V83" s="1565"/>
      <c r="W83" s="1565"/>
      <c r="X83" s="1565"/>
      <c r="Y83" s="1565"/>
      <c r="Z83" s="1565"/>
      <c r="AA83" s="1565"/>
      <c r="AB83" s="1565"/>
      <c r="AC83" s="1565"/>
      <c r="AD83" s="1565"/>
      <c r="AE83" s="1565"/>
      <c r="AF83" s="1565"/>
      <c r="AG83" s="1565"/>
      <c r="AH83" s="1565"/>
      <c r="AI83" s="1565"/>
      <c r="AJ83" s="1565"/>
      <c r="AK83" s="1565"/>
      <c r="AL83" s="1565"/>
      <c r="AM83" s="1565"/>
      <c r="AN83" s="1565"/>
      <c r="AO83" s="1565"/>
      <c r="AP83" s="1565"/>
      <c r="AQ83" s="1565"/>
      <c r="AR83" s="1565"/>
    </row>
    <row r="84" spans="1:44" ht="15" customHeight="1" x14ac:dyDescent="0.3">
      <c r="A84" s="176"/>
      <c r="B84" s="176"/>
      <c r="C84" s="507" t="s">
        <v>539</v>
      </c>
      <c r="D84" s="176"/>
      <c r="E84" s="176"/>
      <c r="F84" s="176"/>
      <c r="G84" s="176"/>
      <c r="H84" s="176"/>
      <c r="I84" s="1565"/>
      <c r="J84" s="1565"/>
      <c r="K84" s="1565"/>
      <c r="L84" s="1565"/>
      <c r="M84" s="1565"/>
      <c r="N84" s="1565"/>
      <c r="O84" s="1565"/>
      <c r="P84" s="1565"/>
      <c r="Q84" s="1565"/>
      <c r="R84" s="1565"/>
      <c r="S84" s="1565"/>
      <c r="T84" s="1565"/>
      <c r="U84" s="1565"/>
      <c r="V84" s="1565"/>
      <c r="W84" s="1565"/>
      <c r="X84" s="1565"/>
      <c r="Y84" s="1565"/>
      <c r="Z84" s="1565"/>
      <c r="AA84" s="1565"/>
      <c r="AB84" s="1565"/>
      <c r="AC84" s="1565"/>
      <c r="AD84" s="1565"/>
      <c r="AE84" s="1565"/>
      <c r="AF84" s="1565"/>
      <c r="AG84" s="1565"/>
      <c r="AH84" s="1565"/>
      <c r="AI84" s="1565"/>
      <c r="AJ84" s="1565"/>
      <c r="AK84" s="1565"/>
      <c r="AL84" s="1565"/>
      <c r="AM84" s="1565"/>
      <c r="AN84" s="1565"/>
      <c r="AO84" s="1565"/>
      <c r="AP84" s="1565"/>
      <c r="AQ84" s="1565"/>
      <c r="AR84" s="1565"/>
    </row>
    <row r="85" spans="1:44" ht="15" customHeight="1" x14ac:dyDescent="0.3">
      <c r="A85" s="176"/>
      <c r="B85" s="176"/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  <c r="AQ85" s="176"/>
      <c r="AR85" s="176"/>
    </row>
    <row r="86" spans="1:44" ht="15" customHeight="1" x14ac:dyDescent="0.3">
      <c r="A86" s="176"/>
      <c r="B86" s="176"/>
      <c r="C86" s="176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563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</row>
    <row r="87" spans="1:44" ht="15.75" customHeight="1" x14ac:dyDescent="0.3">
      <c r="A87" s="176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/>
      <c r="Y87" s="176"/>
      <c r="Z87" s="176"/>
      <c r="AA87" s="176"/>
      <c r="AB87" s="176"/>
      <c r="AC87" s="176"/>
      <c r="AD87" s="176"/>
      <c r="AE87" s="176"/>
      <c r="AF87" s="176"/>
      <c r="AG87" s="176"/>
      <c r="AH87" s="176"/>
      <c r="AI87" s="176"/>
      <c r="AJ87" s="176"/>
      <c r="AK87" s="176"/>
      <c r="AL87" s="176"/>
      <c r="AM87" s="176"/>
      <c r="AN87" s="176"/>
      <c r="AO87" s="176"/>
      <c r="AP87" s="176"/>
      <c r="AQ87" s="176"/>
      <c r="AR87" s="176"/>
    </row>
    <row r="88" spans="1:44" ht="15" customHeight="1" x14ac:dyDescent="0.3">
      <c r="A88" s="176"/>
      <c r="B88" s="176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</row>
    <row r="89" spans="1:44" ht="15" customHeight="1" x14ac:dyDescent="0.3">
      <c r="A89" s="176"/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</row>
    <row r="90" spans="1:44" ht="15" customHeight="1" x14ac:dyDescent="0.3">
      <c r="A90" s="176"/>
      <c r="B90" s="176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</row>
    <row r="91" spans="1:44" ht="15" customHeight="1" x14ac:dyDescent="0.3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  <c r="AQ91" s="176"/>
      <c r="AR91" s="176"/>
    </row>
    <row r="92" spans="1:44" ht="15" customHeight="1" x14ac:dyDescent="0.3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</row>
    <row r="93" spans="1:44" ht="15" customHeight="1" x14ac:dyDescent="0.3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  <c r="AP93" s="176"/>
      <c r="AQ93" s="176"/>
      <c r="AR93" s="176"/>
    </row>
    <row r="94" spans="1:44" ht="15" customHeight="1" x14ac:dyDescent="0.3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</row>
    <row r="95" spans="1:44" ht="15" customHeight="1" x14ac:dyDescent="0.3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6"/>
      <c r="AH95" s="176"/>
      <c r="AI95" s="176"/>
      <c r="AJ95" s="176"/>
      <c r="AK95" s="176"/>
      <c r="AL95" s="176"/>
      <c r="AM95" s="176"/>
      <c r="AN95" s="176"/>
      <c r="AO95" s="176"/>
      <c r="AP95" s="176"/>
      <c r="AQ95" s="176"/>
      <c r="AR95" s="176"/>
    </row>
    <row r="96" spans="1:44" ht="15" customHeight="1" x14ac:dyDescent="0.3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76"/>
      <c r="AH96" s="176"/>
      <c r="AI96" s="176"/>
      <c r="AJ96" s="176"/>
      <c r="AK96" s="176"/>
      <c r="AL96" s="176"/>
      <c r="AM96" s="176"/>
      <c r="AN96" s="176"/>
      <c r="AO96" s="176"/>
      <c r="AP96" s="176"/>
      <c r="AQ96" s="176"/>
      <c r="AR96" s="176"/>
    </row>
    <row r="97" spans="1:44" ht="15" customHeight="1" x14ac:dyDescent="0.3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</row>
  </sheetData>
  <mergeCells count="106">
    <mergeCell ref="AY5:AY6"/>
    <mergeCell ref="AZ5:AZ6"/>
    <mergeCell ref="BA5:BA6"/>
    <mergeCell ref="BB5:BB6"/>
    <mergeCell ref="BH5:BH6"/>
    <mergeCell ref="BC5:BC6"/>
    <mergeCell ref="BD5:BD6"/>
    <mergeCell ref="BE5:BE6"/>
    <mergeCell ref="BF5:BF6"/>
    <mergeCell ref="BG5:BG6"/>
    <mergeCell ref="A72:A73"/>
    <mergeCell ref="B72:B73"/>
    <mergeCell ref="C72:C73"/>
    <mergeCell ref="AS5:AS6"/>
    <mergeCell ref="AT5:AT6"/>
    <mergeCell ref="AU5:AU6"/>
    <mergeCell ref="AV5:AV6"/>
    <mergeCell ref="AW5:AW6"/>
    <mergeCell ref="AX5:AX6"/>
    <mergeCell ref="AP5:AP6"/>
    <mergeCell ref="AQ5:AQ6"/>
    <mergeCell ref="AR5:AR6"/>
    <mergeCell ref="AM5:AM6"/>
    <mergeCell ref="AN5:AN6"/>
    <mergeCell ref="AO5:AO6"/>
    <mergeCell ref="A40:A41"/>
    <mergeCell ref="B40:B41"/>
    <mergeCell ref="AJ5:AJ6"/>
    <mergeCell ref="AK5:AK6"/>
    <mergeCell ref="AL5:AL6"/>
    <mergeCell ref="AI5:AI6"/>
    <mergeCell ref="M5:N5"/>
    <mergeCell ref="O5:P5"/>
    <mergeCell ref="Q5:R5"/>
    <mergeCell ref="Y5:Y6"/>
    <mergeCell ref="AC5:AC6"/>
    <mergeCell ref="AF5:AF6"/>
    <mergeCell ref="AG5:AG6"/>
    <mergeCell ref="AH5:AH6"/>
    <mergeCell ref="W5:X5"/>
    <mergeCell ref="A5:A6"/>
    <mergeCell ref="U5:V5"/>
    <mergeCell ref="D2:AG2"/>
    <mergeCell ref="D3:AG3"/>
    <mergeCell ref="F5:F6"/>
    <mergeCell ref="G5:G6"/>
    <mergeCell ref="H5:H6"/>
    <mergeCell ref="I5:J5"/>
    <mergeCell ref="K5:L5"/>
    <mergeCell ref="S5:T5"/>
    <mergeCell ref="AD5:AD6"/>
    <mergeCell ref="AE5:AE6"/>
    <mergeCell ref="Z5:Z6"/>
    <mergeCell ref="AA5:AA6"/>
    <mergeCell ref="AB5:AB6"/>
    <mergeCell ref="C48:C49"/>
    <mergeCell ref="D48:D49"/>
    <mergeCell ref="E48:E49"/>
    <mergeCell ref="F48:F49"/>
    <mergeCell ref="G48:G49"/>
    <mergeCell ref="B5:B6"/>
    <mergeCell ref="C5:C6"/>
    <mergeCell ref="D5:D6"/>
    <mergeCell ref="E5:E6"/>
    <mergeCell ref="Q48:R48"/>
    <mergeCell ref="S48:T48"/>
    <mergeCell ref="U48:V48"/>
    <mergeCell ref="W48:X48"/>
    <mergeCell ref="Y48:Y49"/>
    <mergeCell ref="H48:H49"/>
    <mergeCell ref="I48:J48"/>
    <mergeCell ref="K48:L48"/>
    <mergeCell ref="M48:N48"/>
    <mergeCell ref="O48:P48"/>
    <mergeCell ref="AE48:AE49"/>
    <mergeCell ref="AF48:AF49"/>
    <mergeCell ref="AG48:AG49"/>
    <mergeCell ref="AH48:AH49"/>
    <mergeCell ref="AI48:AI49"/>
    <mergeCell ref="Z48:Z49"/>
    <mergeCell ref="AA48:AA49"/>
    <mergeCell ref="AB48:AB49"/>
    <mergeCell ref="AC48:AC49"/>
    <mergeCell ref="AD48:AD49"/>
    <mergeCell ref="AO48:AO49"/>
    <mergeCell ref="AP48:AP49"/>
    <mergeCell ref="AQ48:AQ49"/>
    <mergeCell ref="AR48:AR49"/>
    <mergeCell ref="AS48:AS49"/>
    <mergeCell ref="AJ48:AJ49"/>
    <mergeCell ref="AK48:AK49"/>
    <mergeCell ref="AL48:AL49"/>
    <mergeCell ref="AM48:AM49"/>
    <mergeCell ref="AN48:AN49"/>
    <mergeCell ref="BD48:BD49"/>
    <mergeCell ref="BE48:BE49"/>
    <mergeCell ref="AY48:AY49"/>
    <mergeCell ref="AZ48:AZ49"/>
    <mergeCell ref="BA48:BA49"/>
    <mergeCell ref="BB48:BB49"/>
    <mergeCell ref="BC48:BC49"/>
    <mergeCell ref="AT48:AT49"/>
    <mergeCell ref="AU48:AU49"/>
    <mergeCell ref="AV48:AV49"/>
    <mergeCell ref="AW48:AW49"/>
    <mergeCell ref="AX48:AX49"/>
  </mergeCells>
  <pageMargins left="0.17" right="0.17" top="0.31" bottom="0.16" header="0.31496062992125984" footer="0.16"/>
  <pageSetup paperSize="9" orientation="landscape" verticalDpi="0" r:id="rId1"/>
  <ignoredErrors>
    <ignoredError sqref="BC34 BE34" formula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1"/>
  <sheetViews>
    <sheetView workbookViewId="0">
      <selection activeCell="B3" sqref="B3"/>
    </sheetView>
  </sheetViews>
  <sheetFormatPr defaultRowHeight="15" x14ac:dyDescent="0.25"/>
  <cols>
    <col min="1" max="1" width="3.7109375" customWidth="1"/>
    <col min="2" max="2" width="17.5703125" customWidth="1"/>
    <col min="3" max="3" width="9.28515625" customWidth="1"/>
    <col min="4" max="4" width="8" customWidth="1"/>
    <col min="5" max="5" width="8.5703125" customWidth="1"/>
    <col min="6" max="6" width="7.85546875" customWidth="1"/>
    <col min="7" max="7" width="8.85546875" customWidth="1"/>
    <col min="8" max="8" width="11.28515625" customWidth="1"/>
    <col min="9" max="9" width="10.140625" customWidth="1"/>
    <col min="10" max="10" width="10.42578125" customWidth="1"/>
    <col min="11" max="11" width="10.140625" customWidth="1"/>
    <col min="12" max="12" width="10.7109375" customWidth="1"/>
    <col min="13" max="13" width="9.42578125" customWidth="1"/>
    <col min="14" max="14" width="10.28515625" customWidth="1"/>
    <col min="15" max="15" width="8.85546875" customWidth="1"/>
    <col min="16" max="16" width="10" customWidth="1"/>
    <col min="17" max="17" width="12.140625" customWidth="1"/>
    <col min="18" max="18" width="13.42578125" customWidth="1"/>
    <col min="19" max="19" width="11.28515625" customWidth="1"/>
    <col min="20" max="20" width="10.28515625" customWidth="1"/>
    <col min="21" max="21" width="11.5703125" customWidth="1"/>
    <col min="22" max="22" width="11.7109375" customWidth="1"/>
    <col min="23" max="23" width="11.28515625" customWidth="1"/>
    <col min="24" max="24" width="9.85546875" hidden="1" customWidth="1"/>
    <col min="25" max="25" width="13" hidden="1" customWidth="1"/>
    <col min="26" max="26" width="9.140625" hidden="1" customWidth="1"/>
    <col min="27" max="27" width="11.7109375" hidden="1" customWidth="1"/>
    <col min="28" max="28" width="9.140625" hidden="1" customWidth="1"/>
    <col min="29" max="29" width="10.140625" hidden="1" customWidth="1"/>
    <col min="30" max="30" width="10.28515625" hidden="1" customWidth="1"/>
    <col min="31" max="31" width="10.85546875" customWidth="1"/>
    <col min="32" max="32" width="10.7109375" hidden="1" customWidth="1"/>
    <col min="33" max="33" width="11.85546875" customWidth="1"/>
    <col min="34" max="34" width="10.7109375" customWidth="1"/>
    <col min="35" max="35" width="11.28515625" customWidth="1"/>
    <col min="36" max="36" width="8.85546875" customWidth="1"/>
    <col min="37" max="37" width="7.85546875" customWidth="1"/>
    <col min="38" max="38" width="10.28515625" customWidth="1"/>
    <col min="39" max="39" width="11.42578125" customWidth="1"/>
    <col min="40" max="40" width="9.28515625" customWidth="1"/>
  </cols>
  <sheetData>
    <row r="1" spans="1:41" ht="15" customHeight="1" x14ac:dyDescent="0.25">
      <c r="A1" s="378"/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  <c r="AB1" s="378"/>
      <c r="AC1" s="378"/>
      <c r="AD1" s="378"/>
      <c r="AE1" s="378"/>
      <c r="AF1" s="378"/>
      <c r="AG1" s="378"/>
      <c r="AH1" s="378"/>
      <c r="AI1" s="378"/>
      <c r="AJ1" s="378"/>
      <c r="AK1" s="378"/>
      <c r="AL1" s="378"/>
      <c r="AM1" s="378"/>
      <c r="AN1" s="378"/>
      <c r="AO1" s="378"/>
    </row>
    <row r="2" spans="1:41" ht="15" customHeight="1" x14ac:dyDescent="0.2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W2" s="378"/>
      <c r="X2" s="378"/>
      <c r="Y2" s="378"/>
      <c r="Z2" s="378"/>
      <c r="AA2" s="378"/>
      <c r="AB2" s="378"/>
      <c r="AC2" s="378"/>
      <c r="AD2" s="378"/>
      <c r="AE2" s="378"/>
      <c r="AF2" s="378"/>
      <c r="AG2" s="378"/>
      <c r="AH2" s="378"/>
      <c r="AI2" s="378"/>
      <c r="AJ2" s="378"/>
      <c r="AK2" s="378"/>
      <c r="AL2" s="378"/>
      <c r="AM2" s="378"/>
      <c r="AN2" s="378"/>
      <c r="AO2" s="378"/>
    </row>
    <row r="3" spans="1:41" ht="15" customHeight="1" x14ac:dyDescent="0.25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 t="s">
        <v>291</v>
      </c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378"/>
      <c r="X3" s="378"/>
      <c r="Y3" s="378"/>
      <c r="Z3" s="378"/>
      <c r="AA3" s="378"/>
      <c r="AB3" s="378"/>
      <c r="AC3" s="378"/>
      <c r="AD3" s="378"/>
      <c r="AE3" s="378"/>
      <c r="AF3" s="378"/>
      <c r="AG3" s="378"/>
      <c r="AH3" s="378"/>
      <c r="AI3" s="378"/>
      <c r="AJ3" s="378"/>
      <c r="AK3" s="378"/>
      <c r="AL3" s="378"/>
      <c r="AM3" s="378"/>
      <c r="AN3" s="378"/>
      <c r="AO3" s="378"/>
    </row>
    <row r="4" spans="1:41" ht="15.75" customHeight="1" x14ac:dyDescent="0.25">
      <c r="A4" s="378"/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 t="s">
        <v>561</v>
      </c>
      <c r="N4" s="378"/>
      <c r="O4" s="378"/>
      <c r="P4" s="378"/>
      <c r="Q4" s="378"/>
      <c r="R4" s="378"/>
      <c r="S4" s="378"/>
      <c r="T4" s="378"/>
      <c r="U4" s="378"/>
      <c r="V4" s="378"/>
      <c r="W4" s="378"/>
      <c r="X4" s="378"/>
      <c r="Y4" s="378"/>
      <c r="Z4" s="378"/>
      <c r="AA4" s="378"/>
      <c r="AB4" s="378"/>
      <c r="AC4" s="378"/>
      <c r="AD4" s="378"/>
      <c r="AE4" s="378"/>
      <c r="AF4" s="378"/>
      <c r="AG4" s="378"/>
      <c r="AH4" s="378"/>
      <c r="AI4" s="378"/>
      <c r="AJ4" s="378"/>
      <c r="AK4" s="378"/>
      <c r="AL4" s="378"/>
      <c r="AM4" s="378"/>
      <c r="AN4" s="378"/>
      <c r="AO4" s="378"/>
    </row>
    <row r="5" spans="1:41" ht="15.75" customHeight="1" x14ac:dyDescent="0.25">
      <c r="A5" s="378"/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</row>
    <row r="6" spans="1:41" ht="15" customHeight="1" x14ac:dyDescent="0.25">
      <c r="A6" s="378"/>
      <c r="B6" s="378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378"/>
      <c r="X6" s="378"/>
      <c r="Y6" s="378"/>
      <c r="Z6" s="378"/>
      <c r="AA6" s="378"/>
      <c r="AB6" s="378"/>
      <c r="AC6" s="378"/>
      <c r="AD6" s="378"/>
      <c r="AE6" s="378"/>
      <c r="AF6" s="378"/>
      <c r="AG6" s="378"/>
      <c r="AH6" s="378"/>
      <c r="AI6" s="378"/>
      <c r="AJ6" s="378"/>
      <c r="AK6" s="378"/>
      <c r="AL6" s="378"/>
      <c r="AM6" s="378"/>
      <c r="AN6" s="378"/>
      <c r="AO6" s="378"/>
    </row>
    <row r="7" spans="1:41" ht="22.5" customHeight="1" x14ac:dyDescent="0.25">
      <c r="A7" s="2112" t="s">
        <v>0</v>
      </c>
      <c r="B7" s="2112" t="s">
        <v>1</v>
      </c>
      <c r="C7" s="2112" t="s">
        <v>2</v>
      </c>
      <c r="D7" s="2130" t="s">
        <v>3</v>
      </c>
      <c r="E7" s="2112" t="s">
        <v>4</v>
      </c>
      <c r="F7" s="2112" t="s">
        <v>5</v>
      </c>
      <c r="G7" s="2130" t="s">
        <v>293</v>
      </c>
      <c r="H7" s="1323"/>
      <c r="I7" s="1323"/>
      <c r="J7" s="1323"/>
      <c r="K7" s="1323"/>
      <c r="L7" s="2126" t="s">
        <v>325</v>
      </c>
      <c r="M7" s="2127"/>
      <c r="N7" s="2126" t="s">
        <v>290</v>
      </c>
      <c r="O7" s="2127"/>
      <c r="P7" s="2126" t="s">
        <v>284</v>
      </c>
      <c r="Q7" s="2127"/>
      <c r="R7" s="2126" t="s">
        <v>287</v>
      </c>
      <c r="S7" s="2127"/>
      <c r="T7" s="2128" t="s">
        <v>292</v>
      </c>
      <c r="U7" s="2128" t="s">
        <v>295</v>
      </c>
      <c r="V7" s="2128" t="s">
        <v>294</v>
      </c>
      <c r="W7" s="2113" t="s">
        <v>181</v>
      </c>
      <c r="X7" s="2123" t="s">
        <v>7</v>
      </c>
      <c r="Y7" s="2113" t="s">
        <v>8</v>
      </c>
      <c r="Z7" s="2125" t="s">
        <v>177</v>
      </c>
      <c r="AA7" s="2119" t="s">
        <v>9</v>
      </c>
      <c r="AB7" s="2119" t="s">
        <v>10</v>
      </c>
      <c r="AC7" s="2119" t="s">
        <v>173</v>
      </c>
      <c r="AD7" s="2119" t="s">
        <v>172</v>
      </c>
      <c r="AE7" s="2119" t="s">
        <v>11</v>
      </c>
      <c r="AF7" s="2121" t="s">
        <v>12</v>
      </c>
      <c r="AG7" s="2115" t="s">
        <v>13</v>
      </c>
      <c r="AH7" s="2113" t="s">
        <v>554</v>
      </c>
      <c r="AI7" s="2115" t="s">
        <v>175</v>
      </c>
      <c r="AJ7" s="2115" t="s">
        <v>315</v>
      </c>
      <c r="AK7" s="2117" t="s">
        <v>182</v>
      </c>
      <c r="AL7" s="2110" t="s">
        <v>434</v>
      </c>
      <c r="AM7" s="2110" t="s">
        <v>435</v>
      </c>
      <c r="AN7" s="2110" t="s">
        <v>436</v>
      </c>
      <c r="AO7" s="2010" t="s">
        <v>566</v>
      </c>
    </row>
    <row r="8" spans="1:41" ht="42" customHeight="1" x14ac:dyDescent="0.25">
      <c r="A8" s="2112"/>
      <c r="B8" s="2112"/>
      <c r="C8" s="2112"/>
      <c r="D8" s="2131"/>
      <c r="E8" s="2112"/>
      <c r="F8" s="2112"/>
      <c r="G8" s="2131"/>
      <c r="H8" s="1324"/>
      <c r="I8" s="1324"/>
      <c r="J8" s="1324"/>
      <c r="K8" s="1324"/>
      <c r="L8" s="170" t="s">
        <v>15</v>
      </c>
      <c r="M8" s="171" t="s">
        <v>16</v>
      </c>
      <c r="N8" s="172" t="s">
        <v>15</v>
      </c>
      <c r="O8" s="173" t="s">
        <v>286</v>
      </c>
      <c r="P8" s="172" t="s">
        <v>15</v>
      </c>
      <c r="Q8" s="173" t="s">
        <v>16</v>
      </c>
      <c r="R8" s="172" t="s">
        <v>15</v>
      </c>
      <c r="S8" s="173" t="s">
        <v>16</v>
      </c>
      <c r="T8" s="2129"/>
      <c r="U8" s="2129"/>
      <c r="V8" s="2129"/>
      <c r="W8" s="2124"/>
      <c r="X8" s="2123"/>
      <c r="Y8" s="2124"/>
      <c r="Z8" s="2125"/>
      <c r="AA8" s="2120"/>
      <c r="AB8" s="2114"/>
      <c r="AC8" s="2120"/>
      <c r="AD8" s="2120"/>
      <c r="AE8" s="2120"/>
      <c r="AF8" s="2122"/>
      <c r="AG8" s="2116"/>
      <c r="AH8" s="2114"/>
      <c r="AI8" s="2116"/>
      <c r="AJ8" s="2116"/>
      <c r="AK8" s="2118"/>
      <c r="AL8" s="2111"/>
      <c r="AM8" s="2111"/>
      <c r="AN8" s="2111"/>
      <c r="AO8" s="2011"/>
    </row>
    <row r="9" spans="1:41" x14ac:dyDescent="0.25">
      <c r="A9" s="174">
        <v>6</v>
      </c>
      <c r="B9" s="377" t="s">
        <v>179</v>
      </c>
      <c r="C9" s="858">
        <v>1977</v>
      </c>
      <c r="D9" s="858">
        <v>3</v>
      </c>
      <c r="E9" s="859">
        <v>36</v>
      </c>
      <c r="F9" s="860">
        <v>7</v>
      </c>
      <c r="G9" s="861">
        <v>320.55</v>
      </c>
      <c r="H9" s="1325"/>
      <c r="I9" s="1325"/>
      <c r="J9" s="1325"/>
      <c r="K9" s="1325"/>
      <c r="L9" s="862">
        <v>5080.4799999999996</v>
      </c>
      <c r="M9" s="861">
        <v>1861.17</v>
      </c>
      <c r="N9" s="861">
        <v>1660.28</v>
      </c>
      <c r="O9" s="861">
        <v>608.22</v>
      </c>
      <c r="P9" s="861">
        <v>2262</v>
      </c>
      <c r="Q9" s="861">
        <v>828.65</v>
      </c>
      <c r="R9" s="861">
        <f>L9+N9+P9</f>
        <v>9002.7599999999984</v>
      </c>
      <c r="S9" s="861">
        <f>M9+O9+Q9</f>
        <v>3298.0400000000004</v>
      </c>
      <c r="T9" s="861"/>
      <c r="U9" s="861">
        <f>R9+T9</f>
        <v>9002.7599999999984</v>
      </c>
      <c r="V9" s="861">
        <f>S9+T9</f>
        <v>3298.0400000000004</v>
      </c>
      <c r="W9" s="862">
        <f>X9+Y9+Z9+AA9+AB9+AC9+AD9+AE9+AF9+AG9+AH9</f>
        <v>194896.07879999999</v>
      </c>
      <c r="X9" s="863"/>
      <c r="Y9" s="864"/>
      <c r="Z9" s="861"/>
      <c r="AA9" s="862"/>
      <c r="AB9" s="864"/>
      <c r="AC9" s="861"/>
      <c r="AD9" s="862"/>
      <c r="AE9" s="862">
        <v>12649.56</v>
      </c>
      <c r="AF9" s="862"/>
      <c r="AG9" s="865">
        <v>151619.4</v>
      </c>
      <c r="AH9" s="865">
        <f>AG9*0.202</f>
        <v>30627.1188</v>
      </c>
      <c r="AI9" s="838">
        <f>U9-W9</f>
        <v>-185893.31879999998</v>
      </c>
      <c r="AJ9" s="838">
        <f>V9/U9*100</f>
        <v>36.633654568154668</v>
      </c>
      <c r="AK9" s="838">
        <f>W9/G9/4</f>
        <v>152.00130931211979</v>
      </c>
      <c r="AL9" s="838">
        <v>11.23</v>
      </c>
      <c r="AM9" s="647">
        <v>5</v>
      </c>
      <c r="AN9" s="647">
        <v>3.67</v>
      </c>
      <c r="AO9" s="647">
        <f>R9-S9</f>
        <v>5704.7199999999975</v>
      </c>
    </row>
    <row r="10" spans="1:41" x14ac:dyDescent="0.25">
      <c r="A10" s="169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75"/>
      <c r="AH10" s="169"/>
      <c r="AI10" s="169"/>
      <c r="AJ10" s="169"/>
      <c r="AK10" s="169"/>
      <c r="AL10" s="169"/>
    </row>
    <row r="11" spans="1:41" x14ac:dyDescent="0.25"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595">
        <f>AG9+AH9</f>
        <v>182246.51879999999</v>
      </c>
      <c r="AH11" s="34"/>
      <c r="AI11" s="34"/>
    </row>
    <row r="12" spans="1:41" ht="15" customHeight="1" x14ac:dyDescent="0.3">
      <c r="A12" s="164"/>
      <c r="B12" s="164"/>
      <c r="C12" s="164"/>
      <c r="D12" s="164"/>
      <c r="E12" s="164"/>
      <c r="F12" s="164"/>
      <c r="G12" s="596" t="s">
        <v>571</v>
      </c>
      <c r="H12" s="596"/>
      <c r="I12" s="596"/>
      <c r="J12" s="596"/>
      <c r="K12" s="596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</row>
    <row r="13" spans="1:41" ht="15" customHeight="1" x14ac:dyDescent="0.3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</row>
    <row r="14" spans="1:41" ht="15" customHeight="1" x14ac:dyDescent="0.3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</row>
    <row r="15" spans="1:41" ht="15" customHeight="1" x14ac:dyDescent="0.3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</row>
    <row r="16" spans="1:41" ht="18.75" customHeight="1" x14ac:dyDescent="0.3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</row>
    <row r="17" spans="1:41" ht="15.75" customHeight="1" x14ac:dyDescent="0.25">
      <c r="A17" s="378"/>
      <c r="B17" s="378"/>
      <c r="C17" s="378"/>
      <c r="D17" s="378"/>
      <c r="E17" s="378"/>
      <c r="F17" s="378"/>
      <c r="G17" s="378"/>
      <c r="H17" s="378"/>
      <c r="I17" s="378"/>
      <c r="J17" s="378"/>
      <c r="K17" s="378"/>
      <c r="L17" s="378" t="s">
        <v>291</v>
      </c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</row>
    <row r="18" spans="1:41" ht="15.75" customHeight="1" x14ac:dyDescent="0.25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 t="s">
        <v>662</v>
      </c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</row>
    <row r="19" spans="1:41" ht="15.75" customHeight="1" x14ac:dyDescent="0.25">
      <c r="A19" s="378"/>
      <c r="B19" s="378"/>
      <c r="C19" s="378"/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</row>
    <row r="20" spans="1:41" ht="15" customHeight="1" x14ac:dyDescent="0.25">
      <c r="A20" s="378"/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</row>
    <row r="21" spans="1:41" ht="26.25" customHeight="1" x14ac:dyDescent="0.25">
      <c r="A21" s="2112" t="s">
        <v>0</v>
      </c>
      <c r="B21" s="2112" t="s">
        <v>1</v>
      </c>
      <c r="C21" s="2112" t="s">
        <v>2</v>
      </c>
      <c r="D21" s="2130" t="s">
        <v>3</v>
      </c>
      <c r="E21" s="2112" t="s">
        <v>4</v>
      </c>
      <c r="F21" s="2112" t="s">
        <v>5</v>
      </c>
      <c r="G21" s="2130" t="s">
        <v>293</v>
      </c>
      <c r="H21" s="2112" t="s">
        <v>663</v>
      </c>
      <c r="I21" s="2112"/>
      <c r="J21" s="2112" t="s">
        <v>656</v>
      </c>
      <c r="K21" s="2112"/>
      <c r="L21" s="2126" t="s">
        <v>664</v>
      </c>
      <c r="M21" s="2127"/>
      <c r="N21" s="2126" t="s">
        <v>290</v>
      </c>
      <c r="O21" s="2127"/>
      <c r="P21" s="2126" t="s">
        <v>284</v>
      </c>
      <c r="Q21" s="2127"/>
      <c r="R21" s="2126" t="s">
        <v>287</v>
      </c>
      <c r="S21" s="2127"/>
      <c r="T21" s="2128" t="s">
        <v>292</v>
      </c>
      <c r="U21" s="2128" t="s">
        <v>295</v>
      </c>
      <c r="V21" s="2128" t="s">
        <v>294</v>
      </c>
      <c r="W21" s="2113" t="s">
        <v>181</v>
      </c>
      <c r="X21" s="2123" t="s">
        <v>7</v>
      </c>
      <c r="Y21" s="2113" t="s">
        <v>8</v>
      </c>
      <c r="Z21" s="2125" t="s">
        <v>177</v>
      </c>
      <c r="AA21" s="2119" t="s">
        <v>9</v>
      </c>
      <c r="AB21" s="2119" t="s">
        <v>10</v>
      </c>
      <c r="AC21" s="2119" t="s">
        <v>173</v>
      </c>
      <c r="AD21" s="2119" t="s">
        <v>172</v>
      </c>
      <c r="AE21" s="2119" t="s">
        <v>11</v>
      </c>
      <c r="AF21" s="2121" t="s">
        <v>12</v>
      </c>
      <c r="AG21" s="2115" t="s">
        <v>13</v>
      </c>
      <c r="AH21" s="2113" t="s">
        <v>554</v>
      </c>
      <c r="AI21" s="2115" t="s">
        <v>175</v>
      </c>
      <c r="AJ21" s="2115" t="s">
        <v>315</v>
      </c>
      <c r="AK21" s="2117" t="s">
        <v>182</v>
      </c>
      <c r="AL21" s="2110" t="s">
        <v>434</v>
      </c>
      <c r="AM21" s="2110" t="s">
        <v>435</v>
      </c>
      <c r="AN21" s="2110" t="s">
        <v>436</v>
      </c>
      <c r="AO21" s="2010" t="s">
        <v>566</v>
      </c>
    </row>
    <row r="22" spans="1:41" ht="21" customHeight="1" x14ac:dyDescent="0.25">
      <c r="A22" s="2112"/>
      <c r="B22" s="2112"/>
      <c r="C22" s="2112"/>
      <c r="D22" s="2131"/>
      <c r="E22" s="2112"/>
      <c r="F22" s="2112"/>
      <c r="G22" s="2131"/>
      <c r="H22" s="1326" t="s">
        <v>15</v>
      </c>
      <c r="I22" s="1327" t="s">
        <v>16</v>
      </c>
      <c r="J22" s="1326" t="s">
        <v>15</v>
      </c>
      <c r="K22" s="1327" t="s">
        <v>16</v>
      </c>
      <c r="L22" s="1326" t="s">
        <v>15</v>
      </c>
      <c r="M22" s="1327" t="s">
        <v>16</v>
      </c>
      <c r="N22" s="172" t="s">
        <v>15</v>
      </c>
      <c r="O22" s="173" t="s">
        <v>286</v>
      </c>
      <c r="P22" s="172" t="s">
        <v>15</v>
      </c>
      <c r="Q22" s="173" t="s">
        <v>16</v>
      </c>
      <c r="R22" s="172" t="s">
        <v>15</v>
      </c>
      <c r="S22" s="173" t="s">
        <v>16</v>
      </c>
      <c r="T22" s="2129"/>
      <c r="U22" s="2129"/>
      <c r="V22" s="2129"/>
      <c r="W22" s="2124"/>
      <c r="X22" s="2123"/>
      <c r="Y22" s="2124"/>
      <c r="Z22" s="2125"/>
      <c r="AA22" s="2120"/>
      <c r="AB22" s="2114"/>
      <c r="AC22" s="2120"/>
      <c r="AD22" s="2120"/>
      <c r="AE22" s="2120"/>
      <c r="AF22" s="2122"/>
      <c r="AG22" s="2116"/>
      <c r="AH22" s="2114"/>
      <c r="AI22" s="2116"/>
      <c r="AJ22" s="2116"/>
      <c r="AK22" s="2118"/>
      <c r="AL22" s="2111"/>
      <c r="AM22" s="2111"/>
      <c r="AN22" s="2111"/>
      <c r="AO22" s="2011"/>
    </row>
    <row r="23" spans="1:41" ht="15" customHeight="1" x14ac:dyDescent="0.25">
      <c r="A23" s="174">
        <v>6</v>
      </c>
      <c r="B23" s="377" t="s">
        <v>179</v>
      </c>
      <c r="C23" s="858">
        <v>1977</v>
      </c>
      <c r="D23" s="858">
        <v>3</v>
      </c>
      <c r="E23" s="859">
        <v>36</v>
      </c>
      <c r="F23" s="860">
        <v>7</v>
      </c>
      <c r="G23" s="861">
        <v>320.55</v>
      </c>
      <c r="H23" s="861">
        <v>1207.98</v>
      </c>
      <c r="I23" s="861">
        <v>883.21</v>
      </c>
      <c r="J23" s="861">
        <v>109.56</v>
      </c>
      <c r="K23" s="861">
        <v>81.59</v>
      </c>
      <c r="L23" s="862">
        <v>11902.74</v>
      </c>
      <c r="M23" s="861">
        <v>6846.84</v>
      </c>
      <c r="N23" s="861">
        <v>2512.44</v>
      </c>
      <c r="O23" s="861">
        <v>1870.59</v>
      </c>
      <c r="P23" s="861">
        <v>5299.5</v>
      </c>
      <c r="Q23" s="861">
        <v>3048.44</v>
      </c>
      <c r="R23" s="861">
        <f>H23+J23+L23+N23+P23</f>
        <v>21032.22</v>
      </c>
      <c r="S23" s="861">
        <f>I23+K23+M23+O23+Q23</f>
        <v>12730.67</v>
      </c>
      <c r="T23" s="861"/>
      <c r="U23" s="861"/>
      <c r="V23" s="861"/>
      <c r="W23" s="862"/>
      <c r="X23" s="863"/>
      <c r="Y23" s="864"/>
      <c r="Z23" s="861"/>
      <c r="AA23" s="862"/>
      <c r="AB23" s="864"/>
      <c r="AC23" s="861"/>
      <c r="AD23" s="862"/>
      <c r="AE23" s="862"/>
      <c r="AF23" s="862"/>
      <c r="AG23" s="865"/>
      <c r="AH23" s="865"/>
      <c r="AI23" s="838"/>
      <c r="AJ23" s="838"/>
      <c r="AK23" s="838"/>
      <c r="AL23" s="838">
        <v>11.23</v>
      </c>
      <c r="AM23" s="647">
        <v>5</v>
      </c>
      <c r="AN23" s="647">
        <v>3.67</v>
      </c>
      <c r="AO23" s="647">
        <f>R23-S23</f>
        <v>8301.5500000000011</v>
      </c>
    </row>
    <row r="24" spans="1:41" ht="15" customHeight="1" x14ac:dyDescent="0.3">
      <c r="A24" s="164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</row>
    <row r="25" spans="1:41" ht="15" customHeight="1" x14ac:dyDescent="0.3">
      <c r="A25" s="164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</row>
    <row r="26" spans="1:41" ht="15" customHeight="1" x14ac:dyDescent="0.3">
      <c r="A26" s="164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</row>
    <row r="27" spans="1:41" ht="15" customHeight="1" x14ac:dyDescent="0.3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</row>
    <row r="28" spans="1:41" ht="15" customHeight="1" x14ac:dyDescent="0.3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</row>
    <row r="29" spans="1:41" ht="15" customHeight="1" x14ac:dyDescent="0.3">
      <c r="A29" s="164"/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</row>
    <row r="30" spans="1:41" ht="15" customHeight="1" x14ac:dyDescent="0.3">
      <c r="A30" s="164"/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</row>
    <row r="31" spans="1:41" ht="15" customHeight="1" x14ac:dyDescent="0.3">
      <c r="A31" s="164"/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</row>
    <row r="32" spans="1:41" ht="15" customHeight="1" x14ac:dyDescent="0.3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</row>
    <row r="33" spans="1:41" ht="15" customHeight="1" x14ac:dyDescent="0.3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</row>
    <row r="34" spans="1:41" ht="15" customHeight="1" x14ac:dyDescent="0.3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</row>
    <row r="35" spans="1:41" ht="15" customHeight="1" x14ac:dyDescent="0.3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</row>
    <row r="36" spans="1:41" ht="15" customHeight="1" x14ac:dyDescent="0.3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</row>
    <row r="37" spans="1:41" ht="15" customHeight="1" x14ac:dyDescent="0.3">
      <c r="A37" s="164"/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</row>
    <row r="38" spans="1:41" ht="15" customHeight="1" x14ac:dyDescent="0.3">
      <c r="A38" s="164"/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</row>
    <row r="39" spans="1:41" ht="15" customHeight="1" x14ac:dyDescent="0.3">
      <c r="A39" s="164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</row>
    <row r="40" spans="1:41" ht="15" customHeight="1" x14ac:dyDescent="0.3">
      <c r="A40" s="164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</row>
    <row r="41" spans="1:41" ht="15" customHeight="1" x14ac:dyDescent="0.3">
      <c r="A41" s="164"/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</row>
    <row r="42" spans="1:41" ht="15" customHeight="1" x14ac:dyDescent="0.3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</row>
    <row r="43" spans="1:41" ht="15" customHeight="1" x14ac:dyDescent="0.3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</row>
    <row r="44" spans="1:41" ht="15" customHeight="1" x14ac:dyDescent="0.3">
      <c r="A44" s="164"/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</row>
    <row r="45" spans="1:41" ht="15" customHeight="1" x14ac:dyDescent="0.3">
      <c r="A45" s="164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</row>
    <row r="46" spans="1:41" ht="15" customHeight="1" x14ac:dyDescent="0.3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</row>
    <row r="47" spans="1:41" ht="15" customHeight="1" x14ac:dyDescent="0.3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</row>
    <row r="48" spans="1:41" ht="15" customHeight="1" x14ac:dyDescent="0.3">
      <c r="A48" s="164"/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</row>
    <row r="49" spans="1:41" ht="15" customHeight="1" x14ac:dyDescent="0.3">
      <c r="A49" s="164"/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</row>
    <row r="50" spans="1:41" ht="15" customHeight="1" x14ac:dyDescent="0.3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</row>
    <row r="51" spans="1:41" ht="15" customHeight="1" x14ac:dyDescent="0.3">
      <c r="A51" s="164"/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</row>
    <row r="52" spans="1:41" ht="15" customHeight="1" x14ac:dyDescent="0.3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</row>
    <row r="53" spans="1:41" ht="15" customHeight="1" x14ac:dyDescent="0.3">
      <c r="A53" s="164"/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</row>
    <row r="54" spans="1:41" ht="15.75" customHeight="1" x14ac:dyDescent="0.3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</row>
    <row r="55" spans="1:41" ht="15" customHeight="1" x14ac:dyDescent="0.3">
      <c r="A55" s="164"/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</row>
    <row r="56" spans="1:41" ht="15" customHeight="1" x14ac:dyDescent="0.3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</row>
    <row r="57" spans="1:41" ht="15" customHeight="1" x14ac:dyDescent="0.3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</row>
    <row r="58" spans="1:41" ht="15" customHeight="1" x14ac:dyDescent="0.3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</row>
    <row r="59" spans="1:41" ht="15" customHeight="1" x14ac:dyDescent="0.3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</row>
    <row r="60" spans="1:41" ht="15" customHeight="1" x14ac:dyDescent="0.3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</row>
    <row r="61" spans="1:41" ht="15" customHeight="1" x14ac:dyDescent="0.3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</row>
    <row r="62" spans="1:41" ht="15" customHeight="1" x14ac:dyDescent="0.3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</row>
    <row r="63" spans="1:41" ht="15" customHeight="1" x14ac:dyDescent="0.3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</row>
    <row r="64" spans="1:41" ht="15" customHeight="1" x14ac:dyDescent="0.3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</row>
    <row r="65" spans="1:41" ht="15" customHeight="1" x14ac:dyDescent="0.3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</row>
    <row r="66" spans="1:41" ht="15" customHeight="1" x14ac:dyDescent="0.3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</row>
    <row r="67" spans="1:41" ht="15" customHeight="1" x14ac:dyDescent="0.3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</row>
    <row r="68" spans="1:41" ht="15" customHeight="1" x14ac:dyDescent="0.3">
      <c r="A68" s="164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</row>
    <row r="69" spans="1:41" ht="37.5" customHeight="1" x14ac:dyDescent="0.3">
      <c r="A69" s="164"/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</row>
    <row r="70" spans="1:41" ht="15" customHeight="1" x14ac:dyDescent="0.3">
      <c r="A70" s="164"/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</row>
    <row r="71" spans="1:41" ht="15" customHeight="1" x14ac:dyDescent="0.3">
      <c r="A71" s="164"/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</row>
    <row r="72" spans="1:41" ht="15" customHeight="1" x14ac:dyDescent="0.3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</row>
    <row r="73" spans="1:41" ht="15" customHeight="1" x14ac:dyDescent="0.3">
      <c r="A73" s="164"/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</row>
    <row r="74" spans="1:41" ht="15" customHeight="1" x14ac:dyDescent="0.3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</row>
    <row r="75" spans="1:41" ht="15" customHeight="1" x14ac:dyDescent="0.3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</row>
    <row r="76" spans="1:41" ht="15" customHeight="1" x14ac:dyDescent="0.3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</row>
    <row r="77" spans="1:41" ht="15" customHeight="1" x14ac:dyDescent="0.3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</row>
    <row r="78" spans="1:41" ht="15" customHeight="1" x14ac:dyDescent="0.3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</row>
    <row r="79" spans="1:41" ht="15" customHeight="1" x14ac:dyDescent="0.3">
      <c r="A79" s="164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</row>
    <row r="80" spans="1:41" ht="15" customHeight="1" x14ac:dyDescent="0.3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</row>
    <row r="81" spans="1:41" ht="15" customHeight="1" x14ac:dyDescent="0.3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</row>
    <row r="82" spans="1:41" ht="15" customHeight="1" x14ac:dyDescent="0.3">
      <c r="A82" s="164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</row>
    <row r="83" spans="1:41" ht="15" customHeight="1" x14ac:dyDescent="0.3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</row>
    <row r="84" spans="1:41" ht="15" customHeight="1" x14ac:dyDescent="0.3">
      <c r="A84" s="164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</row>
    <row r="85" spans="1:41" ht="15" customHeight="1" x14ac:dyDescent="0.3">
      <c r="A85" s="164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</row>
    <row r="86" spans="1:41" ht="15" customHeight="1" x14ac:dyDescent="0.3">
      <c r="A86" s="164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</row>
    <row r="87" spans="1:41" ht="15" customHeight="1" x14ac:dyDescent="0.3">
      <c r="A87" s="164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</row>
    <row r="88" spans="1:41" ht="15" customHeight="1" x14ac:dyDescent="0.3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</row>
    <row r="89" spans="1:41" ht="15" customHeight="1" x14ac:dyDescent="0.3">
      <c r="A89" s="164"/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</row>
    <row r="90" spans="1:41" ht="15" customHeight="1" x14ac:dyDescent="0.3">
      <c r="A90" s="164"/>
      <c r="B90" s="164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</row>
    <row r="91" spans="1:41" ht="15" customHeight="1" x14ac:dyDescent="0.3">
      <c r="A91" s="164"/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</row>
    <row r="92" spans="1:41" ht="15" customHeight="1" x14ac:dyDescent="0.3">
      <c r="A92" s="164"/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</row>
    <row r="93" spans="1:41" ht="15" customHeight="1" x14ac:dyDescent="0.3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</row>
    <row r="94" spans="1:41" ht="15" customHeight="1" x14ac:dyDescent="0.3">
      <c r="A94" s="164"/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</row>
    <row r="95" spans="1:41" ht="15" customHeight="1" x14ac:dyDescent="0.3">
      <c r="A95" s="164"/>
      <c r="B95" s="164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</row>
    <row r="96" spans="1:41" ht="15" customHeight="1" x14ac:dyDescent="0.3">
      <c r="A96" s="164"/>
      <c r="B96" s="164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</row>
    <row r="97" spans="1:43" ht="15" customHeight="1" x14ac:dyDescent="0.3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</row>
    <row r="98" spans="1:43" ht="15" customHeight="1" x14ac:dyDescent="0.3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</row>
    <row r="99" spans="1:43" ht="15" customHeight="1" x14ac:dyDescent="0.3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</row>
    <row r="100" spans="1:43" ht="15" customHeight="1" x14ac:dyDescent="0.3">
      <c r="A100" s="164"/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</row>
    <row r="101" spans="1:43" ht="15" customHeight="1" x14ac:dyDescent="0.3">
      <c r="A101" s="164"/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</row>
    <row r="102" spans="1:43" ht="15" customHeight="1" x14ac:dyDescent="0.3">
      <c r="A102" s="164"/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</row>
    <row r="103" spans="1:43" ht="15" customHeight="1" x14ac:dyDescent="0.3">
      <c r="A103" s="164"/>
      <c r="B103" s="164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</row>
    <row r="104" spans="1:43" ht="15" customHeight="1" x14ac:dyDescent="0.3">
      <c r="A104" s="164"/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</row>
    <row r="105" spans="1:43" ht="15" customHeight="1" x14ac:dyDescent="0.3">
      <c r="A105" s="164"/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  <c r="AA105" s="164"/>
      <c r="AB105" s="164"/>
      <c r="AC105" s="164"/>
      <c r="AD105" s="164"/>
      <c r="AE105" s="164"/>
      <c r="AF105" s="164"/>
      <c r="AG105" s="164"/>
      <c r="AH105" s="164"/>
      <c r="AI105" s="164"/>
      <c r="AJ105" s="164"/>
      <c r="AK105" s="164"/>
      <c r="AL105" s="164"/>
      <c r="AM105" s="164"/>
      <c r="AN105" s="164"/>
      <c r="AO105" s="164"/>
    </row>
    <row r="106" spans="1:43" ht="15" customHeight="1" x14ac:dyDescent="0.3">
      <c r="A106" s="164"/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  <c r="Y106" s="164"/>
      <c r="Z106" s="164"/>
      <c r="AA106" s="164"/>
      <c r="AB106" s="164"/>
      <c r="AC106" s="164"/>
      <c r="AD106" s="164"/>
      <c r="AE106" s="164"/>
      <c r="AF106" s="164"/>
      <c r="AG106" s="164"/>
      <c r="AH106" s="164"/>
      <c r="AI106" s="164"/>
      <c r="AJ106" s="164"/>
      <c r="AK106" s="164"/>
      <c r="AL106" s="164"/>
      <c r="AM106" s="164"/>
      <c r="AN106" s="164"/>
      <c r="AO106" s="164"/>
    </row>
    <row r="107" spans="1:43" ht="15" customHeight="1" x14ac:dyDescent="0.3">
      <c r="A107" s="164"/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4"/>
      <c r="AB107" s="164"/>
      <c r="AC107" s="164"/>
      <c r="AD107" s="164"/>
      <c r="AE107" s="164"/>
      <c r="AF107" s="164"/>
      <c r="AG107" s="164"/>
      <c r="AH107" s="164"/>
      <c r="AI107" s="164"/>
      <c r="AJ107" s="164"/>
      <c r="AK107" s="164"/>
      <c r="AL107" s="164"/>
      <c r="AM107" s="164"/>
      <c r="AN107" s="164"/>
      <c r="AO107" s="164"/>
    </row>
    <row r="108" spans="1:43" ht="15" customHeight="1" x14ac:dyDescent="0.3">
      <c r="A108" s="164"/>
      <c r="B108" s="164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64"/>
      <c r="AA108" s="164"/>
      <c r="AB108" s="164"/>
      <c r="AC108" s="164"/>
      <c r="AD108" s="164"/>
      <c r="AE108" s="164"/>
      <c r="AF108" s="164"/>
      <c r="AG108" s="164"/>
      <c r="AH108" s="164"/>
      <c r="AI108" s="164"/>
      <c r="AJ108" s="164"/>
      <c r="AK108" s="164"/>
      <c r="AL108" s="164"/>
      <c r="AM108" s="164"/>
      <c r="AN108" s="164"/>
      <c r="AO108" s="164"/>
    </row>
    <row r="109" spans="1:43" ht="15" customHeight="1" x14ac:dyDescent="0.3">
      <c r="A109" s="164"/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  <c r="Y109" s="164"/>
      <c r="Z109" s="164"/>
      <c r="AA109" s="164"/>
      <c r="AB109" s="164"/>
      <c r="AC109" s="164"/>
      <c r="AD109" s="164"/>
      <c r="AE109" s="164"/>
      <c r="AF109" s="164"/>
      <c r="AG109" s="164"/>
      <c r="AH109" s="164"/>
      <c r="AI109" s="164"/>
      <c r="AJ109" s="164"/>
      <c r="AK109" s="164"/>
      <c r="AL109" s="164"/>
      <c r="AM109" s="164"/>
      <c r="AN109" s="164"/>
      <c r="AO109" s="164"/>
      <c r="AP109" s="164"/>
      <c r="AQ109" s="164"/>
    </row>
    <row r="110" spans="1:43" ht="15" customHeight="1" x14ac:dyDescent="0.3">
      <c r="A110" s="164"/>
      <c r="B110" s="164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4"/>
      <c r="Z110" s="164"/>
      <c r="AA110" s="164"/>
      <c r="AB110" s="164"/>
      <c r="AC110" s="164"/>
      <c r="AD110" s="164"/>
      <c r="AE110" s="164"/>
      <c r="AF110" s="164"/>
      <c r="AG110" s="164"/>
      <c r="AH110" s="164"/>
      <c r="AI110" s="164"/>
      <c r="AJ110" s="164"/>
      <c r="AK110" s="164"/>
      <c r="AL110" s="164"/>
      <c r="AM110" s="164"/>
      <c r="AN110" s="164"/>
      <c r="AO110" s="164"/>
      <c r="AP110" s="164"/>
      <c r="AQ110" s="164"/>
    </row>
    <row r="111" spans="1:43" ht="15" customHeight="1" x14ac:dyDescent="0.3">
      <c r="A111" s="164"/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  <c r="Z111" s="164"/>
      <c r="AA111" s="164"/>
      <c r="AB111" s="164"/>
      <c r="AC111" s="164"/>
      <c r="AD111" s="164"/>
      <c r="AE111" s="164"/>
      <c r="AF111" s="164"/>
      <c r="AG111" s="164"/>
      <c r="AH111" s="164"/>
      <c r="AI111" s="164"/>
      <c r="AJ111" s="164"/>
      <c r="AK111" s="164"/>
      <c r="AL111" s="164"/>
      <c r="AM111" s="164"/>
      <c r="AN111" s="164"/>
      <c r="AO111" s="164"/>
      <c r="AP111" s="164"/>
      <c r="AQ111" s="164"/>
    </row>
    <row r="112" spans="1:43" ht="15" customHeight="1" x14ac:dyDescent="0.3">
      <c r="A112" s="164"/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  <c r="Z112" s="164"/>
      <c r="AA112" s="164"/>
      <c r="AB112" s="164"/>
      <c r="AC112" s="164"/>
      <c r="AD112" s="164"/>
      <c r="AE112" s="164"/>
      <c r="AF112" s="164"/>
      <c r="AG112" s="164"/>
      <c r="AH112" s="164"/>
      <c r="AI112" s="164"/>
      <c r="AJ112" s="164"/>
      <c r="AK112" s="164"/>
      <c r="AL112" s="164"/>
      <c r="AM112" s="164"/>
      <c r="AN112" s="164"/>
      <c r="AO112" s="164"/>
      <c r="AP112" s="164"/>
      <c r="AQ112" s="164"/>
    </row>
    <row r="113" spans="1:43" ht="15" customHeight="1" x14ac:dyDescent="0.3">
      <c r="A113" s="164"/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  <c r="AA113" s="164"/>
      <c r="AB113" s="164"/>
      <c r="AC113" s="164"/>
      <c r="AD113" s="164"/>
      <c r="AE113" s="164"/>
      <c r="AF113" s="164"/>
      <c r="AG113" s="164"/>
      <c r="AH113" s="164"/>
      <c r="AI113" s="164"/>
      <c r="AJ113" s="164"/>
      <c r="AK113" s="164"/>
      <c r="AL113" s="164"/>
      <c r="AM113" s="164"/>
      <c r="AN113" s="164"/>
      <c r="AO113" s="164"/>
      <c r="AP113" s="164"/>
      <c r="AQ113" s="164"/>
    </row>
    <row r="114" spans="1:43" ht="15" customHeight="1" x14ac:dyDescent="0.3">
      <c r="A114" s="164"/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  <c r="Z114" s="164"/>
      <c r="AA114" s="164"/>
      <c r="AB114" s="164"/>
      <c r="AC114" s="164"/>
      <c r="AD114" s="164"/>
      <c r="AE114" s="164"/>
      <c r="AF114" s="164"/>
      <c r="AG114" s="164"/>
      <c r="AH114" s="164"/>
      <c r="AI114" s="164"/>
      <c r="AJ114" s="164"/>
      <c r="AK114" s="164"/>
      <c r="AL114" s="164"/>
      <c r="AM114" s="164"/>
      <c r="AN114" s="164"/>
      <c r="AO114" s="164"/>
      <c r="AP114" s="164"/>
      <c r="AQ114" s="164"/>
    </row>
    <row r="115" spans="1:43" ht="15" customHeight="1" x14ac:dyDescent="0.3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/>
      <c r="AF115" s="164"/>
      <c r="AG115" s="164"/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</row>
    <row r="116" spans="1:43" ht="15" customHeight="1" x14ac:dyDescent="0.3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164"/>
      <c r="AA116" s="164"/>
      <c r="AB116" s="164"/>
      <c r="AC116" s="164"/>
      <c r="AD116" s="164"/>
      <c r="AE116" s="164"/>
      <c r="AF116" s="164"/>
      <c r="AG116" s="164"/>
      <c r="AH116" s="164"/>
      <c r="AI116" s="164"/>
      <c r="AJ116" s="164"/>
      <c r="AK116" s="164"/>
      <c r="AL116" s="164"/>
      <c r="AM116" s="164"/>
      <c r="AN116" s="164"/>
      <c r="AO116" s="164"/>
      <c r="AP116" s="164"/>
      <c r="AQ116" s="164"/>
    </row>
    <row r="117" spans="1:43" ht="15" customHeight="1" x14ac:dyDescent="0.3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164"/>
      <c r="AF117" s="164"/>
      <c r="AG117" s="164"/>
      <c r="AH117" s="164"/>
      <c r="AI117" s="164"/>
      <c r="AJ117" s="164"/>
      <c r="AK117" s="164"/>
      <c r="AL117" s="164"/>
      <c r="AM117" s="164"/>
      <c r="AN117" s="164"/>
      <c r="AO117" s="164"/>
      <c r="AP117" s="164"/>
      <c r="AQ117" s="164"/>
    </row>
    <row r="118" spans="1:43" ht="15" customHeight="1" x14ac:dyDescent="0.3">
      <c r="A118" s="164"/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  <c r="AF118" s="164"/>
      <c r="AG118" s="164"/>
      <c r="AH118" s="164"/>
      <c r="AI118" s="164"/>
      <c r="AJ118" s="164"/>
      <c r="AK118" s="164"/>
      <c r="AL118" s="164"/>
      <c r="AM118" s="164"/>
      <c r="AN118" s="164"/>
      <c r="AO118" s="164"/>
      <c r="AP118" s="164"/>
      <c r="AQ118" s="164"/>
    </row>
    <row r="119" spans="1:43" ht="15" customHeight="1" x14ac:dyDescent="0.3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4"/>
      <c r="AG119" s="164"/>
      <c r="AH119" s="164"/>
      <c r="AI119" s="164"/>
      <c r="AJ119" s="164"/>
      <c r="AK119" s="164"/>
      <c r="AL119" s="164"/>
      <c r="AM119" s="164"/>
      <c r="AN119" s="164"/>
      <c r="AO119" s="164"/>
      <c r="AP119" s="164"/>
      <c r="AQ119" s="164"/>
    </row>
    <row r="120" spans="1:43" ht="15" customHeight="1" x14ac:dyDescent="0.3">
      <c r="A120" s="164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164"/>
      <c r="AF120" s="164"/>
      <c r="AG120" s="164"/>
      <c r="AH120" s="164"/>
      <c r="AI120" s="164"/>
      <c r="AJ120" s="164"/>
      <c r="AK120" s="164"/>
      <c r="AL120" s="164"/>
      <c r="AM120" s="164"/>
      <c r="AN120" s="164"/>
      <c r="AO120" s="164"/>
      <c r="AP120" s="164"/>
      <c r="AQ120" s="164"/>
    </row>
    <row r="121" spans="1:43" ht="15" customHeight="1" x14ac:dyDescent="0.3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</row>
  </sheetData>
  <mergeCells count="68">
    <mergeCell ref="AO7:AO8"/>
    <mergeCell ref="AG7:AG8"/>
    <mergeCell ref="L7:M7"/>
    <mergeCell ref="R7:S7"/>
    <mergeCell ref="W7:W8"/>
    <mergeCell ref="X7:X8"/>
    <mergeCell ref="AM7:AM8"/>
    <mergeCell ref="AN7:AN8"/>
    <mergeCell ref="AD7:AD8"/>
    <mergeCell ref="Y7:Y8"/>
    <mergeCell ref="Z7:Z8"/>
    <mergeCell ref="AA7:AA8"/>
    <mergeCell ref="AB7:AB8"/>
    <mergeCell ref="AC7:AC8"/>
    <mergeCell ref="AI7:AI8"/>
    <mergeCell ref="AJ7:AJ8"/>
    <mergeCell ref="A7:A8"/>
    <mergeCell ref="B7:B8"/>
    <mergeCell ref="C7:C8"/>
    <mergeCell ref="D7:D8"/>
    <mergeCell ref="E7:E8"/>
    <mergeCell ref="F7:F8"/>
    <mergeCell ref="U7:U8"/>
    <mergeCell ref="V7:V8"/>
    <mergeCell ref="G7:G8"/>
    <mergeCell ref="N7:O7"/>
    <mergeCell ref="P7:Q7"/>
    <mergeCell ref="T7:T8"/>
    <mergeCell ref="AK7:AK8"/>
    <mergeCell ref="AL7:AL8"/>
    <mergeCell ref="AE7:AE8"/>
    <mergeCell ref="AF7:AF8"/>
    <mergeCell ref="AH7:AH8"/>
    <mergeCell ref="A21:A22"/>
    <mergeCell ref="B21:B22"/>
    <mergeCell ref="C21:C22"/>
    <mergeCell ref="D21:D22"/>
    <mergeCell ref="E21:E22"/>
    <mergeCell ref="F21:F22"/>
    <mergeCell ref="G21:G22"/>
    <mergeCell ref="L21:M21"/>
    <mergeCell ref="N21:O21"/>
    <mergeCell ref="P21:Q21"/>
    <mergeCell ref="Y21:Y22"/>
    <mergeCell ref="Z21:Z22"/>
    <mergeCell ref="AA21:AA22"/>
    <mergeCell ref="AB21:AB22"/>
    <mergeCell ref="R21:S21"/>
    <mergeCell ref="T21:T22"/>
    <mergeCell ref="U21:U22"/>
    <mergeCell ref="V21:V22"/>
    <mergeCell ref="W21:W22"/>
    <mergeCell ref="AM21:AM22"/>
    <mergeCell ref="AN21:AN22"/>
    <mergeCell ref="AO21:AO22"/>
    <mergeCell ref="J21:K21"/>
    <mergeCell ref="H21:I21"/>
    <mergeCell ref="AH21:AH22"/>
    <mergeCell ref="AI21:AI22"/>
    <mergeCell ref="AJ21:AJ22"/>
    <mergeCell ref="AK21:AK22"/>
    <mergeCell ref="AL21:AL22"/>
    <mergeCell ref="AC21:AC22"/>
    <mergeCell ref="AD21:AD22"/>
    <mergeCell ref="AE21:AE22"/>
    <mergeCell ref="AF21:AF22"/>
    <mergeCell ref="AG21:AG22"/>
    <mergeCell ref="X21:X22"/>
  </mergeCells>
  <pageMargins left="0.19" right="0.17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5</vt:i4>
      </vt:variant>
    </vt:vector>
  </HeadingPairs>
  <TitlesOfParts>
    <vt:vector size="51" baseType="lpstr">
      <vt:lpstr>Расшифровка</vt:lpstr>
      <vt:lpstr>Сосново янв.-апр.2017г.</vt:lpstr>
      <vt:lpstr>Сосново за  6мес.</vt:lpstr>
      <vt:lpstr>Сосново за  9мес. </vt:lpstr>
      <vt:lpstr>Сосново за 2017год</vt:lpstr>
      <vt:lpstr>Суходолье  янв.-апр. 2017год</vt:lpstr>
      <vt:lpstr>Суходолье за 6 мес.</vt:lpstr>
      <vt:lpstr>Суходолье за 9 мес.</vt:lpstr>
      <vt:lpstr>Суходолье янв.-апр.  2017</vt:lpstr>
      <vt:lpstr>Суходолье за 2017год</vt:lpstr>
      <vt:lpstr>Суход.общ. за 2017год</vt:lpstr>
      <vt:lpstr>Понтонное  с янв.-апр.2017г.</vt:lpstr>
      <vt:lpstr>Понтонное  за 6 мес.</vt:lpstr>
      <vt:lpstr>Понтонное  за 9 мес. </vt:lpstr>
      <vt:lpstr>Понтонное  за 2017год</vt:lpstr>
      <vt:lpstr>Кривко  янв-апр2017г.</vt:lpstr>
      <vt:lpstr>Кривко 6 мес.</vt:lpstr>
      <vt:lpstr>Кривко 9 мес. </vt:lpstr>
      <vt:lpstr>Кривко 2017год</vt:lpstr>
      <vt:lpstr>Снегиревка янв.-апр, 2017г.</vt:lpstr>
      <vt:lpstr>Снегиревка 6 мес.</vt:lpstr>
      <vt:lpstr>Снегиревка 9 мес.</vt:lpstr>
      <vt:lpstr>Снегиревка 2017год</vt:lpstr>
      <vt:lpstr>Плодовое янв-апр 2017год</vt:lpstr>
      <vt:lpstr>Плодовое 6 мес.</vt:lpstr>
      <vt:lpstr>Плодовое 9 мес. </vt:lpstr>
      <vt:lpstr>Плодовое 2017 год</vt:lpstr>
      <vt:lpstr>Ромашки 6 мес.</vt:lpstr>
      <vt:lpstr>Ромашки 9 мес. </vt:lpstr>
      <vt:lpstr>Ромашки 2017год</vt:lpstr>
      <vt:lpstr>Петровское  янв-апр2017г.</vt:lpstr>
      <vt:lpstr>Петровское 6 мес.</vt:lpstr>
      <vt:lpstr>Петровское 9 мес.</vt:lpstr>
      <vt:lpstr>Петровское 2017 год</vt:lpstr>
      <vt:lpstr>Зарплата за 2015год</vt:lpstr>
      <vt:lpstr>Разбегаево 2016 ( У Н.П.)</vt:lpstr>
      <vt:lpstr>Разбегаево 2017</vt:lpstr>
      <vt:lpstr>Горбунки 2017 ( у Н.П.)</vt:lpstr>
      <vt:lpstr>Тракторное янв-апр  2017</vt:lpstr>
      <vt:lpstr>Тракторное 6 мес.</vt:lpstr>
      <vt:lpstr>Тракторное 9 мес. </vt:lpstr>
      <vt:lpstr>Тракторное 2017год</vt:lpstr>
      <vt:lpstr>Плодовское поселение янв-ап2017</vt:lpstr>
      <vt:lpstr>Плодовское поселение 9мес.17г.</vt:lpstr>
      <vt:lpstr>Плодовское поселение 2017год</vt:lpstr>
      <vt:lpstr>Площади(расчет АДС.ОПУ)</vt:lpstr>
      <vt:lpstr>'Зарплата за 2015год'!Область_печати</vt:lpstr>
      <vt:lpstr>'Снегиревка 2017год'!Область_печати</vt:lpstr>
      <vt:lpstr>'Снегиревка 6 мес.'!Область_печати</vt:lpstr>
      <vt:lpstr>'Снегиревка 9 мес.'!Область_печати</vt:lpstr>
      <vt:lpstr>'Снегиревка янв.-апр, 2017г.'!Область_печати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2018-04-04T12:10:39Z</dcterms:modified>
</cp:coreProperties>
</file>